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ustomProperty7.bin" ContentType="application/vnd.openxmlformats-officedocument.spreadsheetml.customProperty"/>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salix365-my.sharepoint.com/personal/seema_chandel_salixfinance_co_uk/Documents/Documents/1. A for the website/Phase 3b PSDS/Resources/"/>
    </mc:Choice>
  </mc:AlternateContent>
  <xr:revisionPtr revIDLastSave="0" documentId="8_{FFD7758B-5E65-4352-9E93-9D57996E0AA1}" xr6:coauthVersionLast="47" xr6:coauthVersionMax="47" xr10:uidLastSave="{00000000-0000-0000-0000-000000000000}"/>
  <bookViews>
    <workbookView xWindow="-120" yWindow="-120" windowWidth="29040" windowHeight="15840" tabRatio="650" xr2:uid="{00000000-000D-0000-FFFF-FFFF00000000}"/>
  </bookViews>
  <sheets>
    <sheet name="Terms and Conditions" sheetId="69" r:id="rId1"/>
    <sheet name="Guidance Notes" sheetId="16" r:id="rId2"/>
    <sheet name="Degree Day Regions" sheetId="19" r:id="rId3"/>
    <sheet name="Degree Day Data" sheetId="18" r:id="rId4"/>
    <sheet name="Summary" sheetId="83" r:id="rId5"/>
    <sheet name="Project 1" sheetId="72" r:id="rId6"/>
    <sheet name="Project 2" sheetId="92" r:id="rId7"/>
    <sheet name="Project 3" sheetId="93" r:id="rId8"/>
    <sheet name="Change Log" sheetId="43" r:id="rId9"/>
  </sheets>
  <externalReferences>
    <externalReference r:id="rId10"/>
    <externalReference r:id="rId11"/>
  </externalReferences>
  <definedNames>
    <definedName name="Annual_Energy_Saving__kWh" localSheetId="5">'Project 1'!$E$29</definedName>
    <definedName name="Annual_Energy_Saving__kWh" localSheetId="6">'Project 2'!$E$29</definedName>
    <definedName name="Annual_Energy_Saving__kWh" localSheetId="7">'Project 3'!$E$29</definedName>
    <definedName name="Annual_Energy_Saving__kWh" localSheetId="4">Summary!$D$9</definedName>
    <definedName name="Annual_Energy_Saving__kWh">#REF!</definedName>
    <definedName name="Annual_Energy_Saving_percent" localSheetId="5">'Project 1'!$F$29</definedName>
    <definedName name="Annual_Energy_Saving_percent" localSheetId="6">'Project 2'!$F$29</definedName>
    <definedName name="Annual_Energy_Saving_percent" localSheetId="7">'Project 3'!$F$29</definedName>
    <definedName name="Annual_Energy_Saving_percent" localSheetId="4">Summary!$F$9</definedName>
    <definedName name="Annual_Energy_Saving_percent">#REF!</definedName>
    <definedName name="Annual_Financial_Saving" localSheetId="5">'Project 1'!$E$31</definedName>
    <definedName name="Annual_Financial_Saving" localSheetId="6">'Project 2'!$E$31</definedName>
    <definedName name="Annual_Financial_Saving" localSheetId="7">'Project 3'!$E$31</definedName>
    <definedName name="Annual_Financial_Saving" localSheetId="4">Summary!$D$11</definedName>
    <definedName name="Annual_Financial_Saving">#REF!</definedName>
    <definedName name="Annual_Fuel_Saving__kWh" localSheetId="5">'Project 1'!$E$30</definedName>
    <definedName name="Annual_Fuel_Saving__kWh" localSheetId="6">'Project 2'!$E$30</definedName>
    <definedName name="Annual_Fuel_Saving__kWh" localSheetId="7">'Project 3'!$E$30</definedName>
    <definedName name="Annual_Fuel_Saving__kWh" localSheetId="4">Summary!$D$10</definedName>
    <definedName name="Annual_Fuel_Saving__kWh">#REF!</definedName>
    <definedName name="Area_Ins" localSheetId="5">'Project 1'!$F$19</definedName>
    <definedName name="Area_Ins" localSheetId="6">'Project 2'!$F$19</definedName>
    <definedName name="Area_Ins" localSheetId="7">'Project 3'!$F$19</definedName>
    <definedName name="Area_Ins" localSheetId="4">Summary!#REF!</definedName>
    <definedName name="Area_Ins">#REF!</definedName>
    <definedName name="Av_Energy_Cost" localSheetId="5">'Project 1'!$D$17</definedName>
    <definedName name="Av_Energy_Cost" localSheetId="6">'Project 2'!$D$17</definedName>
    <definedName name="Av_Energy_Cost" localSheetId="7">'Project 3'!$D$17</definedName>
    <definedName name="Av_Energy_Cost" localSheetId="4">Summary!#REF!</definedName>
    <definedName name="Av_Energy_Cost">#REF!</definedName>
    <definedName name="Boiler_Efficieny" localSheetId="5">'Project 1'!$D$10:$E$10</definedName>
    <definedName name="Boiler_Efficieny" localSheetId="6">'Project 2'!$D$10:$E$10</definedName>
    <definedName name="Boiler_Efficieny" localSheetId="7">'Project 3'!$D$10:$E$10</definedName>
    <definedName name="Boiler_Efficieny" localSheetId="4">Summary!#REF!</definedName>
    <definedName name="Boiler_Efficieny">#REF!</definedName>
    <definedName name="Degree_Day_Regions_Table">'Degree Day Regions'!$M$4:$N$22</definedName>
    <definedName name="Heating_Season" localSheetId="5">'Project 1'!$D$8,'Project 1'!$F$8</definedName>
    <definedName name="Heating_Season" localSheetId="6">'Project 2'!$D$8,'Project 2'!$F$8</definedName>
    <definedName name="Heating_Season" localSheetId="7">'Project 3'!$D$8,'Project 3'!$F$8</definedName>
    <definedName name="Heating_Season" localSheetId="4">Summary!#REF!,Summary!#REF!</definedName>
    <definedName name="Heating_Season">#REF!,#REF!</definedName>
    <definedName name="Heating_Use" localSheetId="5">'Project 1'!$D$15</definedName>
    <definedName name="Heating_Use" localSheetId="6">'Project 2'!$D$15</definedName>
    <definedName name="Heating_Use" localSheetId="7">'Project 3'!$D$15</definedName>
    <definedName name="Heating_Use" localSheetId="4">Summary!#REF!</definedName>
    <definedName name="Heating_Use">#REF!</definedName>
    <definedName name="Insulation_Fabric_Type" localSheetId="5">'Project 1'!$C$22:$F$22</definedName>
    <definedName name="Insulation_Fabric_Type" localSheetId="6">'Project 2'!$C$22:$F$22</definedName>
    <definedName name="Insulation_Fabric_Type" localSheetId="7">'Project 3'!$C$22:$F$22</definedName>
    <definedName name="Insulation_Fabric_Type" localSheetId="4">Summary!#REF!</definedName>
    <definedName name="Insulation_Fabric_Type">#REF!</definedName>
    <definedName name="Insulation_Type" localSheetId="5">'Project 1'!$F$17</definedName>
    <definedName name="Insulation_Type" localSheetId="6">'Project 2'!$F$17</definedName>
    <definedName name="Insulation_Type" localSheetId="7">'Project 3'!$F$17</definedName>
    <definedName name="month1" localSheetId="5">'[1]Calculation Sheet'!$C$12</definedName>
    <definedName name="month1" localSheetId="6">'[1]Calculation Sheet'!$C$12</definedName>
    <definedName name="month1" localSheetId="7">'[1]Calculation Sheet'!$C$12</definedName>
    <definedName name="month1" localSheetId="4">'[1]Calculation Sheet'!$C$12</definedName>
    <definedName name="month1">'[2]Calculation Sheet'!$C$12</definedName>
    <definedName name="Number_days_heated_during_heating_season" localSheetId="5">'Project 1'!$F$15</definedName>
    <definedName name="Number_days_heated_during_heating_season" localSheetId="6">'Project 2'!$F$15</definedName>
    <definedName name="Number_days_heated_during_heating_season" localSheetId="7">'Project 3'!$F$15</definedName>
    <definedName name="Number_days_heated_during_heating_season" localSheetId="4">Summary!#REF!</definedName>
    <definedName name="Number_days_heated_during_heating_season">#REF!</definedName>
    <definedName name="Number_Degree_Days_during_heating_season" localSheetId="5">'Project 1'!$D$13</definedName>
    <definedName name="Number_Degree_Days_during_heating_season" localSheetId="6">'Project 2'!$D$13</definedName>
    <definedName name="Number_Degree_Days_during_heating_season" localSheetId="7">'Project 3'!$D$13</definedName>
    <definedName name="Number_Degree_Days_during_heating_season" localSheetId="4">Summary!#REF!</definedName>
    <definedName name="Number_Degree_Days_during_heating_season">#REF!</definedName>
    <definedName name="Payback_in_Years" localSheetId="5">'Project 1'!$E$32</definedName>
    <definedName name="Payback_in_Years" localSheetId="6">'Project 2'!$E$32</definedName>
    <definedName name="Payback_in_Years" localSheetId="7">'Project 3'!$E$32</definedName>
    <definedName name="Payback_in_Years" localSheetId="4">Summary!$D$12</definedName>
    <definedName name="Payback_in_Years">#REF!</definedName>
    <definedName name="_xlnm.Print_Area" localSheetId="8">'Change Log'!$C$5:$F$6</definedName>
    <definedName name="_xlnm.Print_Area" localSheetId="3">'Degree Day Data'!$C$1:$U$36</definedName>
    <definedName name="_xlnm.Print_Area" localSheetId="2">'Degree Day Regions'!$C$1:$P$42</definedName>
    <definedName name="_xlnm.Print_Area" localSheetId="1">'Guidance Notes'!$C$1:$N$25</definedName>
    <definedName name="_xlnm.Print_Area" localSheetId="5">'Project 1'!$B$1:$F$34</definedName>
    <definedName name="_xlnm.Print_Area" localSheetId="6">'Project 2'!$B$1:$F$34</definedName>
    <definedName name="_xlnm.Print_Area" localSheetId="7">'Project 3'!$B$1:$F$34</definedName>
    <definedName name="_xlnm.Print_Area" localSheetId="4">Summary!$B$1:$F$36</definedName>
    <definedName name="Region" localSheetId="5">'Project 1'!$D$9:$F$132</definedName>
    <definedName name="Region" localSheetId="6">'Project 2'!$D$9:$F$132</definedName>
    <definedName name="Region" localSheetId="7">'Project 3'!$D$9:$F$132</definedName>
    <definedName name="Region" localSheetId="4">Summary!$D$7:$F$112</definedName>
    <definedName name="Region">#REF!</definedName>
    <definedName name="Site_Name" localSheetId="5">'Project 1'!$D$6</definedName>
    <definedName name="Site_Name" localSheetId="6">'Project 2'!$D$6</definedName>
    <definedName name="Site_Name" localSheetId="7">'Project 3'!$D$6</definedName>
    <definedName name="Site_Name" localSheetId="4">Summary!#REF!</definedName>
    <definedName name="Site_Name">#REF!</definedName>
    <definedName name="TOTAL_HEAT_LOSS__kWh" localSheetId="5">'Project 1'!$D$26,'Project 1'!$F$26</definedName>
    <definedName name="TOTAL_HEAT_LOSS__kWh" localSheetId="6">'Project 2'!$D$26,'Project 2'!$F$26</definedName>
    <definedName name="TOTAL_HEAT_LOSS__kWh" localSheetId="7">'Project 3'!$D$26,'Project 3'!$F$26</definedName>
    <definedName name="TOTAL_HEAT_LOSS__kWh" localSheetId="4">Summary!#REF!,Summary!#REF!</definedName>
    <definedName name="TOTAL_HEAT_LOSS__kWh">#REF!,#REF!</definedName>
    <definedName name="Total_number_of_days_heating_season" localSheetId="5">'Project 1'!$F$13</definedName>
    <definedName name="Total_number_of_days_heating_season" localSheetId="6">'Project 2'!$F$13</definedName>
    <definedName name="Total_number_of_days_heating_season" localSheetId="7">'Project 3'!$F$13</definedName>
    <definedName name="Total_number_of_days_heating_season" localSheetId="4">Summary!#REF!</definedName>
    <definedName name="Total_number_of_days_heating_season">#REF!</definedName>
    <definedName name="Total_Project_Cost" localSheetId="5">'Project 1'!$D$7:$F$7</definedName>
    <definedName name="Total_Project_Cost" localSheetId="6">'Project 2'!$D$7:$F$7</definedName>
    <definedName name="Total_Project_Cost" localSheetId="7">'Project 3'!$D$7:$F$7</definedName>
    <definedName name="Total_Project_Cost" localSheetId="4">Summary!#REF!</definedName>
    <definedName name="Total_Project_Cost">#REF!</definedName>
    <definedName name="u_value" localSheetId="5">'Project 1'!$C$23:$F$23</definedName>
    <definedName name="u_value" localSheetId="6">'Project 2'!$C$23:$F$23</definedName>
    <definedName name="u_value" localSheetId="7">'Project 3'!$C$23:$F$23</definedName>
    <definedName name="u_value" localSheetId="4">Summary!#REF!</definedName>
    <definedName name="u_val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6" i="93" l="1"/>
  <c r="Z25" i="93"/>
  <c r="Z27" i="93" s="1"/>
  <c r="Z28" i="93" s="1"/>
  <c r="Z24" i="93"/>
  <c r="AB24" i="93" s="1"/>
  <c r="Z23" i="93"/>
  <c r="AB23" i="93" s="1"/>
  <c r="AA21" i="93"/>
  <c r="AE17" i="93"/>
  <c r="AD17" i="93"/>
  <c r="AE16" i="93"/>
  <c r="AC21" i="93" s="1"/>
  <c r="AD16" i="93"/>
  <c r="AB21" i="93" s="1"/>
  <c r="AE15" i="93"/>
  <c r="AD15" i="93"/>
  <c r="AE14" i="93"/>
  <c r="AD14" i="93"/>
  <c r="AE13" i="93"/>
  <c r="AD13" i="93"/>
  <c r="F13" i="93"/>
  <c r="D13" i="93"/>
  <c r="F26" i="93" s="1"/>
  <c r="AE12" i="93"/>
  <c r="AD12" i="93"/>
  <c r="AE11" i="93"/>
  <c r="AD11" i="93"/>
  <c r="AE10" i="93"/>
  <c r="AD10" i="93"/>
  <c r="AE9" i="93"/>
  <c r="AD9" i="93"/>
  <c r="AE8" i="93"/>
  <c r="AD8" i="93"/>
  <c r="AE7" i="93"/>
  <c r="AD7" i="93"/>
  <c r="AE6" i="93"/>
  <c r="AD6" i="93"/>
  <c r="C3" i="93"/>
  <c r="Z26" i="92"/>
  <c r="Z25" i="92"/>
  <c r="Z24" i="92"/>
  <c r="AB24" i="92" s="1"/>
  <c r="Z23" i="92"/>
  <c r="AB23" i="92" s="1"/>
  <c r="AA21" i="92"/>
  <c r="AE17" i="92"/>
  <c r="AD17" i="92"/>
  <c r="AE16" i="92"/>
  <c r="AC21" i="92" s="1"/>
  <c r="AD16" i="92"/>
  <c r="AB21" i="92" s="1"/>
  <c r="AE15" i="92"/>
  <c r="AD15" i="92"/>
  <c r="AE14" i="92"/>
  <c r="AD14" i="92"/>
  <c r="AE13" i="92"/>
  <c r="AD13" i="92"/>
  <c r="F13" i="92"/>
  <c r="D13" i="92"/>
  <c r="AE12" i="92"/>
  <c r="AD12" i="92"/>
  <c r="AE11" i="92"/>
  <c r="AD11" i="92"/>
  <c r="AE10" i="92"/>
  <c r="AD10" i="92"/>
  <c r="AE9" i="92"/>
  <c r="AD9" i="92"/>
  <c r="AE8" i="92"/>
  <c r="AD8" i="92"/>
  <c r="AE7" i="92"/>
  <c r="AD7" i="92"/>
  <c r="AE6" i="92"/>
  <c r="AD6" i="92"/>
  <c r="C3" i="92"/>
  <c r="AA21" i="72"/>
  <c r="F26" i="92" l="1"/>
  <c r="D26" i="92"/>
  <c r="D27" i="92" s="1"/>
  <c r="Z27" i="92"/>
  <c r="Z28" i="92" s="1"/>
  <c r="AG23" i="93"/>
  <c r="AE23" i="93"/>
  <c r="AE24" i="93"/>
  <c r="AG24" i="93"/>
  <c r="E29" i="93"/>
  <c r="F9" i="83" s="1"/>
  <c r="F27" i="93"/>
  <c r="D26" i="93"/>
  <c r="D27" i="93" s="1"/>
  <c r="AG23" i="92"/>
  <c r="AE23" i="92"/>
  <c r="AE24" i="92"/>
  <c r="AG24" i="92"/>
  <c r="E29" i="92"/>
  <c r="E9" i="83" s="1"/>
  <c r="F27" i="92"/>
  <c r="AE6" i="72"/>
  <c r="AD17" i="72"/>
  <c r="E32" i="93" l="1"/>
  <c r="F12" i="83" s="1"/>
  <c r="E30" i="93"/>
  <c r="E32" i="92"/>
  <c r="E12" i="83" s="1"/>
  <c r="E30" i="92"/>
  <c r="E31" i="92" l="1"/>
  <c r="E11" i="83" s="1"/>
  <c r="E10" i="83"/>
  <c r="E31" i="93"/>
  <c r="F11" i="83" s="1"/>
  <c r="F10" i="83"/>
  <c r="Z26" i="72"/>
  <c r="AD6" i="72" l="1"/>
  <c r="Z25" i="72"/>
  <c r="C3" i="69" l="1"/>
  <c r="Z27" i="72" l="1"/>
  <c r="Z28" i="72" s="1"/>
  <c r="C3" i="83" l="1"/>
  <c r="Z23" i="72" l="1"/>
  <c r="AB23" i="72" s="1"/>
  <c r="Z24" i="72"/>
  <c r="AB24" i="72" s="1"/>
  <c r="AG23" i="72" l="1"/>
  <c r="AG24" i="72"/>
  <c r="AE7" i="72"/>
  <c r="AE8" i="72"/>
  <c r="AE9" i="72"/>
  <c r="AE10" i="72"/>
  <c r="AE11" i="72"/>
  <c r="AE12" i="72"/>
  <c r="AE13" i="72"/>
  <c r="AE14" i="72"/>
  <c r="AE15" i="72"/>
  <c r="AE16" i="72"/>
  <c r="AE17" i="72"/>
  <c r="AD7" i="72"/>
  <c r="AD8" i="72"/>
  <c r="AD9" i="72"/>
  <c r="AD10" i="72"/>
  <c r="AD11" i="72"/>
  <c r="AD12" i="72"/>
  <c r="AD13" i="72"/>
  <c r="AD14" i="72"/>
  <c r="AD15" i="72"/>
  <c r="AD16" i="72"/>
  <c r="C3" i="72"/>
  <c r="AE23" i="72"/>
  <c r="AE24" i="72"/>
  <c r="AC21" i="72" l="1"/>
  <c r="AB21" i="72"/>
  <c r="F13" i="72"/>
  <c r="D13" i="72"/>
  <c r="C4" i="16"/>
  <c r="C4" i="69" s="1"/>
  <c r="D26" i="72" l="1"/>
  <c r="F26" i="72" l="1"/>
  <c r="F27" i="72" s="1"/>
  <c r="D27" i="72"/>
  <c r="C4" i="43"/>
  <c r="C2" i="43"/>
  <c r="E29" i="72" l="1"/>
  <c r="E33" i="18"/>
  <c r="F33" i="18"/>
  <c r="G33" i="18"/>
  <c r="H33" i="18"/>
  <c r="I33" i="18"/>
  <c r="J33" i="18"/>
  <c r="K33" i="18"/>
  <c r="L33" i="18"/>
  <c r="M33" i="18"/>
  <c r="N33" i="18"/>
  <c r="O33" i="18"/>
  <c r="P33" i="18"/>
  <c r="Q33" i="18"/>
  <c r="R33" i="18"/>
  <c r="S33" i="18"/>
  <c r="T33" i="18"/>
  <c r="U33" i="18"/>
  <c r="D33" i="18"/>
  <c r="E17" i="18"/>
  <c r="F17" i="18"/>
  <c r="G17" i="18"/>
  <c r="H17" i="18"/>
  <c r="I17" i="18"/>
  <c r="J17" i="18"/>
  <c r="K17" i="18"/>
  <c r="L17" i="18"/>
  <c r="M17" i="18"/>
  <c r="N17" i="18"/>
  <c r="O17" i="18"/>
  <c r="P17" i="18"/>
  <c r="Q17" i="18"/>
  <c r="R17" i="18"/>
  <c r="S17" i="18"/>
  <c r="T17" i="18"/>
  <c r="U17" i="18"/>
  <c r="D17" i="18"/>
  <c r="D9" i="83" l="1"/>
  <c r="G9" i="83" s="1"/>
  <c r="E30" i="72"/>
  <c r="E31" i="72" l="1"/>
  <c r="D10" i="83"/>
  <c r="G10" i="83" s="1"/>
  <c r="E32" i="72" l="1"/>
  <c r="D11" i="83"/>
  <c r="G11" i="83" s="1"/>
  <c r="D12" i="83" l="1"/>
</calcChain>
</file>

<file path=xl/sharedStrings.xml><?xml version="1.0" encoding="utf-8"?>
<sst xmlns="http://schemas.openxmlformats.org/spreadsheetml/2006/main" count="472" uniqueCount="177">
  <si>
    <t>Terms and conditions of use</t>
  </si>
  <si>
    <t>Salix Finance Ltd (“Salix”) offers 100% interest-free capital to the public sector to improve their energy efficiency and reduce their carbon emissions.  Salix’ loans and grants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</si>
  <si>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</si>
  <si>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</si>
  <si>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</si>
  <si>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Those works are protected by copyright laws and treaties around the world. All such rights are reserved.
You must not modify the paper or digital copies of any materials you have printed off or downloaded in any way, and you must not use any illustrations, photographs, video or audio sequences or any graphics separately from any accompanying text.  Our status (and that of any identified contributors) as the authors of material on our site must always be acknowledged. 
You must not use any part of the materials on our site for commercial purposes without obtaining a licence to do so from us or our licensors.
If you print off, copy or download any part of our tools in breach of these terms of use, your right to use our tools will cease immediately and you must, at our option, return or destroy any copies of the materials you have made.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75 King William Street, London, EC4N 7BE
</t>
  </si>
  <si>
    <t>Reliance on information</t>
  </si>
  <si>
    <t xml:space="preserve">Data and information included in our tools are not intended to amount to advice on which reliance should be placed. We therefore disclaim all liability and responsibility arising from any reliance placed on such materials by any user of our tools, or by anyone who may be informed of any of its contents. </t>
  </si>
  <si>
    <t>Our liability</t>
  </si>
  <si>
    <t xml:space="preserve">The data and information included in our tools is provided without any guarantees, conditions or warranties as to its accuracy. To the extent permitted by law, we and third parties connected to us hereby expressly exclude:
   • all conditions, warranties and other terms which might otherwise be implied by statute, common law or the law of equity.
   • any liability for any direct, indirect or consequential loss or damage incurred by any user in connection with our tools or in connection with the use, inability to use, or results of the use of our tools and any materials contained within them, including, without limitation any liability for:
      o loss of income or revenue;
      o loss of business;
      o loss of profits or contracts;
      o loss of anticipated savings;
      o loss of data;
      o loss of goodwill;
      o wasted management or office time; and
      o for any other loss or damage of any kind, however arising and whether caused by tort (including negligence), breach of contract or otherwise, even if foreseeable.
This does not affect our liability for death or personal injury arising from our negligence, nor our liability for fraudulent misrepresentation or misrepresentation as to a fundamental matter, nor any other liability which cannot be excluded or limited under applicable law.
</t>
  </si>
  <si>
    <t>Viruses, hacking and other offences</t>
  </si>
  <si>
    <t>You must not misuse our tools by knowingly introducing viruses, trojans, worms, logic bombs or other material which is malicious or technologically harmful. You must not attempt to gain unauthorised access to our tools by breaking our passwords or changing “User Protected Areas” nor changing embedded formulas, databases or queries.</t>
  </si>
  <si>
    <t>Performance assessment</t>
  </si>
  <si>
    <t xml:space="preserve">The activities of Salix are designed to have a material and incremental impact in terms of CO2 emission reductions across the public sector. The Company maintains and regularly reviews a set of measures, which are designed to assess both the performance of the funds provided to our clients and also the Company’s own cost effectiveness. 
The Company operates a policy of continuous improvement which is primarily designed to ensure:
      (a) the maximum efficiency in the deployment of funds to energy saving projects, and
      (b) the consistency of approach, reliability and appropriateness of the estimates of carbon savings  generated by clients for the projects which they undertake. 
Salix’ Performance Assessment Methodology does not directly confirm that the reported CO2 savings will actually be achieved - it is a framework in order to try to ensure that everything possible is done to complete the projects and realise the associated savings. The Methodology includes procedures for detecting those projects with unusual costs or forecast savings so that the Company can confirm that the approach taken by the client public sector bodies is appropriate for estimating the likely savings. The Company has engaged KPMG LLP to provide external assurance over the application of the procedures and processes which the Company operates in order to fulfil Objective (b) as described above.
</t>
  </si>
  <si>
    <t>Measurement</t>
  </si>
  <si>
    <t xml:space="preserve">The Company uses the following key measures in order to assess the projects it considers financing:
1. Estimated annual CO2 savings. To derive CO2 savings from the calculated kWhs savings, Salix uses DEFRA’s conversion factors and where DEFRA does not have an applicable factor, Salix develops a tailored conversion factor to fit the fuel or technology type, which is then reviewed by its external technical consultants.
2. Estimated lifetime CO2 savings based on applying a set of agreed persistence factors (PFs) to the annual savings. Separate PFs are used depending on the technology type into which the projects fall.
3. Estimated annual and lifetime financial savings from a project. 
4. The Company uses a series of other internal measures which are mainly directed towards assessing the efficiency of clients in their application of Salix Funds to energy saving projects.
</t>
  </si>
  <si>
    <t>Disclaimer</t>
  </si>
  <si>
    <t xml:space="preserve">In reporting committed CO2 savings, Salix does not warrant that the projects committed by clients will eventually be undertaken or that the CO2 savings will be achieved. However, the operating model adopted by the Company is based on the premise that the funding provided for the individual projects is only paid once a completion certificate has been provided in the case of the SEELS loans programmes and that loans have to be repaid by clients to Salix direct or back to the client’s Salix Fund from the actual energy savings achieved and that the rules of each Salix scheme specify the latest date for completion of projects.
It is standard Company practice for all clients with committed projects at or close to the latest permitted completion date to be contacted in order to resolve any issues causing the delay. 
Committed projects which still exceed the latest permitted completion date will only continue to be included in the Company’s reported results if the clients provide written evidence to Salix that they have a credible project completion plan. In the case of all of the SEELS Loans programmes, if projects were initially scoped and committed and then later cancelled or reduced in scope, it is standard Company practice to retain a small residual pipeline of applicants in order to replace any reduction in these projects, thereby making the full deployment of the SEELS 100% Loans funding more effective and manageable and enabling a lower provision level to be made.
It is therefore considered that there is sufficient incentive for clients to ensure that all committed projects are completed and that the predicted savings can be achieved.
</t>
  </si>
  <si>
    <t>Salix Building Fabric Insulation Calculation Tool (V2.4)</t>
  </si>
  <si>
    <t>General Guidance Notes</t>
  </si>
  <si>
    <r>
      <t xml:space="preserve">As part of a ‘Whole building’ approach to decarbonising a building, the simplest way to reduce fuel consumption from a heating system is to ensure a building envelope is well insulated, and where infiltration and ventilation rates are controlled to the requirements for a comfortable and safe operation.
This tool is intended to offer guidance to Salix clients who are looking to complete a heat loss calculation for building fabric improvement projects. These include window replacements, and internal or external insulation improvements.
Thermal insulation standards are typically referred to as the thermal transmittance of the fabric (total heat transfer exchange). These are expressed in standard units called </t>
    </r>
    <r>
      <rPr>
        <i/>
        <sz val="10"/>
        <color theme="1"/>
        <rFont val="Verdana"/>
        <family val="2"/>
      </rPr>
      <t>U</t>
    </r>
    <r>
      <rPr>
        <sz val="10"/>
        <color theme="1"/>
        <rFont val="Verdana"/>
        <family val="2"/>
      </rPr>
      <t xml:space="preserve">-Values. This calculation uses the thermal improvement of a fabric's </t>
    </r>
    <r>
      <rPr>
        <i/>
        <sz val="10"/>
        <color theme="1"/>
        <rFont val="Verdana"/>
        <family val="2"/>
      </rPr>
      <t>U</t>
    </r>
    <r>
      <rPr>
        <sz val="10"/>
        <color theme="1"/>
        <rFont val="Verdana"/>
        <family val="2"/>
      </rPr>
      <t>-value to calculate a saving on heat loss through the fabric. The thermal transmittance improvements can then be applied to degree data and boiler efficiencies to calculate a seasonal saving on fuel (kWh).</t>
    </r>
  </si>
  <si>
    <t>The seasonal efficiency of the heating plant can then be applied to the kWh energy saving to deduce a kWh fuel saving.</t>
  </si>
  <si>
    <t>Clients may also wish to consider other aspects of heat loss from a building in their savings estimates (such as heat lost through windows and/or ventilation and infiltration losses).</t>
  </si>
  <si>
    <r>
      <rPr>
        <b/>
        <sz val="11"/>
        <color theme="6"/>
        <rFont val="Verdana"/>
        <family val="2"/>
      </rPr>
      <t>Calculating U Values</t>
    </r>
    <r>
      <rPr>
        <b/>
        <sz val="10"/>
        <color theme="1"/>
        <rFont val="Verdana"/>
        <family val="2"/>
      </rPr>
      <t xml:space="preserve">
</t>
    </r>
    <r>
      <rPr>
        <sz val="10"/>
        <color theme="1"/>
        <rFont val="Verdana"/>
        <family val="2"/>
      </rPr>
      <t>The U-value assesses the rate of heat transfer through the combined elements that make up a building component such as a wall, floor or roof. It is measured in units of W/m2.K (Watts per metre squared Kelvin). It is a way of measuring the insulating properties of the building element. The lower the U-value, the better insulated the building element is. So a wall with a low U-value will prevent heat loss better than a wall with a high U-value.
To calculate a U-Value you have to start with the R-Value or resistivity of the elements of the building element. The R-Value refers to a material’s ability to resist heat transfer and is dependant on the material thickness. R values are measured in m2.K/W. The R-Value equation is shown below, where t = the thickness of the material in metres and λ (lambda) is the thermal conductivity of the material in W/m.K.</t>
    </r>
    <r>
      <rPr>
        <b/>
        <sz val="10"/>
        <color theme="1"/>
        <rFont val="Verdana"/>
        <family val="2"/>
      </rPr>
      <t xml:space="preserve">
</t>
    </r>
    <r>
      <rPr>
        <sz val="10"/>
        <color theme="1"/>
        <rFont val="Verdana"/>
        <family val="2"/>
      </rPr>
      <t xml:space="preserve">To deduce the total R value for the building fabric, the R values can be summed, as shown by the following equation:
U Value is the reciprocal of all resistances of the materials found in the building element. To calculate the U-Value of the building element the R-Value of all the different components that make up that element will be considered. Therefore, to deduce the U value for the building element:
This is the basic formula, and by using this you could work out the U-Value for a particular application. However, when calculating a heat losses for a whole building, there are also other factors which need to be taken into account including infiltration, thermal bridging factors of fixings or stud work.
</t>
    </r>
    <r>
      <rPr>
        <b/>
        <sz val="11"/>
        <color theme="6"/>
        <rFont val="Verdana"/>
        <family val="2"/>
      </rPr>
      <t>Pre-Project U-Value</t>
    </r>
    <r>
      <rPr>
        <sz val="10"/>
        <color theme="1"/>
        <rFont val="Verdana"/>
        <family val="2"/>
      </rPr>
      <t xml:space="preserve">
The client should input information based on whether the new insulation is adding to the building fabric or replacing current insulation:
- Addition: The U value should be based on all the layers of the current building fabric.
- Replacement: The U value only should be based on the current material which will be replaced with new insulation.
</t>
    </r>
    <r>
      <rPr>
        <b/>
        <sz val="11"/>
        <color theme="6"/>
        <rFont val="Verdana"/>
        <family val="2"/>
      </rPr>
      <t>Post-Project U-Value</t>
    </r>
    <r>
      <rPr>
        <sz val="10"/>
        <color theme="1"/>
        <rFont val="Verdana"/>
        <family val="2"/>
      </rPr>
      <t xml:space="preserve">
The applicant should only use the U value for the new insulation.</t>
    </r>
  </si>
  <si>
    <t>Definitions</t>
  </si>
  <si>
    <t>Description and Guidance</t>
  </si>
  <si>
    <t>Degree Days</t>
  </si>
  <si>
    <t>Degree days are a simplified representation of outside air-temperature data. They are widely used in the energy industry for calculations relating to the effect of outside air temperature on building energy consumption.
"Heating degree days", are a measure of how much (in degrees), and for how long (in days), outside air temperature was lower than a specific base temperature.
A degree day is a single number that quantifies how hot or cold the weather has been for a certain region over a month (or week).  The colder the weather in a given month the higher the degree day value.</t>
  </si>
  <si>
    <t>For further information and degree day data downloads, we suggest visiting the following websites:</t>
  </si>
  <si>
    <t>https://www.degreedays.net/introduction</t>
  </si>
  <si>
    <t>Detailed degree day data can be found on Vilinis Vesma's degree day website:</t>
  </si>
  <si>
    <t xml:space="preserve">http://www.vesma.com/ddd/welcome.htm </t>
  </si>
  <si>
    <t xml:space="preserve">For further reading on building energy efficiency, please see the Carbon Trust guides: </t>
  </si>
  <si>
    <t>http://www.carbontrust.com/resources/guides/energy-efficiency/buildings-energy-efficiency</t>
  </si>
  <si>
    <t>Please note that Salix accepts no liability for content and information supplied by external websites.</t>
  </si>
  <si>
    <t>Base Temperature</t>
  </si>
  <si>
    <t xml:space="preserve">With regard to heating degree days, the base temperature of a building is the outside air temperature below which that building needs heating.
The base temperature used to calculate degree days in the UK is 15.5°C for general purpose buildings, because when this temperature is met, most UK buildings do not need supplementary heating. For specialist buildings where internal temperatures need to be maintained at higher levels (e.g. hospital wards and swimming pools), a base temperature of 18.5°C can be applied in the calculation. </t>
  </si>
  <si>
    <t>U-values</t>
  </si>
  <si>
    <r>
      <t>The U-value of a building element (roof, wall or secondary glazing, etc) is an expression of the rate of energy flow (in W/m</t>
    </r>
    <r>
      <rPr>
        <vertAlign val="superscript"/>
        <sz val="10"/>
        <color theme="1"/>
        <rFont val="Verdana"/>
        <family val="2"/>
      </rPr>
      <t>2</t>
    </r>
    <r>
      <rPr>
        <sz val="10"/>
        <color theme="1"/>
        <rFont val="Verdana"/>
        <family val="2"/>
      </rPr>
      <t>K) for a given surface area (m</t>
    </r>
    <r>
      <rPr>
        <vertAlign val="superscript"/>
        <sz val="10"/>
        <color theme="1"/>
        <rFont val="Verdana"/>
        <family val="2"/>
      </rPr>
      <t>2</t>
    </r>
    <r>
      <rPr>
        <sz val="10"/>
        <color theme="1"/>
        <rFont val="Verdana"/>
        <family val="2"/>
      </rPr>
      <t>) and a given temperature difference between the internal and external exposures of the element.</t>
    </r>
  </si>
  <si>
    <r>
      <rPr>
        <b/>
        <sz val="11"/>
        <color theme="6"/>
        <rFont val="Verdana"/>
        <family val="2"/>
      </rPr>
      <t>Salix Disclaimer</t>
    </r>
    <r>
      <rPr>
        <sz val="11"/>
        <color theme="1"/>
        <rFont val="Verdana"/>
        <family val="2"/>
      </rPr>
      <t xml:space="preserve">
</t>
    </r>
    <r>
      <rPr>
        <sz val="10"/>
        <color theme="1"/>
        <rFont val="Verdana"/>
        <family val="2"/>
      </rPr>
      <t>It is clearly important that clients looking to follow the good practice guidance exercised in this tool read carefully and fully understand the calculation methodology behind the tool before attempting use for project purposes.
It is also important for Salix to stress that this tool has been produced as a form of good practice guidance for clients on how to calculate savings from building fabric improvements and that there are other calculation methodologies that clients may wish to apply to their insulation projects; Salix encourages clients to use a standard methodology that they feel most comfortable with. Salix will recommend that this tool be used in conjunction with a client’s own calculation methodologies as a form of comparison to give the client confidence in their savings estimates.
It is appreciated that there are different sources of information on degree days that will vary from those provided in the Degree Day Data Tables. If you have an alternative source of information or if you have calculated bespoke degree days for your site, Salix would encourage the implementation of client input to the calculation tool.
When interpreting the savings outputs generated by this tool it might be necessary to make some consideration for other contributing factors, such as infiltration rates and how the heating system is currently controlled. Through improving building fabric, it is important to consider the current controls regime present in affected areas as this could impact on the level of savings realised for the insulation measures.
Salix accepts no liability in how this document is used and the outputs from it.
If you have any questions on using this tool, we would always recommend contacting the Salix technical team via the ‘contact us’ box on the front page of the Salix website or alternatively emailing: technical@salixfinance.co.uk.</t>
    </r>
  </si>
  <si>
    <t>Degree Day Regions:</t>
  </si>
  <si>
    <t>Regions:</t>
  </si>
  <si>
    <t>1. Thames Valley</t>
  </si>
  <si>
    <t>2. South East</t>
  </si>
  <si>
    <t>3. South</t>
  </si>
  <si>
    <t>4. South West</t>
  </si>
  <si>
    <t>5. Severn Valley</t>
  </si>
  <si>
    <t>6. Midlands</t>
  </si>
  <si>
    <t>7. West Pennines</t>
  </si>
  <si>
    <t>8. North West</t>
  </si>
  <si>
    <t>9. Borders</t>
  </si>
  <si>
    <t>10. North East</t>
  </si>
  <si>
    <t>11. East Pennines</t>
  </si>
  <si>
    <t>12. East Anglia</t>
  </si>
  <si>
    <t>13. West Scotland</t>
  </si>
  <si>
    <t>14. East Scotland</t>
  </si>
  <si>
    <t>15. North East Scotland</t>
  </si>
  <si>
    <t>16. Wales</t>
  </si>
  <si>
    <t>17. Northern Ireland</t>
  </si>
  <si>
    <t>18. North West Scotland</t>
  </si>
  <si>
    <t>Source: The Carbon Trust (CTG004)</t>
  </si>
  <si>
    <t>Degree Day Data</t>
  </si>
  <si>
    <t>20 Year Average UK Degree Day Data to January 2019 (Base temperature - 15.5°C)</t>
  </si>
  <si>
    <t>Month</t>
  </si>
  <si>
    <t>1. London (Thames Valley)</t>
  </si>
  <si>
    <t>2. South Eastern</t>
  </si>
  <si>
    <t>3. Southern</t>
  </si>
  <si>
    <t>4. South Western</t>
  </si>
  <si>
    <t>8. North Western</t>
  </si>
  <si>
    <t>10. North Eastern</t>
  </si>
  <si>
    <t>January</t>
  </si>
  <si>
    <t>February</t>
  </si>
  <si>
    <t>March</t>
  </si>
  <si>
    <t>April</t>
  </si>
  <si>
    <t>May</t>
  </si>
  <si>
    <t>June</t>
  </si>
  <si>
    <t>July</t>
  </si>
  <si>
    <t>August</t>
  </si>
  <si>
    <t>September</t>
  </si>
  <si>
    <t>October</t>
  </si>
  <si>
    <t>November</t>
  </si>
  <si>
    <t>December</t>
  </si>
  <si>
    <t>Total</t>
  </si>
  <si>
    <t>20 Year Average UK Degree Day Data to January 2019 (Base temperature - 18.5°C)</t>
  </si>
  <si>
    <t>Degree days sourced from Vilnis Vesma Degree day data website. Up to date degree day data is freely available here:</t>
  </si>
  <si>
    <t>http://www.vesma.com/ddd/welcome.htm</t>
  </si>
  <si>
    <t>© Salix Finance 2021</t>
  </si>
  <si>
    <t>Summary Page</t>
  </si>
  <si>
    <t>Project 1</t>
  </si>
  <si>
    <t>Project 2</t>
  </si>
  <si>
    <t>Project 3</t>
  </si>
  <si>
    <t>Insulation Type</t>
  </si>
  <si>
    <t>-</t>
  </si>
  <si>
    <t>Annual Energy Saving:</t>
  </si>
  <si>
    <t>Annual Fuel Saving:</t>
  </si>
  <si>
    <t>Annual Financial Saving:</t>
  </si>
  <si>
    <t>Payback in Years:</t>
  </si>
  <si>
    <t>DEGREE DAYS</t>
  </si>
  <si>
    <t>Region</t>
  </si>
  <si>
    <t>Please complete all fields to calculate heat loss through the building fabric and new insulation. Further information on calculation method is available in the guidance notes.</t>
  </si>
  <si>
    <t>Month #</t>
  </si>
  <si>
    <t>Date</t>
  </si>
  <si>
    <t>Days</t>
  </si>
  <si>
    <t>Year</t>
  </si>
  <si>
    <t>Electricity</t>
  </si>
  <si>
    <t>Site Name:</t>
  </si>
  <si>
    <t>Gas</t>
  </si>
  <si>
    <t>Project Cost (£):</t>
  </si>
  <si>
    <t>Gas oil</t>
  </si>
  <si>
    <t>Heating Season for Site:</t>
  </si>
  <si>
    <t>to</t>
  </si>
  <si>
    <t>Fuel oil</t>
  </si>
  <si>
    <t>Region:</t>
  </si>
  <si>
    <t>Base Temperature (°C):</t>
  </si>
  <si>
    <t>Burning oil</t>
  </si>
  <si>
    <t>Fuel type:</t>
  </si>
  <si>
    <t>As applicable, please enter comments on base temperature chosen.</t>
  </si>
  <si>
    <t>Coal</t>
  </si>
  <si>
    <t>Boiler Efficiency (%):</t>
  </si>
  <si>
    <t>LPG</t>
  </si>
  <si>
    <t>Wood pellets</t>
  </si>
  <si>
    <t>Number of Degree Days during Heating Season:</t>
  </si>
  <si>
    <t>Total Number of Days in Heating Season:</t>
  </si>
  <si>
    <t>Wood chips</t>
  </si>
  <si>
    <t>Biogas</t>
  </si>
  <si>
    <t>Heating Use (hrs/day):</t>
  </si>
  <si>
    <t xml:space="preserve"> Number of Days Heated during Heating Season:</t>
  </si>
  <si>
    <t>Average Energy Cost (p/kWh):</t>
  </si>
  <si>
    <t>Is the New Insulation in Addition to, or Replacing Current Insulation?</t>
  </si>
  <si>
    <r>
      <t>Insulation Area (m</t>
    </r>
    <r>
      <rPr>
        <vertAlign val="superscript"/>
        <sz val="11"/>
        <color theme="0"/>
        <rFont val="Verdana"/>
        <family val="2"/>
      </rPr>
      <t>2</t>
    </r>
    <r>
      <rPr>
        <sz val="11"/>
        <color theme="0"/>
        <rFont val="Verdana"/>
        <family val="2"/>
      </rPr>
      <t>):</t>
    </r>
  </si>
  <si>
    <t>Building Fabric Data</t>
  </si>
  <si>
    <t>Manually set to check data call is correct</t>
  </si>
  <si>
    <t>Current Building Fabric</t>
  </si>
  <si>
    <t>New Insulation</t>
  </si>
  <si>
    <t>Data Call Out Checks</t>
  </si>
  <si>
    <t>Description</t>
  </si>
  <si>
    <t>Degree days</t>
  </si>
  <si>
    <t>Days in Heating Season</t>
  </si>
  <si>
    <t>U-value of Current Building Fabric (W/m2.K)</t>
  </si>
  <si>
    <t>U-Value of New Insulation (W/m2.K)</t>
  </si>
  <si>
    <t>- Addition: The current U value should be based on all the layers of the pre-project building fabric.
- Replacement: The U value should be based on the material which will be replaced with new insulation.</t>
  </si>
  <si>
    <t>The U value should be for the new insulation only.</t>
  </si>
  <si>
    <t>Heat Loss Calculations</t>
  </si>
  <si>
    <t>Rt Pre</t>
  </si>
  <si>
    <t>Fabric Heat Loss:</t>
  </si>
  <si>
    <t>R New Insulation</t>
  </si>
  <si>
    <t>Pre kWh Fuel Loss:</t>
  </si>
  <si>
    <t>Post kWh Fuel Loss:</t>
  </si>
  <si>
    <t>Rt New</t>
  </si>
  <si>
    <t>U New</t>
  </si>
  <si>
    <t>Addition</t>
  </si>
  <si>
    <t>Replacement</t>
  </si>
  <si>
    <t>Cavity Wall Insulation</t>
  </si>
  <si>
    <t>Dry Wall Lining</t>
  </si>
  <si>
    <t>Loft Insulation</t>
  </si>
  <si>
    <t>Roof Insulation</t>
  </si>
  <si>
    <t>Floor Insulation - Suspended Timber Floor</t>
  </si>
  <si>
    <t>Floor Insulation - Solid Floor or Other Type</t>
  </si>
  <si>
    <t>Secondary glazing </t>
  </si>
  <si>
    <t>Double glazing with metal or plastic frames </t>
  </si>
  <si>
    <t>Change Log</t>
  </si>
  <si>
    <t>Version</t>
  </si>
  <si>
    <t>Changes</t>
  </si>
  <si>
    <t>By</t>
  </si>
  <si>
    <t>Summary Sheet, Rebranded, new guidance notes and calculation wording.
Updated degree days (20 year averages)</t>
  </si>
  <si>
    <t>BL/SL</t>
  </si>
  <si>
    <t>Rebranded</t>
  </si>
  <si>
    <t>SD</t>
  </si>
  <si>
    <t>Added Terms and Conditions</t>
  </si>
  <si>
    <t>BB</t>
  </si>
  <si>
    <t>Amendment to code</t>
  </si>
  <si>
    <t>MC</t>
  </si>
  <si>
    <t>Updated degree days (20 year averages)
Created new option to allow for a base temperature of 18.5 degrees Celsius
Updated formatting</t>
  </si>
  <si>
    <t>Removed 'hidden' lock on cells</t>
  </si>
  <si>
    <t>Added data validation for boiler efficiency
Data ranges named</t>
  </si>
  <si>
    <t>First version</t>
  </si>
  <si>
    <t>CM/MC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</si>
</sst>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d/m/yy;@"/>
    <numFmt numFmtId="165" formatCode="&quot;£&quot;#,##0"/>
    <numFmt numFmtId="166" formatCode="#,##0.0"/>
    <numFmt numFmtId="167" formatCode="0.0"/>
    <numFmt numFmtId="168" formatCode="&quot;£&quot;#,##0.00"/>
    <numFmt numFmtId="169" formatCode="00.0\ &quot;°C&quot;"/>
    <numFmt numFmtId="170" formatCode="_-* #,##0.00000_-;\-* #,##0.00000_-;_-* &quot;-&quot;??_-;_-@_-"/>
    <numFmt numFmtId="171" formatCode="#,###\ &quot;kWh&quot;"/>
  </numFmts>
  <fonts count="42" x14ac:knownFonts="1">
    <font>
      <sz val="11"/>
      <color theme="1"/>
      <name val="Calibri"/>
      <family val="2"/>
      <scheme val="minor"/>
    </font>
    <font>
      <sz val="11"/>
      <color theme="1"/>
      <name val="Calibri"/>
      <family val="2"/>
      <scheme val="minor"/>
    </font>
    <font>
      <u/>
      <sz val="11"/>
      <color theme="10"/>
      <name val="Calibri"/>
      <family val="2"/>
    </font>
    <font>
      <sz val="10"/>
      <color theme="1"/>
      <name val="Arial"/>
      <family val="2"/>
    </font>
    <font>
      <sz val="11"/>
      <color theme="1"/>
      <name val="Gill Sans MT"/>
      <family val="2"/>
    </font>
    <font>
      <sz val="12"/>
      <color theme="1"/>
      <name val="Gill Sans MT"/>
      <family val="2"/>
    </font>
    <font>
      <sz val="11"/>
      <color theme="6" tint="-0.499984740745262"/>
      <name val="Gill Sans MT"/>
      <family val="2"/>
    </font>
    <font>
      <i/>
      <sz val="11"/>
      <color theme="1"/>
      <name val="Gill Sans MT"/>
      <family val="2"/>
    </font>
    <font>
      <sz val="12"/>
      <color rgb="FF000000"/>
      <name val="Calibri"/>
      <family val="2"/>
    </font>
    <font>
      <u/>
      <sz val="14"/>
      <color rgb="FF000000"/>
      <name val="Calibri"/>
      <family val="2"/>
    </font>
    <font>
      <sz val="12"/>
      <color rgb="FF000000"/>
      <name val="Verdana"/>
      <family val="2"/>
    </font>
    <font>
      <sz val="10"/>
      <color theme="1"/>
      <name val="Verdana"/>
      <family val="2"/>
    </font>
    <font>
      <sz val="10"/>
      <color rgb="FF000000"/>
      <name val="Verdana"/>
      <family val="2"/>
    </font>
    <font>
      <b/>
      <u/>
      <sz val="16"/>
      <color theme="1"/>
      <name val="Verdana"/>
      <family val="2"/>
    </font>
    <font>
      <sz val="11"/>
      <color theme="1"/>
      <name val="Verdana"/>
      <family val="2"/>
    </font>
    <font>
      <b/>
      <sz val="11"/>
      <color theme="1"/>
      <name val="Verdana"/>
      <family val="2"/>
    </font>
    <font>
      <b/>
      <u/>
      <sz val="11"/>
      <color theme="1"/>
      <name val="Verdana"/>
      <family val="2"/>
    </font>
    <font>
      <b/>
      <sz val="12"/>
      <color theme="1"/>
      <name val="Verdana"/>
      <family val="2"/>
    </font>
    <font>
      <i/>
      <sz val="10"/>
      <color theme="1"/>
      <name val="Verdana"/>
      <family val="2"/>
    </font>
    <font>
      <b/>
      <sz val="10"/>
      <color theme="1"/>
      <name val="Verdana"/>
      <family val="2"/>
    </font>
    <font>
      <u/>
      <sz val="10"/>
      <color theme="10"/>
      <name val="Verdana"/>
      <family val="2"/>
    </font>
    <font>
      <vertAlign val="superscript"/>
      <sz val="10"/>
      <color theme="1"/>
      <name val="Verdana"/>
      <family val="2"/>
    </font>
    <font>
      <sz val="10"/>
      <color theme="0"/>
      <name val="Verdana"/>
      <family val="2"/>
    </font>
    <font>
      <sz val="10"/>
      <color theme="1"/>
      <name val="Verdana Pro"/>
      <family val="2"/>
    </font>
    <font>
      <i/>
      <u/>
      <sz val="9"/>
      <color theme="10"/>
      <name val="Verdana"/>
      <family val="2"/>
    </font>
    <font>
      <sz val="12"/>
      <color theme="1"/>
      <name val="Verdana"/>
      <family val="2"/>
    </font>
    <font>
      <sz val="9"/>
      <color theme="1"/>
      <name val="Verdana"/>
      <family val="2"/>
    </font>
    <font>
      <sz val="10"/>
      <name val="Verdana"/>
      <family val="2"/>
    </font>
    <font>
      <sz val="12"/>
      <color theme="0"/>
      <name val="Verdana"/>
      <family val="2"/>
    </font>
    <font>
      <u/>
      <sz val="11"/>
      <color theme="1"/>
      <name val="Verdana"/>
      <family val="2"/>
    </font>
    <font>
      <u/>
      <sz val="11"/>
      <color theme="10"/>
      <name val="Verdana"/>
      <family val="2"/>
    </font>
    <font>
      <sz val="9"/>
      <name val="Verdana"/>
      <family val="2"/>
    </font>
    <font>
      <sz val="11"/>
      <color theme="0"/>
      <name val="Verdana"/>
      <family val="2"/>
    </font>
    <font>
      <vertAlign val="superscript"/>
      <sz val="11"/>
      <color theme="0"/>
      <name val="Verdana"/>
      <family val="2"/>
    </font>
    <font>
      <b/>
      <sz val="11"/>
      <color theme="1"/>
      <name val="Calibri"/>
      <family val="2"/>
      <scheme val="minor"/>
    </font>
    <font>
      <sz val="8"/>
      <name val="Calibri"/>
      <family val="2"/>
      <scheme val="minor"/>
    </font>
    <font>
      <i/>
      <sz val="9"/>
      <color theme="1"/>
      <name val="Verdana"/>
      <family val="2"/>
    </font>
    <font>
      <i/>
      <sz val="10"/>
      <name val="Verdana"/>
      <family val="2"/>
    </font>
    <font>
      <sz val="11"/>
      <name val="Verdana"/>
      <family val="2"/>
    </font>
    <font>
      <b/>
      <sz val="16"/>
      <color theme="6"/>
      <name val="Verdana"/>
      <family val="2"/>
    </font>
    <font>
      <b/>
      <sz val="12"/>
      <color theme="6"/>
      <name val="Verdana"/>
      <family val="2"/>
    </font>
    <font>
      <b/>
      <sz val="11"/>
      <color theme="6"/>
      <name val="Verdana"/>
      <family val="2"/>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2DAE76"/>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9" tint="0.7999816888943144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right/>
      <top style="thin">
        <color theme="1" tint="0.499984740745262"/>
      </top>
      <bottom style="thin">
        <color theme="1" tint="0.49998474074526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cellStyleXfs>
  <cellXfs count="211">
    <xf numFmtId="0" fontId="0" fillId="0" borderId="0" xfId="0"/>
    <xf numFmtId="0" fontId="4" fillId="0" borderId="0" xfId="0" applyFont="1"/>
    <xf numFmtId="0" fontId="8" fillId="0" borderId="0" xfId="5" applyFont="1" applyAlignment="1" applyProtection="1">
      <alignment horizontal="left" vertical="top"/>
      <protection hidden="1"/>
    </xf>
    <xf numFmtId="0" fontId="11" fillId="0" borderId="0" xfId="0" applyFont="1"/>
    <xf numFmtId="0" fontId="13" fillId="0" borderId="0" xfId="0" applyFont="1" applyAlignment="1">
      <alignment vertical="top"/>
    </xf>
    <xf numFmtId="0" fontId="14" fillId="0" borderId="0" xfId="0" applyFont="1"/>
    <xf numFmtId="0" fontId="13" fillId="0" borderId="0" xfId="0" applyFont="1"/>
    <xf numFmtId="0" fontId="16" fillId="0" borderId="0" xfId="0" applyFont="1" applyAlignment="1">
      <alignment vertical="top"/>
    </xf>
    <xf numFmtId="0" fontId="14" fillId="0" borderId="0" xfId="0" applyFont="1" applyAlignment="1">
      <alignment vertical="top"/>
    </xf>
    <xf numFmtId="0" fontId="4" fillId="2" borderId="0" xfId="0" applyFont="1" applyFill="1"/>
    <xf numFmtId="0" fontId="23" fillId="2" borderId="0" xfId="0" applyFont="1" applyFill="1"/>
    <xf numFmtId="0" fontId="7" fillId="2" borderId="0" xfId="0" applyFont="1" applyFill="1"/>
    <xf numFmtId="0" fontId="22" fillId="6" borderId="0" xfId="0" applyFont="1" applyFill="1" applyAlignment="1">
      <alignment horizontal="center" vertical="top" wrapText="1"/>
    </xf>
    <xf numFmtId="1" fontId="11" fillId="0" borderId="0" xfId="0" applyNumberFormat="1" applyFont="1" applyAlignment="1">
      <alignment horizontal="center" vertical="center" wrapText="1"/>
    </xf>
    <xf numFmtId="0" fontId="14" fillId="2" borderId="0" xfId="0" applyFont="1" applyFill="1" applyAlignment="1">
      <alignment wrapText="1"/>
    </xf>
    <xf numFmtId="0" fontId="24" fillId="2" borderId="0" xfId="3" applyFont="1" applyFill="1" applyBorder="1" applyAlignment="1" applyProtection="1"/>
    <xf numFmtId="0" fontId="17" fillId="2" borderId="0" xfId="0" applyFont="1" applyFill="1"/>
    <xf numFmtId="0" fontId="14" fillId="0" borderId="0" xfId="0" applyFont="1" applyProtection="1">
      <protection hidden="1"/>
    </xf>
    <xf numFmtId="0" fontId="29" fillId="0" borderId="0" xfId="0" applyFont="1" applyProtection="1">
      <protection hidden="1"/>
    </xf>
    <xf numFmtId="0" fontId="14" fillId="5" borderId="4" xfId="0" applyFont="1" applyFill="1" applyBorder="1" applyProtection="1">
      <protection hidden="1"/>
    </xf>
    <xf numFmtId="0" fontId="15" fillId="3" borderId="4" xfId="0" applyFont="1" applyFill="1" applyBorder="1" applyProtection="1">
      <protection hidden="1"/>
    </xf>
    <xf numFmtId="0" fontId="15" fillId="3" borderId="5" xfId="0" applyFont="1" applyFill="1" applyBorder="1" applyAlignment="1" applyProtection="1">
      <alignment horizontal="center"/>
      <protection hidden="1"/>
    </xf>
    <xf numFmtId="0" fontId="14" fillId="4" borderId="5" xfId="0" applyFont="1" applyFill="1" applyBorder="1" applyAlignment="1" applyProtection="1">
      <alignment wrapText="1"/>
      <protection hidden="1"/>
    </xf>
    <xf numFmtId="170" fontId="14" fillId="4" borderId="5" xfId="1" applyNumberFormat="1" applyFont="1" applyFill="1" applyBorder="1" applyAlignment="1" applyProtection="1">
      <alignment wrapText="1"/>
      <protection hidden="1"/>
    </xf>
    <xf numFmtId="0" fontId="14" fillId="3" borderId="4" xfId="0" applyFont="1" applyFill="1" applyBorder="1" applyProtection="1">
      <protection hidden="1"/>
    </xf>
    <xf numFmtId="1" fontId="14" fillId="4" borderId="4" xfId="0" applyNumberFormat="1" applyFont="1" applyFill="1" applyBorder="1" applyProtection="1">
      <protection hidden="1"/>
    </xf>
    <xf numFmtId="170" fontId="14" fillId="4" borderId="4" xfId="1" applyNumberFormat="1" applyFont="1" applyFill="1" applyBorder="1" applyProtection="1">
      <protection hidden="1"/>
    </xf>
    <xf numFmtId="0" fontId="14" fillId="4" borderId="4" xfId="0" applyFont="1" applyFill="1" applyBorder="1" applyProtection="1">
      <protection hidden="1"/>
    </xf>
    <xf numFmtId="164" fontId="14" fillId="0" borderId="0" xfId="0" applyNumberFormat="1" applyFont="1" applyAlignment="1" applyProtection="1">
      <alignment horizontal="left"/>
      <protection hidden="1"/>
    </xf>
    <xf numFmtId="1" fontId="14" fillId="0" borderId="0" xfId="0" applyNumberFormat="1" applyFont="1" applyProtection="1">
      <protection hidden="1"/>
    </xf>
    <xf numFmtId="0" fontId="14" fillId="0" borderId="0" xfId="0" applyFont="1" applyAlignment="1" applyProtection="1">
      <alignment horizontal="center" vertical="center" wrapText="1"/>
      <protection hidden="1"/>
    </xf>
    <xf numFmtId="0" fontId="29" fillId="3" borderId="4" xfId="0" applyFont="1" applyFill="1" applyBorder="1" applyProtection="1">
      <protection hidden="1"/>
    </xf>
    <xf numFmtId="0" fontId="14" fillId="0" borderId="0" xfId="0" applyFont="1" applyAlignment="1" applyProtection="1">
      <alignment wrapText="1"/>
      <protection hidden="1"/>
    </xf>
    <xf numFmtId="0" fontId="14" fillId="0" borderId="0" xfId="0" applyFont="1" applyAlignment="1" applyProtection="1">
      <alignment horizontal="center" wrapText="1"/>
      <protection hidden="1"/>
    </xf>
    <xf numFmtId="0" fontId="15" fillId="7" borderId="2" xfId="0" applyFont="1" applyFill="1" applyBorder="1" applyProtection="1">
      <protection hidden="1"/>
    </xf>
    <xf numFmtId="0" fontId="15" fillId="7" borderId="3" xfId="0" applyFont="1" applyFill="1" applyBorder="1" applyProtection="1">
      <protection hidden="1"/>
    </xf>
    <xf numFmtId="0" fontId="15" fillId="7" borderId="6" xfId="0" applyFont="1" applyFill="1" applyBorder="1" applyProtection="1">
      <protection hidden="1"/>
    </xf>
    <xf numFmtId="1" fontId="15" fillId="7" borderId="1" xfId="0" applyNumberFormat="1" applyFont="1" applyFill="1" applyBorder="1" applyProtection="1">
      <protection hidden="1"/>
    </xf>
    <xf numFmtId="0" fontId="15" fillId="7" borderId="1" xfId="0" applyFont="1" applyFill="1" applyBorder="1" applyProtection="1">
      <protection hidden="1"/>
    </xf>
    <xf numFmtId="49" fontId="14" fillId="3" borderId="4" xfId="0" applyNumberFormat="1" applyFont="1" applyFill="1" applyBorder="1" applyProtection="1">
      <protection hidden="1"/>
    </xf>
    <xf numFmtId="2" fontId="15" fillId="7" borderId="7" xfId="0" applyNumberFormat="1" applyFont="1" applyFill="1" applyBorder="1" applyAlignment="1" applyProtection="1">
      <alignment horizontal="center" wrapText="1"/>
      <protection hidden="1"/>
    </xf>
    <xf numFmtId="2" fontId="15" fillId="7" borderId="8" xfId="0" applyNumberFormat="1" applyFont="1" applyFill="1" applyBorder="1" applyAlignment="1" applyProtection="1">
      <alignment horizontal="center" wrapText="1"/>
      <protection hidden="1"/>
    </xf>
    <xf numFmtId="2" fontId="15" fillId="7" borderId="8" xfId="0" applyNumberFormat="1" applyFont="1" applyFill="1" applyBorder="1" applyAlignment="1" applyProtection="1">
      <alignment horizontal="center"/>
      <protection hidden="1"/>
    </xf>
    <xf numFmtId="2" fontId="15" fillId="7" borderId="9" xfId="0" applyNumberFormat="1" applyFont="1" applyFill="1" applyBorder="1" applyAlignment="1" applyProtection="1">
      <alignment horizontal="center" wrapText="1"/>
      <protection hidden="1"/>
    </xf>
    <xf numFmtId="0" fontId="34" fillId="7" borderId="4" xfId="0" applyFont="1" applyFill="1" applyBorder="1" applyProtection="1">
      <protection hidden="1"/>
    </xf>
    <xf numFmtId="0" fontId="11" fillId="0" borderId="0" xfId="5" applyFont="1" applyAlignment="1" applyProtection="1">
      <alignment horizontal="left" vertical="top" wrapText="1"/>
      <protection hidden="1"/>
    </xf>
    <xf numFmtId="0" fontId="12" fillId="0" borderId="0" xfId="5" applyFont="1" applyAlignment="1" applyProtection="1">
      <alignment horizontal="left" vertical="top" wrapText="1"/>
      <protection hidden="1"/>
    </xf>
    <xf numFmtId="0" fontId="10" fillId="0" borderId="0" xfId="5" applyFont="1" applyAlignment="1" applyProtection="1">
      <alignment horizontal="left" vertical="top" wrapText="1"/>
      <protection hidden="1"/>
    </xf>
    <xf numFmtId="0" fontId="9" fillId="0" borderId="0" xfId="5" applyFont="1" applyAlignment="1" applyProtection="1">
      <alignment horizontal="left" vertical="top" wrapText="1"/>
      <protection hidden="1"/>
    </xf>
    <xf numFmtId="0" fontId="8" fillId="6" borderId="0" xfId="5" applyFont="1" applyFill="1" applyAlignment="1" applyProtection="1">
      <alignment horizontal="left" vertical="top" wrapText="1"/>
      <protection hidden="1"/>
    </xf>
    <xf numFmtId="0" fontId="8" fillId="2" borderId="0" xfId="5" applyFont="1" applyFill="1" applyAlignment="1" applyProtection="1">
      <alignment horizontal="left" vertical="top"/>
      <protection hidden="1"/>
    </xf>
    <xf numFmtId="0" fontId="8" fillId="6" borderId="0" xfId="5" applyFont="1" applyFill="1" applyAlignment="1" applyProtection="1">
      <alignment horizontal="center" vertical="top" wrapText="1"/>
      <protection hidden="1"/>
    </xf>
    <xf numFmtId="0" fontId="8" fillId="6" borderId="0" xfId="5" applyFont="1" applyFill="1" applyAlignment="1" applyProtection="1">
      <alignment horizontal="left" vertical="top"/>
      <protection hidden="1"/>
    </xf>
    <xf numFmtId="0" fontId="4" fillId="6" borderId="0" xfId="0" applyFont="1" applyFill="1"/>
    <xf numFmtId="164" fontId="11" fillId="0" borderId="0" xfId="0" applyNumberFormat="1" applyFont="1" applyAlignment="1">
      <alignment horizontal="left" vertical="top"/>
    </xf>
    <xf numFmtId="0" fontId="22" fillId="6" borderId="10" xfId="0" applyFont="1" applyFill="1" applyBorder="1" applyAlignment="1">
      <alignment horizontal="center" vertical="top" wrapText="1"/>
    </xf>
    <xf numFmtId="0" fontId="6" fillId="6" borderId="0" xfId="0" applyFont="1" applyFill="1"/>
    <xf numFmtId="0" fontId="18" fillId="2" borderId="0" xfId="0" applyFont="1" applyFill="1"/>
    <xf numFmtId="0" fontId="22" fillId="6" borderId="0" xfId="0" applyFont="1" applyFill="1" applyAlignment="1">
      <alignment horizontal="left" vertical="top" wrapText="1"/>
    </xf>
    <xf numFmtId="1" fontId="11" fillId="0" borderId="0" xfId="0" applyNumberFormat="1" applyFont="1" applyAlignment="1">
      <alignment horizontal="left" vertical="center" wrapText="1"/>
    </xf>
    <xf numFmtId="0" fontId="11" fillId="0" borderId="0" xfId="0" applyFont="1" applyAlignment="1">
      <alignment horizontal="left" vertical="center" wrapText="1"/>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wrapText="1"/>
    </xf>
    <xf numFmtId="0" fontId="4" fillId="8" borderId="0" xfId="0" applyFont="1" applyFill="1" applyAlignment="1">
      <alignment horizontal="left" vertical="top" wrapText="1"/>
    </xf>
    <xf numFmtId="0" fontId="4" fillId="8" borderId="0" xfId="0" applyFont="1" applyFill="1" applyAlignment="1">
      <alignment horizontal="left" vertical="center" wrapText="1"/>
    </xf>
    <xf numFmtId="0" fontId="4" fillId="8" borderId="0" xfId="0" applyFont="1" applyFill="1" applyAlignment="1">
      <alignment wrapText="1"/>
    </xf>
    <xf numFmtId="0" fontId="4" fillId="9" borderId="0" xfId="0" applyFont="1" applyFill="1" applyAlignment="1">
      <alignment wrapText="1"/>
    </xf>
    <xf numFmtId="0" fontId="22" fillId="9" borderId="0" xfId="0" applyFont="1" applyFill="1" applyAlignment="1">
      <alignment horizontal="left" vertical="top" wrapText="1"/>
    </xf>
    <xf numFmtId="0" fontId="36" fillId="2" borderId="0" xfId="0" applyFont="1" applyFill="1"/>
    <xf numFmtId="0" fontId="4" fillId="8" borderId="0" xfId="0" applyFont="1" applyFill="1"/>
    <xf numFmtId="0" fontId="6" fillId="8" borderId="0" xfId="0" applyFont="1" applyFill="1"/>
    <xf numFmtId="0" fontId="8" fillId="8" borderId="0" xfId="5" applyFont="1" applyFill="1" applyAlignment="1" applyProtection="1">
      <alignment horizontal="left" vertical="top"/>
      <protection hidden="1"/>
    </xf>
    <xf numFmtId="0" fontId="8" fillId="8" borderId="0" xfId="5" applyFont="1" applyFill="1" applyAlignment="1" applyProtection="1">
      <alignment horizontal="left" vertical="top" wrapText="1"/>
      <protection hidden="1"/>
    </xf>
    <xf numFmtId="0" fontId="0" fillId="8" borderId="0" xfId="0" applyFill="1"/>
    <xf numFmtId="0" fontId="8" fillId="2" borderId="0" xfId="5" applyFont="1" applyFill="1" applyAlignment="1" applyProtection="1">
      <alignment horizontal="left" vertical="top" wrapText="1"/>
      <protection hidden="1"/>
    </xf>
    <xf numFmtId="0" fontId="11" fillId="2" borderId="0" xfId="5" applyFont="1" applyFill="1" applyAlignment="1" applyProtection="1">
      <alignment horizontal="left" vertical="top" wrapText="1"/>
      <protection hidden="1"/>
    </xf>
    <xf numFmtId="0" fontId="14" fillId="6" borderId="0" xfId="0" applyFont="1" applyFill="1" applyProtection="1">
      <protection hidden="1"/>
    </xf>
    <xf numFmtId="0" fontId="31" fillId="0" borderId="0" xfId="0" applyFont="1" applyProtection="1">
      <protection hidden="1"/>
    </xf>
    <xf numFmtId="0" fontId="14" fillId="0" borderId="0" xfId="0" applyFont="1" applyAlignment="1" applyProtection="1">
      <alignment horizontal="center"/>
      <protection hidden="1"/>
    </xf>
    <xf numFmtId="0" fontId="14" fillId="6" borderId="0" xfId="0" applyFont="1" applyFill="1" applyAlignment="1" applyProtection="1">
      <alignment horizontal="center" wrapText="1"/>
      <protection hidden="1"/>
    </xf>
    <xf numFmtId="0" fontId="22" fillId="6" borderId="10" xfId="0" applyFont="1" applyFill="1" applyBorder="1" applyAlignment="1" applyProtection="1">
      <alignment horizontal="center" vertical="center" wrapText="1"/>
      <protection hidden="1"/>
    </xf>
    <xf numFmtId="0" fontId="22" fillId="6" borderId="11" xfId="0" applyFont="1" applyFill="1" applyBorder="1" applyAlignment="1" applyProtection="1">
      <alignment horizontal="center" vertical="center" wrapText="1"/>
      <protection hidden="1"/>
    </xf>
    <xf numFmtId="0" fontId="14" fillId="8" borderId="0" xfId="0" applyFont="1" applyFill="1" applyProtection="1">
      <protection hidden="1"/>
    </xf>
    <xf numFmtId="0" fontId="14" fillId="8" borderId="0" xfId="0" applyFont="1" applyFill="1" applyAlignment="1" applyProtection="1">
      <alignment horizontal="center" wrapText="1"/>
      <protection hidden="1"/>
    </xf>
    <xf numFmtId="0" fontId="15" fillId="8" borderId="0" xfId="0" applyFont="1" applyFill="1" applyProtection="1">
      <protection hidden="1"/>
    </xf>
    <xf numFmtId="0" fontId="30" fillId="8" borderId="0" xfId="3" applyFont="1" applyFill="1" applyAlignment="1" applyProtection="1">
      <alignment vertical="top" wrapText="1"/>
      <protection hidden="1"/>
    </xf>
    <xf numFmtId="0" fontId="14" fillId="8" borderId="0" xfId="0" applyFont="1" applyFill="1" applyAlignment="1" applyProtection="1">
      <alignment vertical="top"/>
      <protection hidden="1"/>
    </xf>
    <xf numFmtId="0" fontId="14" fillId="8" borderId="0" xfId="0" applyFont="1" applyFill="1" applyAlignment="1" applyProtection="1">
      <alignment vertical="top" wrapText="1"/>
      <protection hidden="1"/>
    </xf>
    <xf numFmtId="0" fontId="30" fillId="8" borderId="0" xfId="3" applyFont="1" applyFill="1" applyBorder="1" applyAlignment="1" applyProtection="1">
      <alignment vertical="top" wrapText="1"/>
      <protection hidden="1"/>
    </xf>
    <xf numFmtId="0" fontId="14" fillId="8" borderId="0" xfId="0" applyFont="1" applyFill="1" applyAlignment="1" applyProtection="1">
      <alignment wrapText="1"/>
      <protection hidden="1"/>
    </xf>
    <xf numFmtId="0" fontId="14" fillId="8" borderId="0" xfId="0" applyFont="1" applyFill="1" applyAlignment="1" applyProtection="1">
      <alignment horizontal="center" vertical="center" wrapText="1"/>
      <protection hidden="1"/>
    </xf>
    <xf numFmtId="0" fontId="14" fillId="9" borderId="0" xfId="0" applyFont="1" applyFill="1" applyProtection="1">
      <protection hidden="1"/>
    </xf>
    <xf numFmtId="0" fontId="14" fillId="2" borderId="0" xfId="0" applyFont="1" applyFill="1" applyProtection="1">
      <protection hidden="1"/>
    </xf>
    <xf numFmtId="0" fontId="29" fillId="2" borderId="0" xfId="0" applyFont="1" applyFill="1" applyProtection="1">
      <protection hidden="1"/>
    </xf>
    <xf numFmtId="0" fontId="14" fillId="2" borderId="0" xfId="0" applyFont="1" applyFill="1" applyAlignment="1" applyProtection="1">
      <alignment horizontal="center" wrapText="1"/>
      <protection hidden="1"/>
    </xf>
    <xf numFmtId="0" fontId="5" fillId="8" borderId="0" xfId="4" applyFont="1" applyFill="1"/>
    <xf numFmtId="0" fontId="25" fillId="8" borderId="0" xfId="4" applyFont="1" applyFill="1"/>
    <xf numFmtId="0" fontId="5" fillId="8" borderId="0" xfId="0" applyFont="1" applyFill="1" applyProtection="1">
      <protection hidden="1"/>
    </xf>
    <xf numFmtId="0" fontId="25" fillId="2" borderId="0" xfId="0" applyFont="1" applyFill="1" applyAlignment="1" applyProtection="1">
      <alignment horizontal="center" wrapText="1"/>
      <protection hidden="1"/>
    </xf>
    <xf numFmtId="0" fontId="25" fillId="2" borderId="0" xfId="0" applyFont="1" applyFill="1" applyProtection="1">
      <protection hidden="1"/>
    </xf>
    <xf numFmtId="0" fontId="5" fillId="2" borderId="0" xfId="0" applyFont="1" applyFill="1" applyProtection="1">
      <protection hidden="1"/>
    </xf>
    <xf numFmtId="164" fontId="26" fillId="2" borderId="0" xfId="0" applyNumberFormat="1" applyFont="1" applyFill="1" applyAlignment="1" applyProtection="1">
      <alignment horizontal="left"/>
      <protection hidden="1"/>
    </xf>
    <xf numFmtId="0" fontId="25" fillId="2" borderId="0" xfId="4" applyFont="1" applyFill="1"/>
    <xf numFmtId="0" fontId="5" fillId="2" borderId="0" xfId="4" applyFont="1" applyFill="1"/>
    <xf numFmtId="17" fontId="27" fillId="2" borderId="4" xfId="4" applyNumberFormat="1" applyFont="1" applyFill="1" applyBorder="1" applyAlignment="1">
      <alignment horizontal="center" vertical="center"/>
    </xf>
    <xf numFmtId="0" fontId="27" fillId="2" borderId="4" xfId="4" applyFont="1" applyFill="1" applyBorder="1" applyAlignment="1">
      <alignment horizontal="center" vertical="top"/>
    </xf>
    <xf numFmtId="0" fontId="27" fillId="2" borderId="4" xfId="4" applyFont="1" applyFill="1" applyBorder="1" applyAlignment="1">
      <alignment horizontal="left" vertical="center"/>
    </xf>
    <xf numFmtId="0" fontId="27" fillId="2" borderId="4" xfId="4" applyFont="1" applyFill="1" applyBorder="1" applyAlignment="1">
      <alignment horizontal="left" vertical="top"/>
    </xf>
    <xf numFmtId="17" fontId="11" fillId="2" borderId="4" xfId="4" applyNumberFormat="1" applyFont="1" applyFill="1" applyBorder="1" applyAlignment="1">
      <alignment horizontal="center" vertical="center"/>
    </xf>
    <xf numFmtId="167" fontId="11" fillId="2" borderId="4" xfId="4" applyNumberFormat="1" applyFont="1" applyFill="1" applyBorder="1" applyAlignment="1">
      <alignment horizontal="center" vertical="top"/>
    </xf>
    <xf numFmtId="0" fontId="11" fillId="2" borderId="4" xfId="4" applyFont="1" applyFill="1" applyBorder="1" applyAlignment="1">
      <alignment vertical="center" wrapText="1"/>
    </xf>
    <xf numFmtId="0" fontId="27" fillId="2" borderId="4" xfId="4" applyFont="1" applyFill="1" applyBorder="1" applyAlignment="1">
      <alignment vertical="top"/>
    </xf>
    <xf numFmtId="15" fontId="28" fillId="9" borderId="4" xfId="4" applyNumberFormat="1" applyFont="1" applyFill="1" applyBorder="1" applyAlignment="1">
      <alignment horizontal="center"/>
    </xf>
    <xf numFmtId="0" fontId="28" fillId="9" borderId="4" xfId="4" applyFont="1" applyFill="1" applyBorder="1" applyAlignment="1">
      <alignment horizontal="center"/>
    </xf>
    <xf numFmtId="0" fontId="28" fillId="9" borderId="4" xfId="4" applyFont="1" applyFill="1" applyBorder="1" applyAlignment="1">
      <alignment horizontal="left"/>
    </xf>
    <xf numFmtId="0" fontId="5" fillId="8" borderId="0" xfId="0" applyFont="1" applyFill="1" applyAlignment="1" applyProtection="1">
      <alignment horizontal="center" wrapText="1"/>
      <protection hidden="1"/>
    </xf>
    <xf numFmtId="0" fontId="27" fillId="2" borderId="4" xfId="4" applyFont="1" applyFill="1" applyBorder="1" applyAlignment="1">
      <alignment horizontal="left" vertical="center" wrapText="1"/>
    </xf>
    <xf numFmtId="0" fontId="22" fillId="9" borderId="10" xfId="0" applyFont="1" applyFill="1" applyBorder="1" applyAlignment="1" applyProtection="1">
      <alignment horizontal="center" vertical="center" wrapText="1"/>
      <protection hidden="1"/>
    </xf>
    <xf numFmtId="0" fontId="39" fillId="0" borderId="0" xfId="0" applyFont="1"/>
    <xf numFmtId="0" fontId="40" fillId="0" borderId="0" xfId="0" applyFont="1"/>
    <xf numFmtId="0" fontId="39" fillId="2" borderId="0" xfId="5" applyFont="1" applyFill="1" applyAlignment="1" applyProtection="1">
      <alignment horizontal="left" vertical="top" wrapText="1"/>
      <protection hidden="1"/>
    </xf>
    <xf numFmtId="0" fontId="40" fillId="0" borderId="0" xfId="5" applyFont="1" applyAlignment="1" applyProtection="1">
      <alignment horizontal="left" vertical="top" wrapText="1"/>
      <protection hidden="1"/>
    </xf>
    <xf numFmtId="0" fontId="39" fillId="0" borderId="0" xfId="0" applyFont="1" applyProtection="1">
      <protection hidden="1"/>
    </xf>
    <xf numFmtId="0" fontId="39" fillId="2" borderId="0" xfId="0" applyFont="1" applyFill="1" applyProtection="1">
      <protection hidden="1"/>
    </xf>
    <xf numFmtId="49" fontId="11" fillId="10" borderId="10" xfId="2" quotePrefix="1" applyNumberFormat="1" applyFont="1" applyFill="1" applyBorder="1" applyAlignment="1" applyProtection="1">
      <alignment horizontal="center" vertical="center"/>
      <protection hidden="1"/>
    </xf>
    <xf numFmtId="171" fontId="11" fillId="10" borderId="10" xfId="2" applyNumberFormat="1" applyFont="1" applyFill="1" applyBorder="1" applyAlignment="1" applyProtection="1">
      <alignment horizontal="center" vertical="center"/>
      <protection hidden="1"/>
    </xf>
    <xf numFmtId="165" fontId="11" fillId="10" borderId="10" xfId="0" applyNumberFormat="1" applyFont="1" applyFill="1" applyBorder="1" applyAlignment="1" applyProtection="1">
      <alignment horizontal="center" vertical="center" wrapText="1"/>
      <protection hidden="1"/>
    </xf>
    <xf numFmtId="168" fontId="11" fillId="10" borderId="10" xfId="2" applyNumberFormat="1" applyFont="1" applyFill="1" applyBorder="1" applyAlignment="1" applyProtection="1">
      <alignment horizontal="center" vertical="center"/>
      <protection hidden="1"/>
    </xf>
    <xf numFmtId="2" fontId="11" fillId="10" borderId="10" xfId="0" applyNumberFormat="1" applyFont="1" applyFill="1" applyBorder="1" applyAlignment="1" applyProtection="1">
      <alignment horizontal="center" vertical="center" wrapText="1"/>
      <protection hidden="1"/>
    </xf>
    <xf numFmtId="2" fontId="11" fillId="10" borderId="10" xfId="0" quotePrefix="1" applyNumberFormat="1" applyFont="1" applyFill="1" applyBorder="1" applyAlignment="1" applyProtection="1">
      <alignment horizontal="center" vertical="center" wrapText="1"/>
      <protection hidden="1"/>
    </xf>
    <xf numFmtId="0" fontId="40" fillId="2" borderId="0" xfId="0" applyFont="1" applyFill="1" applyProtection="1">
      <protection hidden="1"/>
    </xf>
    <xf numFmtId="0" fontId="39" fillId="2" borderId="0" xfId="0" applyFont="1" applyFill="1"/>
    <xf numFmtId="49" fontId="38" fillId="2" borderId="10" xfId="0" applyNumberFormat="1" applyFont="1" applyFill="1" applyBorder="1" applyAlignment="1" applyProtection="1">
      <alignment horizontal="center" vertical="center" wrapText="1"/>
      <protection locked="0" hidden="1"/>
    </xf>
    <xf numFmtId="43" fontId="14" fillId="3" borderId="4" xfId="1" applyFont="1" applyFill="1" applyBorder="1" applyProtection="1">
      <protection hidden="1"/>
    </xf>
    <xf numFmtId="49" fontId="11" fillId="2" borderId="10" xfId="2" applyNumberFormat="1" applyFont="1" applyFill="1" applyBorder="1" applyAlignment="1" applyProtection="1">
      <alignment horizontal="center" vertical="center" wrapText="1"/>
      <protection locked="0"/>
    </xf>
    <xf numFmtId="1" fontId="14" fillId="8" borderId="0" xfId="0" applyNumberFormat="1" applyFont="1" applyFill="1" applyAlignment="1" applyProtection="1">
      <alignment horizontal="center" wrapText="1"/>
      <protection hidden="1"/>
    </xf>
    <xf numFmtId="0" fontId="14" fillId="5" borderId="4" xfId="0" applyFont="1" applyFill="1" applyBorder="1" applyAlignment="1" applyProtection="1">
      <alignment horizontal="right" wrapText="1"/>
      <protection hidden="1"/>
    </xf>
    <xf numFmtId="0" fontId="14" fillId="5" borderId="4" xfId="0" applyFont="1" applyFill="1" applyBorder="1" applyAlignment="1" applyProtection="1">
      <alignment wrapText="1"/>
      <protection hidden="1"/>
    </xf>
    <xf numFmtId="168" fontId="14" fillId="0" borderId="11" xfId="0" applyNumberFormat="1" applyFont="1" applyBorder="1" applyAlignment="1" applyProtection="1">
      <alignment vertical="center" wrapText="1"/>
      <protection hidden="1"/>
    </xf>
    <xf numFmtId="49" fontId="14" fillId="0" borderId="10" xfId="1" applyNumberFormat="1" applyFont="1" applyBorder="1" applyAlignment="1" applyProtection="1">
      <alignment horizontal="center" vertical="center" wrapText="1"/>
      <protection locked="0"/>
    </xf>
    <xf numFmtId="0" fontId="29" fillId="8" borderId="0" xfId="0" applyFont="1" applyFill="1" applyProtection="1">
      <protection hidden="1"/>
    </xf>
    <xf numFmtId="164" fontId="14" fillId="8" borderId="0" xfId="0" applyNumberFormat="1" applyFont="1" applyFill="1" applyAlignment="1" applyProtection="1">
      <alignment horizontal="left"/>
      <protection hidden="1"/>
    </xf>
    <xf numFmtId="0" fontId="14" fillId="0" borderId="0" xfId="0" quotePrefix="1" applyFont="1" applyProtection="1">
      <protection hidden="1"/>
    </xf>
    <xf numFmtId="49" fontId="14" fillId="0" borderId="10" xfId="0" applyNumberFormat="1" applyFont="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hidden="1"/>
    </xf>
    <xf numFmtId="168" fontId="14" fillId="0" borderId="13" xfId="1" applyNumberFormat="1" applyFont="1" applyBorder="1" applyAlignment="1" applyProtection="1">
      <alignment horizontal="center" vertical="center" wrapText="1"/>
      <protection locked="0"/>
    </xf>
    <xf numFmtId="168" fontId="14" fillId="0" borderId="24" xfId="0" applyNumberFormat="1" applyFont="1" applyBorder="1" applyAlignment="1" applyProtection="1">
      <alignment vertical="center" wrapText="1"/>
      <protection hidden="1"/>
    </xf>
    <xf numFmtId="0" fontId="14" fillId="0" borderId="10" xfId="0" applyFont="1" applyBorder="1" applyAlignment="1" applyProtection="1">
      <alignment horizontal="center" vertical="center" wrapText="1"/>
      <protection hidden="1"/>
    </xf>
    <xf numFmtId="169" fontId="14" fillId="0" borderId="10" xfId="1" applyNumberFormat="1" applyFont="1" applyBorder="1" applyAlignment="1" applyProtection="1">
      <alignment horizontal="center" vertical="center" wrapText="1"/>
      <protection locked="0"/>
    </xf>
    <xf numFmtId="0" fontId="22" fillId="6" borderId="12" xfId="0" applyFont="1" applyFill="1" applyBorder="1" applyAlignment="1" applyProtection="1">
      <alignment horizontal="center" vertical="center" wrapText="1"/>
      <protection hidden="1"/>
    </xf>
    <xf numFmtId="9" fontId="14" fillId="0" borderId="10" xfId="1" applyNumberFormat="1" applyFont="1" applyBorder="1" applyAlignment="1" applyProtection="1">
      <alignment horizontal="center" vertical="center" wrapText="1"/>
      <protection locked="0"/>
    </xf>
    <xf numFmtId="0" fontId="14" fillId="0" borderId="11" xfId="0" applyFont="1" applyBorder="1" applyProtection="1">
      <protection hidden="1"/>
    </xf>
    <xf numFmtId="0" fontId="14" fillId="0" borderId="22" xfId="0" applyFont="1" applyBorder="1" applyAlignment="1" applyProtection="1">
      <alignment horizontal="center" wrapText="1"/>
      <protection hidden="1"/>
    </xf>
    <xf numFmtId="3" fontId="11" fillId="10" borderId="10" xfId="1" applyNumberFormat="1" applyFont="1" applyFill="1" applyBorder="1" applyAlignment="1" applyProtection="1">
      <alignment horizontal="center" vertical="center" wrapText="1"/>
      <protection hidden="1"/>
    </xf>
    <xf numFmtId="1" fontId="11" fillId="10" borderId="13" xfId="0" applyNumberFormat="1" applyFont="1" applyFill="1" applyBorder="1" applyAlignment="1" applyProtection="1">
      <alignment horizontal="center" vertical="center" wrapText="1"/>
      <protection hidden="1"/>
    </xf>
    <xf numFmtId="0" fontId="14" fillId="0" borderId="10" xfId="0" applyFont="1" applyBorder="1" applyAlignment="1" applyProtection="1">
      <alignment horizontal="center" wrapText="1"/>
      <protection hidden="1"/>
    </xf>
    <xf numFmtId="166" fontId="14" fillId="0" borderId="10" xfId="1" applyNumberFormat="1" applyFont="1" applyBorder="1" applyAlignment="1" applyProtection="1">
      <alignment horizontal="center" vertical="center" wrapText="1"/>
      <protection locked="0"/>
    </xf>
    <xf numFmtId="1" fontId="14" fillId="0" borderId="10" xfId="0" applyNumberFormat="1" applyFont="1" applyBorder="1" applyAlignment="1" applyProtection="1">
      <alignment horizontal="center" vertical="center" wrapText="1"/>
      <protection locked="0"/>
    </xf>
    <xf numFmtId="4" fontId="14" fillId="0" borderId="10" xfId="1" applyNumberFormat="1" applyFont="1" applyBorder="1" applyAlignment="1" applyProtection="1">
      <alignment horizontal="center" vertical="center" wrapText="1"/>
      <protection locked="0"/>
    </xf>
    <xf numFmtId="49" fontId="14" fillId="0" borderId="10" xfId="0" applyNumberFormat="1" applyFont="1" applyBorder="1" applyAlignment="1" applyProtection="1">
      <alignment horizontal="center" vertical="center" wrapText="1"/>
      <protection locked="0" hidden="1"/>
    </xf>
    <xf numFmtId="166" fontId="14" fillId="0" borderId="10" xfId="1" applyNumberFormat="1" applyFont="1" applyBorder="1" applyAlignment="1" applyProtection="1">
      <alignment horizontal="center" vertical="center" wrapText="1"/>
      <protection hidden="1"/>
    </xf>
    <xf numFmtId="1" fontId="14" fillId="0" borderId="10" xfId="0" applyNumberFormat="1" applyFont="1" applyBorder="1" applyAlignment="1" applyProtection="1">
      <alignment horizontal="center" vertical="center" wrapText="1"/>
      <protection hidden="1"/>
    </xf>
    <xf numFmtId="0" fontId="22" fillId="6" borderId="23" xfId="0" applyFont="1" applyFill="1" applyBorder="1" applyAlignment="1" applyProtection="1">
      <alignment horizontal="center" vertical="center" wrapText="1"/>
      <protection hidden="1"/>
    </xf>
    <xf numFmtId="171" fontId="11" fillId="10" borderId="23" xfId="2" applyNumberFormat="1" applyFont="1" applyFill="1" applyBorder="1" applyAlignment="1" applyProtection="1">
      <alignment horizontal="center" vertical="center"/>
      <protection hidden="1"/>
    </xf>
    <xf numFmtId="3" fontId="14" fillId="0" borderId="0" xfId="0" applyNumberFormat="1" applyFont="1" applyAlignment="1" applyProtection="1">
      <alignment vertical="center"/>
      <protection hidden="1"/>
    </xf>
    <xf numFmtId="9" fontId="14" fillId="0" borderId="0" xfId="0" applyNumberFormat="1" applyFont="1" applyAlignment="1" applyProtection="1">
      <alignment horizontal="center" vertical="center" wrapText="1"/>
      <protection hidden="1"/>
    </xf>
    <xf numFmtId="3" fontId="14" fillId="0" borderId="0" xfId="0" applyNumberFormat="1" applyFont="1" applyAlignment="1" applyProtection="1">
      <alignment horizontal="center" vertical="center"/>
      <protection hidden="1"/>
    </xf>
    <xf numFmtId="0" fontId="11" fillId="0" borderId="13" xfId="0" applyFont="1" applyBorder="1" applyAlignment="1">
      <alignment horizontal="left" vertical="center" wrapText="1"/>
    </xf>
    <xf numFmtId="0" fontId="19"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1" fillId="0" borderId="10" xfId="0" applyFont="1" applyBorder="1" applyAlignment="1">
      <alignment vertical="center" wrapText="1"/>
    </xf>
    <xf numFmtId="0" fontId="11" fillId="0" borderId="0" xfId="0" applyFont="1" applyAlignment="1">
      <alignment vertical="top" wrapText="1"/>
    </xf>
    <xf numFmtId="0" fontId="11" fillId="0" borderId="0" xfId="0" applyFont="1" applyAlignment="1">
      <alignment vertical="top"/>
    </xf>
    <xf numFmtId="0" fontId="22" fillId="6" borderId="12" xfId="0" applyFont="1" applyFill="1" applyBorder="1" applyAlignment="1">
      <alignment horizontal="center" vertical="top"/>
    </xf>
    <xf numFmtId="0" fontId="11" fillId="0" borderId="14" xfId="0" applyFont="1" applyBorder="1" applyAlignment="1">
      <alignment vertical="center" wrapText="1"/>
    </xf>
    <xf numFmtId="0" fontId="11" fillId="0" borderId="15" xfId="0" applyFont="1" applyBorder="1" applyAlignment="1">
      <alignment vertical="center"/>
    </xf>
    <xf numFmtId="0" fontId="11" fillId="0" borderId="16" xfId="0" applyFont="1" applyBorder="1" applyAlignment="1">
      <alignment vertical="center"/>
    </xf>
    <xf numFmtId="0" fontId="19" fillId="0" borderId="0" xfId="0" applyFont="1" applyAlignment="1">
      <alignment horizontal="left" vertical="top" wrapText="1"/>
    </xf>
    <xf numFmtId="0" fontId="22" fillId="6" borderId="11" xfId="0" applyFont="1" applyFill="1" applyBorder="1" applyAlignment="1">
      <alignment horizontal="center" vertical="top" wrapText="1"/>
    </xf>
    <xf numFmtId="0" fontId="11" fillId="0" borderId="0" xfId="0" applyFont="1" applyAlignment="1">
      <alignment horizontal="left" vertical="top" wrapText="1"/>
    </xf>
    <xf numFmtId="0" fontId="11" fillId="0" borderId="17" xfId="0" applyFont="1" applyBorder="1" applyAlignment="1">
      <alignment vertical="center"/>
    </xf>
    <xf numFmtId="0" fontId="11" fillId="0" borderId="0" xfId="0" applyFont="1" applyAlignment="1">
      <alignment vertical="center"/>
    </xf>
    <xf numFmtId="0" fontId="11" fillId="0" borderId="18" xfId="0" applyFont="1" applyBorder="1" applyAlignment="1">
      <alignment vertical="center"/>
    </xf>
    <xf numFmtId="0" fontId="20" fillId="0" borderId="17" xfId="3" applyFont="1" applyBorder="1" applyAlignment="1" applyProtection="1">
      <alignment vertical="center"/>
    </xf>
    <xf numFmtId="0" fontId="19" fillId="0" borderId="19" xfId="0" applyFont="1" applyBorder="1" applyAlignment="1">
      <alignment vertical="center" wrapText="1"/>
    </xf>
    <xf numFmtId="0" fontId="11" fillId="0" borderId="20" xfId="0" applyFont="1" applyBorder="1" applyAlignment="1">
      <alignment vertical="center"/>
    </xf>
    <xf numFmtId="0" fontId="11" fillId="0" borderId="21" xfId="0" applyFont="1" applyBorder="1" applyAlignment="1">
      <alignment vertical="center"/>
    </xf>
    <xf numFmtId="0" fontId="2" fillId="0" borderId="17" xfId="3" applyFill="1" applyBorder="1" applyAlignment="1" applyProtection="1">
      <alignment horizontal="left" vertical="center" wrapText="1"/>
    </xf>
    <xf numFmtId="0" fontId="20" fillId="0" borderId="0" xfId="3" applyFont="1" applyFill="1" applyBorder="1" applyAlignment="1" applyProtection="1">
      <alignment horizontal="left" vertical="center" wrapText="1"/>
    </xf>
    <xf numFmtId="0" fontId="20" fillId="0" borderId="18" xfId="3" applyFont="1" applyFill="1" applyBorder="1" applyAlignment="1" applyProtection="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5" fillId="0" borderId="0" xfId="0" applyFont="1" applyAlignment="1">
      <alignment horizontal="center" vertical="top" wrapText="1"/>
    </xf>
    <xf numFmtId="0" fontId="7" fillId="2" borderId="0" xfId="0" applyFont="1" applyFill="1" applyAlignment="1">
      <alignment horizontal="left"/>
    </xf>
    <xf numFmtId="0" fontId="7" fillId="8" borderId="0" xfId="0" applyFont="1" applyFill="1" applyAlignment="1">
      <alignment horizontal="left"/>
    </xf>
    <xf numFmtId="0" fontId="40" fillId="2" borderId="0" xfId="0" applyFont="1" applyFill="1" applyAlignment="1">
      <alignment horizontal="left" vertical="center" wrapText="1"/>
    </xf>
    <xf numFmtId="0" fontId="11" fillId="0" borderId="2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protection hidden="1"/>
    </xf>
    <xf numFmtId="4" fontId="14" fillId="0" borderId="10" xfId="0" applyNumberFormat="1" applyFont="1" applyBorder="1" applyAlignment="1" applyProtection="1">
      <alignment horizontal="center" vertical="center"/>
      <protection locked="0"/>
    </xf>
    <xf numFmtId="0" fontId="14" fillId="0" borderId="10" xfId="0" applyFont="1" applyBorder="1" applyAlignment="1" applyProtection="1">
      <alignment horizontal="center" vertical="center"/>
      <protection hidden="1"/>
    </xf>
    <xf numFmtId="49" fontId="37" fillId="0" borderId="12" xfId="0" quotePrefix="1" applyNumberFormat="1" applyFont="1" applyBorder="1" applyAlignment="1" applyProtection="1">
      <alignment horizontal="center" vertical="center" wrapText="1"/>
      <protection locked="0"/>
    </xf>
    <xf numFmtId="49" fontId="37" fillId="0" borderId="12" xfId="0" applyNumberFormat="1" applyFont="1" applyBorder="1" applyAlignment="1" applyProtection="1">
      <alignment horizontal="center" vertical="center"/>
      <protection locked="0"/>
    </xf>
    <xf numFmtId="49" fontId="14" fillId="0" borderId="10" xfId="1" applyNumberFormat="1" applyFont="1" applyBorder="1" applyAlignment="1" applyProtection="1">
      <alignment horizontal="center" vertical="center" wrapText="1"/>
      <protection locked="0"/>
    </xf>
    <xf numFmtId="49" fontId="14" fillId="0" borderId="10" xfId="0" applyNumberFormat="1" applyFont="1" applyBorder="1" applyAlignment="1" applyProtection="1">
      <alignment horizontal="center" vertical="center" wrapText="1"/>
      <protection locked="0"/>
    </xf>
    <xf numFmtId="0" fontId="32" fillId="6" borderId="10" xfId="0" applyFont="1" applyFill="1" applyBorder="1" applyAlignment="1" applyProtection="1">
      <alignment horizontal="center" vertical="center" wrapText="1"/>
      <protection hidden="1"/>
    </xf>
    <xf numFmtId="49" fontId="14" fillId="0" borderId="10" xfId="0" applyNumberFormat="1" applyFont="1" applyBorder="1" applyAlignment="1" applyProtection="1">
      <alignment horizontal="center" vertical="center"/>
      <protection locked="0"/>
    </xf>
    <xf numFmtId="0" fontId="14" fillId="0" borderId="10" xfId="0" applyFont="1" applyBorder="1" applyAlignment="1" applyProtection="1">
      <alignment horizontal="center" vertical="center" wrapText="1"/>
      <protection hidden="1"/>
    </xf>
    <xf numFmtId="49" fontId="14" fillId="0" borderId="12" xfId="0" applyNumberFormat="1" applyFont="1" applyBorder="1" applyAlignment="1" applyProtection="1">
      <alignment horizontal="center" vertical="center" wrapText="1"/>
      <protection locked="0"/>
    </xf>
  </cellXfs>
  <cellStyles count="6">
    <cellStyle name="Comma" xfId="1" builtinId="3"/>
    <cellStyle name="Hyperlink" xfId="3" builtinId="8"/>
    <cellStyle name="Normal" xfId="0" builtinId="0"/>
    <cellStyle name="Normal 2" xfId="4" xr:uid="{00000000-0005-0000-0000-000003000000}"/>
    <cellStyle name="Normal 2 2" xfId="5" xr:uid="{00000000-0005-0000-0000-000004000000}"/>
    <cellStyle name="Percent" xfId="2" builtinId="5"/>
  </cellStyles>
  <dxfs count="108">
    <dxf>
      <font>
        <b val="0"/>
        <i/>
        <color theme="0" tint="-0.24994659260841701"/>
      </font>
    </dxf>
    <dxf>
      <font>
        <b val="0"/>
        <i/>
        <color theme="0" tint="-0.24994659260841701"/>
      </font>
    </dxf>
    <dxf>
      <font>
        <b val="0"/>
        <i/>
        <color theme="0" tint="-0.24994659260841701"/>
      </font>
    </dxf>
    <dxf>
      <font>
        <b val="0"/>
        <i/>
        <color theme="0" tint="-0.24994659260841701"/>
      </font>
    </dxf>
    <dxf>
      <font>
        <b val="0"/>
        <i/>
        <color theme="0" tint="-0.24994659260841701"/>
      </font>
      <fill>
        <patternFill patternType="none">
          <bgColor auto="1"/>
        </patternFill>
      </fill>
    </dxf>
    <dxf>
      <font>
        <b val="0"/>
        <i/>
        <color theme="0" tint="-0.24994659260841701"/>
      </font>
    </dxf>
    <dxf>
      <font>
        <b val="0"/>
        <i/>
        <color theme="0" tint="-0.24994659260841701"/>
      </font>
    </dxf>
    <dxf>
      <font>
        <b val="0"/>
        <i/>
        <color theme="0" tint="-0.24994659260841701"/>
      </font>
      <fill>
        <patternFill patternType="none">
          <bgColor auto="1"/>
        </patternFill>
      </fill>
    </dxf>
    <dxf>
      <font>
        <b/>
        <i val="0"/>
        <color rgb="FFFF0000"/>
      </font>
      <fill>
        <patternFill patternType="lightUp">
          <fgColor rgb="FFFF0000"/>
        </patternFill>
      </fill>
      <border>
        <left style="thin">
          <color rgb="FFFF0000"/>
        </left>
        <right style="thin">
          <color rgb="FFFF0000"/>
        </right>
        <top style="thin">
          <color rgb="FFFF0000"/>
        </top>
        <bottom style="thin">
          <color rgb="FFFF0000"/>
        </bottom>
        <vertical/>
        <horizontal/>
      </border>
    </dxf>
    <dxf>
      <font>
        <b val="0"/>
        <i/>
        <color theme="0" tint="-0.24994659260841701"/>
      </font>
    </dxf>
    <dxf>
      <font>
        <b val="0"/>
        <i/>
        <color theme="0" tint="-0.24994659260841701"/>
      </font>
    </dxf>
    <dxf>
      <font>
        <b val="0"/>
        <i/>
        <color theme="0" tint="-0.24994659260841701"/>
      </font>
    </dxf>
    <dxf>
      <font>
        <b val="0"/>
        <i/>
        <color theme="0" tint="-0.24994659260841701"/>
      </font>
    </dxf>
    <dxf>
      <font>
        <b val="0"/>
        <i/>
        <color theme="0" tint="-0.24994659260841701"/>
      </font>
      <fill>
        <patternFill patternType="none">
          <bgColor auto="1"/>
        </patternFill>
      </fill>
    </dxf>
    <dxf>
      <font>
        <b val="0"/>
        <i/>
        <color theme="0" tint="-0.24994659260841701"/>
      </font>
    </dxf>
    <dxf>
      <font>
        <b val="0"/>
        <i/>
        <color theme="0" tint="-0.24994659260841701"/>
      </font>
    </dxf>
    <dxf>
      <font>
        <b val="0"/>
        <i/>
        <color theme="0" tint="-0.24994659260841701"/>
      </font>
      <fill>
        <patternFill patternType="none">
          <bgColor auto="1"/>
        </patternFill>
      </fill>
    </dxf>
    <dxf>
      <font>
        <b/>
        <i val="0"/>
        <color rgb="FFFF0000"/>
      </font>
      <fill>
        <patternFill patternType="lightUp">
          <fgColor rgb="FFFF0000"/>
        </patternFill>
      </fill>
      <border>
        <left style="thin">
          <color rgb="FFFF0000"/>
        </left>
        <right style="thin">
          <color rgb="FFFF0000"/>
        </right>
        <top style="thin">
          <color rgb="FFFF0000"/>
        </top>
        <bottom style="thin">
          <color rgb="FFFF0000"/>
        </bottom>
        <vertical/>
        <horizontal/>
      </border>
    </dxf>
    <dxf>
      <font>
        <b val="0"/>
        <i/>
        <color theme="0" tint="-0.24994659260841701"/>
      </font>
    </dxf>
    <dxf>
      <font>
        <b val="0"/>
        <i/>
        <color theme="0" tint="-0.24994659260841701"/>
      </font>
    </dxf>
    <dxf>
      <font>
        <b val="0"/>
        <i/>
        <color theme="0" tint="-0.24994659260841701"/>
      </font>
    </dxf>
    <dxf>
      <font>
        <b val="0"/>
        <i/>
        <color theme="0" tint="-0.24994659260841701"/>
      </font>
    </dxf>
    <dxf>
      <font>
        <b val="0"/>
        <i/>
        <color theme="0" tint="-0.24994659260841701"/>
      </font>
      <fill>
        <patternFill patternType="none">
          <bgColor auto="1"/>
        </patternFill>
      </fill>
    </dxf>
    <dxf>
      <font>
        <b val="0"/>
        <i/>
        <color theme="0" tint="-0.24994659260841701"/>
      </font>
    </dxf>
    <dxf>
      <font>
        <b val="0"/>
        <i/>
        <color theme="0" tint="-0.24994659260841701"/>
      </font>
    </dxf>
    <dxf>
      <font>
        <b val="0"/>
        <i/>
        <color theme="0" tint="-0.24994659260841701"/>
      </font>
      <fill>
        <patternFill patternType="none">
          <bgColor auto="1"/>
        </patternFill>
      </fill>
    </dxf>
    <dxf>
      <font>
        <b/>
        <i val="0"/>
        <color rgb="FFFF0000"/>
      </font>
      <fill>
        <patternFill patternType="lightUp">
          <fgColor rgb="FFFF0000"/>
        </patternFill>
      </fill>
      <border>
        <left style="thin">
          <color rgb="FFFF0000"/>
        </left>
        <right style="thin">
          <color rgb="FFFF0000"/>
        </right>
        <top style="thin">
          <color rgb="FFFF0000"/>
        </top>
        <bottom style="thin">
          <color rgb="FFFF0000"/>
        </bottom>
        <vertical/>
        <horizontal/>
      </border>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name val="Verdana"/>
        <family val="2"/>
        <scheme val="none"/>
      </font>
    </dxf>
    <dxf>
      <font>
        <b val="0"/>
        <strike val="0"/>
        <outline val="0"/>
        <shadow val="0"/>
        <u val="none"/>
        <vertAlign val="baseline"/>
        <sz val="10"/>
        <name val="Verdana"/>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0"/>
        <name val="Verdana"/>
        <family val="2"/>
        <scheme val="none"/>
      </font>
      <fill>
        <patternFill patternType="solid">
          <fgColor indexed="64"/>
          <bgColor rgb="FF2DAE76"/>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numFmt numFmtId="1"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name val="Verdana"/>
        <family val="2"/>
        <scheme val="none"/>
      </font>
    </dxf>
    <dxf>
      <font>
        <b val="0"/>
        <strike val="0"/>
        <outline val="0"/>
        <shadow val="0"/>
        <u val="none"/>
        <vertAlign val="baseline"/>
        <sz val="10"/>
        <name val="Verdana"/>
        <family val="2"/>
        <scheme val="none"/>
      </font>
      <numFmt numFmtId="1"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0"/>
        <name val="Verdana"/>
        <family val="2"/>
        <scheme val="none"/>
      </font>
      <fill>
        <patternFill patternType="solid">
          <fgColor indexed="64"/>
          <bgColor rgb="FF2DAE76"/>
        </patternFill>
      </fill>
      <alignment horizontal="left" vertical="top" textRotation="0" wrapText="1" indent="0" justifyLastLine="0" shrinkToFit="0" readingOrder="0"/>
    </dxf>
  </dxfs>
  <tableStyles count="0" defaultTableStyle="TableStyleMedium9" defaultPivotStyle="PivotStyleLight16"/>
  <colors>
    <mruColors>
      <color rgb="FF2DAE76"/>
      <color rgb="FFF3F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11060903</xdr:colOff>
      <xdr:row>1</xdr:row>
      <xdr:rowOff>11907</xdr:rowOff>
    </xdr:from>
    <xdr:to>
      <xdr:col>3</xdr:col>
      <xdr:colOff>340055</xdr:colOff>
      <xdr:row>3</xdr:row>
      <xdr:rowOff>115345</xdr:rowOff>
    </xdr:to>
    <xdr:pic>
      <xdr:nvPicPr>
        <xdr:cNvPr id="3" name="Picture 2">
          <a:extLst>
            <a:ext uri="{FF2B5EF4-FFF2-40B4-BE49-F238E27FC236}">
              <a16:creationId xmlns:a16="http://schemas.microsoft.com/office/drawing/2014/main" id="{BC9F1B14-AB30-4907-9A27-794E6F04976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1620497" y="178595"/>
          <a:ext cx="1018714" cy="555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7</xdr:row>
      <xdr:rowOff>166687</xdr:rowOff>
    </xdr:from>
    <xdr:ext cx="11747500" cy="361253"/>
    <mc:AlternateContent xmlns:mc="http://schemas.openxmlformats.org/markup-compatibility/2006" xmlns:a14="http://schemas.microsoft.com/office/drawing/2010/main">
      <mc:Choice Requires="a14">
        <xdr:sp macro="" textlink="">
          <xdr:nvSpPr>
            <xdr:cNvPr id="23" name="TextBox 1">
              <a:extLst>
                <a:ext uri="{FF2B5EF4-FFF2-40B4-BE49-F238E27FC236}">
                  <a16:creationId xmlns:a16="http://schemas.microsoft.com/office/drawing/2014/main" id="{00000000-0008-0000-0100-000002000000}"/>
                </a:ext>
              </a:extLst>
            </xdr:cNvPr>
            <xdr:cNvSpPr txBox="1"/>
          </xdr:nvSpPr>
          <xdr:spPr>
            <a:xfrm>
              <a:off x="243417" y="3151187"/>
              <a:ext cx="11747500" cy="361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GB" sz="1100" b="1" i="1">
                  <a:ea typeface="Cambria Math"/>
                </a:rPr>
                <a:t>Q = </a:t>
              </a:r>
              <a14:m>
                <m:oMath xmlns:m="http://schemas.openxmlformats.org/officeDocument/2006/math">
                  <m:d>
                    <m:dPr>
                      <m:ctrlPr>
                        <a:rPr lang="en-GB" sz="1100" b="1" i="1">
                          <a:latin typeface="Cambria Math" panose="02040503050406030204" pitchFamily="18" charset="0"/>
                          <a:ea typeface="Cambria Math"/>
                        </a:rPr>
                      </m:ctrlPr>
                    </m:dPr>
                    <m:e>
                      <m:r>
                        <a:rPr lang="en-GB" sz="1100" b="1" i="1">
                          <a:solidFill>
                            <a:schemeClr val="tx1"/>
                          </a:solidFill>
                          <a:effectLst/>
                          <a:latin typeface="Cambria Math"/>
                          <a:ea typeface="+mn-ea"/>
                          <a:cs typeface="+mn-cs"/>
                        </a:rPr>
                        <m:t>𝑵𝒖𝒎𝒃𝒆𝒓</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𝒐𝒇</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𝒅𝒆𝒈𝒓𝒆𝒆</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𝒅𝒂𝒚𝒔</m:t>
                      </m:r>
                      <m:d>
                        <m:dPr>
                          <m:ctrlPr>
                            <a:rPr lang="en-GB" sz="1100" b="1" i="1">
                              <a:solidFill>
                                <a:schemeClr val="tx1"/>
                              </a:solidFill>
                              <a:effectLst/>
                              <a:latin typeface="Cambria Math" panose="02040503050406030204" pitchFamily="18" charset="0"/>
                              <a:ea typeface="+mn-ea"/>
                              <a:cs typeface="+mn-cs"/>
                            </a:rPr>
                          </m:ctrlPr>
                        </m:dPr>
                        <m:e>
                          <m:r>
                            <a:rPr lang="en-GB" sz="1100" b="1" i="1">
                              <a:solidFill>
                                <a:schemeClr val="tx1"/>
                              </a:solidFill>
                              <a:effectLst/>
                              <a:latin typeface="Cambria Math"/>
                              <a:ea typeface="+mn-ea"/>
                              <a:cs typeface="+mn-cs"/>
                            </a:rPr>
                            <m:t>𝑲</m:t>
                          </m:r>
                          <m:r>
                            <a:rPr lang="en-GB" sz="1100" b="1" i="1">
                              <a:solidFill>
                                <a:schemeClr val="tx1"/>
                              </a:solidFill>
                              <a:effectLst/>
                              <a:latin typeface="Cambria Math" panose="02040503050406030204" pitchFamily="18" charset="0"/>
                              <a:ea typeface="+mn-ea"/>
                              <a:cs typeface="+mn-cs"/>
                            </a:rPr>
                            <m:t>𝒆𝒍𝒗𝒊𝒏</m:t>
                          </m:r>
                          <m:r>
                            <a:rPr lang="en-GB" sz="1100" b="1" i="1">
                              <a:solidFill>
                                <a:schemeClr val="tx1"/>
                              </a:solidFill>
                              <a:effectLst/>
                              <a:latin typeface="Cambria Math" panose="02040503050406030204" pitchFamily="18" charset="0"/>
                              <a:ea typeface="+mn-ea"/>
                              <a:cs typeface="+mn-cs"/>
                            </a:rPr>
                            <m:t>.</m:t>
                          </m:r>
                          <m:r>
                            <a:rPr lang="en-GB" sz="1100" b="1" i="1">
                              <a:solidFill>
                                <a:schemeClr val="tx1"/>
                              </a:solidFill>
                              <a:effectLst/>
                              <a:latin typeface="Cambria Math" panose="02040503050406030204" pitchFamily="18" charset="0"/>
                              <a:ea typeface="+mn-ea"/>
                              <a:cs typeface="+mn-cs"/>
                            </a:rPr>
                            <m:t>𝑫𝒂𝒚𝒔</m:t>
                          </m:r>
                        </m:e>
                      </m:d>
                      <m:r>
                        <a:rPr lang="en-GB" sz="1100" b="1" i="1">
                          <a:solidFill>
                            <a:schemeClr val="tx1"/>
                          </a:solidFill>
                          <a:effectLst/>
                          <a:latin typeface="Cambria Math"/>
                          <a:ea typeface="+mn-ea"/>
                          <a:cs typeface="+mn-cs"/>
                        </a:rPr>
                        <m:t>×</m:t>
                      </m:r>
                      <m:r>
                        <a:rPr lang="en-GB" sz="1100" b="1" i="1">
                          <a:solidFill>
                            <a:schemeClr val="tx1"/>
                          </a:solidFill>
                          <a:effectLst/>
                          <a:latin typeface="Cambria Math"/>
                          <a:ea typeface="+mn-ea"/>
                          <a:cs typeface="+mn-cs"/>
                        </a:rPr>
                        <m:t>𝑨𝒓𝒆𝒂</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𝒕𝒐</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𝒃𝒆</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𝒊𝒏𝒔𝒖𝒍𝒂𝒕𝒆𝒅</m:t>
                      </m:r>
                      <m:r>
                        <a:rPr lang="en-GB" sz="1100" b="1" i="1">
                          <a:solidFill>
                            <a:schemeClr val="tx1"/>
                          </a:solidFill>
                          <a:effectLst/>
                          <a:latin typeface="Cambria Math"/>
                          <a:ea typeface="+mn-ea"/>
                          <a:cs typeface="+mn-cs"/>
                        </a:rPr>
                        <m:t> </m:t>
                      </m:r>
                      <m:d>
                        <m:dPr>
                          <m:ctrlPr>
                            <a:rPr lang="en-GB" sz="1100" b="1" i="1">
                              <a:solidFill>
                                <a:schemeClr val="tx1"/>
                              </a:solidFill>
                              <a:effectLst/>
                              <a:latin typeface="Cambria Math" panose="02040503050406030204" pitchFamily="18" charset="0"/>
                              <a:ea typeface="+mn-ea"/>
                              <a:cs typeface="+mn-cs"/>
                            </a:rPr>
                          </m:ctrlPr>
                        </m:dPr>
                        <m:e>
                          <m:sSup>
                            <m:sSupPr>
                              <m:ctrlPr>
                                <a:rPr lang="en-GB" sz="1100" b="1" i="1">
                                  <a:solidFill>
                                    <a:schemeClr val="tx1"/>
                                  </a:solidFill>
                                  <a:effectLst/>
                                  <a:latin typeface="Cambria Math" panose="02040503050406030204" pitchFamily="18" charset="0"/>
                                  <a:ea typeface="+mn-ea"/>
                                  <a:cs typeface="+mn-cs"/>
                                </a:rPr>
                              </m:ctrlPr>
                            </m:sSupPr>
                            <m:e>
                              <m:r>
                                <a:rPr lang="en-GB" sz="1100" b="1" i="1">
                                  <a:solidFill>
                                    <a:schemeClr val="tx1"/>
                                  </a:solidFill>
                                  <a:effectLst/>
                                  <a:latin typeface="Cambria Math"/>
                                  <a:ea typeface="+mn-ea"/>
                                  <a:cs typeface="+mn-cs"/>
                                </a:rPr>
                                <m:t>𝒎</m:t>
                              </m:r>
                            </m:e>
                            <m:sup>
                              <m:r>
                                <a:rPr lang="en-GB" sz="1100" b="1" i="1">
                                  <a:solidFill>
                                    <a:schemeClr val="tx1"/>
                                  </a:solidFill>
                                  <a:effectLst/>
                                  <a:latin typeface="Cambria Math"/>
                                  <a:ea typeface="+mn-ea"/>
                                  <a:cs typeface="+mn-cs"/>
                                </a:rPr>
                                <m:t>𝟐</m:t>
                              </m:r>
                            </m:sup>
                          </m:sSup>
                        </m:e>
                      </m:d>
                      <m:r>
                        <a:rPr lang="en-GB" sz="1100" b="1" i="1">
                          <a:solidFill>
                            <a:schemeClr val="tx1"/>
                          </a:solidFill>
                          <a:effectLst/>
                          <a:latin typeface="Cambria Math"/>
                          <a:ea typeface="+mn-ea"/>
                          <a:cs typeface="+mn-cs"/>
                        </a:rPr>
                        <m:t>×</m:t>
                      </m:r>
                      <m:r>
                        <a:rPr lang="en-GB" sz="1100" b="1" i="1">
                          <a:solidFill>
                            <a:schemeClr val="tx1"/>
                          </a:solidFill>
                          <a:effectLst/>
                          <a:latin typeface="Cambria Math"/>
                          <a:ea typeface="+mn-ea"/>
                          <a:cs typeface="+mn-cs"/>
                        </a:rPr>
                        <m:t>𝑼</m:t>
                      </m:r>
                      <m:r>
                        <a:rPr lang="en-GB" sz="1100" b="1" i="1">
                          <a:solidFill>
                            <a:schemeClr val="tx1"/>
                          </a:solidFill>
                          <a:effectLst/>
                          <a:latin typeface="Cambria Math"/>
                          <a:ea typeface="+mn-ea"/>
                          <a:cs typeface="+mn-cs"/>
                        </a:rPr>
                        <m:t>−</m:t>
                      </m:r>
                      <m:r>
                        <a:rPr lang="en-GB" sz="1100" b="1" i="1">
                          <a:solidFill>
                            <a:schemeClr val="tx1"/>
                          </a:solidFill>
                          <a:effectLst/>
                          <a:latin typeface="Cambria Math"/>
                          <a:ea typeface="+mn-ea"/>
                          <a:cs typeface="+mn-cs"/>
                        </a:rPr>
                        <m:t>𝒗𝒂𝒍𝒖𝒆</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𝒐𝒇</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𝒆𝒍𝒆𝒎𝒆𝒏𝒕</m:t>
                      </m:r>
                      <m:r>
                        <a:rPr lang="en-GB" sz="1100" b="1" i="1">
                          <a:solidFill>
                            <a:schemeClr val="tx1"/>
                          </a:solidFill>
                          <a:effectLst/>
                          <a:latin typeface="Cambria Math"/>
                          <a:ea typeface="+mn-ea"/>
                          <a:cs typeface="+mn-cs"/>
                        </a:rPr>
                        <m:t> </m:t>
                      </m:r>
                      <m:d>
                        <m:dPr>
                          <m:ctrlPr>
                            <a:rPr lang="en-GB" sz="1100" b="1" i="1">
                              <a:solidFill>
                                <a:schemeClr val="tx1"/>
                              </a:solidFill>
                              <a:effectLst/>
                              <a:latin typeface="Cambria Math" panose="02040503050406030204" pitchFamily="18" charset="0"/>
                              <a:ea typeface="+mn-ea"/>
                              <a:cs typeface="+mn-cs"/>
                            </a:rPr>
                          </m:ctrlPr>
                        </m:dPr>
                        <m:e>
                          <m:f>
                            <m:fPr>
                              <m:type m:val="skw"/>
                              <m:ctrlPr>
                                <a:rPr lang="en-GB" sz="1100" b="1" i="1">
                                  <a:solidFill>
                                    <a:schemeClr val="tx1"/>
                                  </a:solidFill>
                                  <a:effectLst/>
                                  <a:latin typeface="Cambria Math" panose="02040503050406030204" pitchFamily="18" charset="0"/>
                                  <a:ea typeface="+mn-ea"/>
                                  <a:cs typeface="+mn-cs"/>
                                </a:rPr>
                              </m:ctrlPr>
                            </m:fPr>
                            <m:num>
                              <m:r>
                                <a:rPr lang="en-GB" sz="1100" b="1" i="1">
                                  <a:solidFill>
                                    <a:schemeClr val="tx1"/>
                                  </a:solidFill>
                                  <a:effectLst/>
                                  <a:latin typeface="Cambria Math"/>
                                  <a:ea typeface="+mn-ea"/>
                                  <a:cs typeface="+mn-cs"/>
                                </a:rPr>
                                <m:t>𝑾</m:t>
                              </m:r>
                            </m:num>
                            <m:den>
                              <m:sSup>
                                <m:sSupPr>
                                  <m:ctrlPr>
                                    <a:rPr lang="en-GB" sz="1100" b="1" i="1">
                                      <a:solidFill>
                                        <a:schemeClr val="tx1"/>
                                      </a:solidFill>
                                      <a:effectLst/>
                                      <a:latin typeface="Cambria Math" panose="02040503050406030204" pitchFamily="18" charset="0"/>
                                      <a:ea typeface="+mn-ea"/>
                                      <a:cs typeface="+mn-cs"/>
                                    </a:rPr>
                                  </m:ctrlPr>
                                </m:sSupPr>
                                <m:e>
                                  <m:r>
                                    <a:rPr lang="en-GB" sz="1100" b="1" i="1">
                                      <a:solidFill>
                                        <a:schemeClr val="tx1"/>
                                      </a:solidFill>
                                      <a:effectLst/>
                                      <a:latin typeface="Cambria Math"/>
                                      <a:ea typeface="+mn-ea"/>
                                      <a:cs typeface="+mn-cs"/>
                                    </a:rPr>
                                    <m:t>𝒎</m:t>
                                  </m:r>
                                </m:e>
                                <m:sup>
                                  <m:r>
                                    <a:rPr lang="en-GB" sz="1100" b="1" i="1">
                                      <a:solidFill>
                                        <a:schemeClr val="tx1"/>
                                      </a:solidFill>
                                      <a:effectLst/>
                                      <a:latin typeface="Cambria Math"/>
                                      <a:ea typeface="+mn-ea"/>
                                      <a:cs typeface="+mn-cs"/>
                                    </a:rPr>
                                    <m:t>𝟐</m:t>
                                  </m:r>
                                </m:sup>
                              </m:sSup>
                              <m:r>
                                <a:rPr lang="en-GB" sz="1100" b="1" i="1">
                                  <a:solidFill>
                                    <a:schemeClr val="tx1"/>
                                  </a:solidFill>
                                  <a:effectLst/>
                                  <a:latin typeface="Cambria Math"/>
                                  <a:ea typeface="+mn-ea"/>
                                  <a:cs typeface="+mn-cs"/>
                                </a:rPr>
                                <m:t>𝑲</m:t>
                              </m:r>
                            </m:den>
                          </m:f>
                        </m:e>
                      </m:d>
                      <m:r>
                        <a:rPr lang="en-GB" sz="1100" b="1" i="1">
                          <a:solidFill>
                            <a:schemeClr val="tx1"/>
                          </a:solidFill>
                          <a:effectLst/>
                          <a:latin typeface="Cambria Math"/>
                          <a:ea typeface="+mn-ea"/>
                          <a:cs typeface="+mn-cs"/>
                        </a:rPr>
                        <m:t>×</m:t>
                      </m:r>
                      <m:r>
                        <a:rPr lang="en-GB" sz="1100" b="1" i="1">
                          <a:solidFill>
                            <a:schemeClr val="tx1"/>
                          </a:solidFill>
                          <a:effectLst/>
                          <a:latin typeface="Cambria Math"/>
                          <a:ea typeface="+mn-ea"/>
                          <a:cs typeface="+mn-cs"/>
                        </a:rPr>
                        <m:t>𝑯𝒆𝒂𝒕𝒊𝒏𝒈</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𝒐𝒑𝒆𝒓𝒂𝒕𝒊𝒐𝒏𝒂𝒍</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𝒉𝒐𝒖𝒓</m:t>
                      </m:r>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𝒉</m:t>
                      </m:r>
                      <m:r>
                        <a:rPr lang="en-GB" sz="1100" b="1" i="1">
                          <a:solidFill>
                            <a:schemeClr val="tx1"/>
                          </a:solidFill>
                          <a:effectLst/>
                          <a:latin typeface="Cambria Math" panose="02040503050406030204" pitchFamily="18" charset="0"/>
                          <a:ea typeface="+mn-ea"/>
                          <a:cs typeface="+mn-cs"/>
                        </a:rPr>
                        <m:t>/</m:t>
                      </m:r>
                      <m:r>
                        <a:rPr lang="en-GB" sz="1100" b="1" i="1">
                          <a:solidFill>
                            <a:schemeClr val="tx1"/>
                          </a:solidFill>
                          <a:effectLst/>
                          <a:latin typeface="Cambria Math" panose="02040503050406030204" pitchFamily="18" charset="0"/>
                          <a:ea typeface="+mn-ea"/>
                          <a:cs typeface="+mn-cs"/>
                        </a:rPr>
                        <m:t>𝑫𝒂𝒚</m:t>
                      </m:r>
                      <m:r>
                        <a:rPr lang="en-GB" sz="1100" b="1" i="1">
                          <a:solidFill>
                            <a:schemeClr val="tx1"/>
                          </a:solidFill>
                          <a:effectLst/>
                          <a:latin typeface="Cambria Math"/>
                          <a:ea typeface="+mn-ea"/>
                          <a:cs typeface="+mn-cs"/>
                        </a:rPr>
                        <m:t>) </m:t>
                      </m:r>
                    </m:e>
                  </m:d>
                  <m:r>
                    <a:rPr lang="en-GB" sz="1100" b="1" i="1">
                      <a:latin typeface="Cambria Math"/>
                      <a:ea typeface="Cambria Math"/>
                    </a:rPr>
                    <m:t>× </m:t>
                  </m:r>
                  <m:f>
                    <m:fPr>
                      <m:ctrlPr>
                        <a:rPr lang="en-GB" sz="1100" b="1" i="1">
                          <a:latin typeface="Cambria Math" panose="02040503050406030204" pitchFamily="18" charset="0"/>
                          <a:ea typeface="Cambria Math"/>
                        </a:rPr>
                      </m:ctrlPr>
                    </m:fPr>
                    <m:num>
                      <m:r>
                        <a:rPr lang="en-GB" sz="1100" b="1" i="1">
                          <a:latin typeface="Cambria Math"/>
                          <a:ea typeface="Cambria Math"/>
                        </a:rPr>
                        <m:t>𝑵𝒖𝒎𝒃𝒆𝒓</m:t>
                      </m:r>
                      <m:r>
                        <a:rPr lang="en-GB" sz="1100" b="1" i="1">
                          <a:latin typeface="Cambria Math"/>
                          <a:ea typeface="Cambria Math"/>
                        </a:rPr>
                        <m:t> </m:t>
                      </m:r>
                      <m:r>
                        <a:rPr lang="en-GB" sz="1100" b="1" i="1">
                          <a:latin typeface="Cambria Math"/>
                          <a:ea typeface="Cambria Math"/>
                        </a:rPr>
                        <m:t>𝒐𝒇</m:t>
                      </m:r>
                      <m:r>
                        <a:rPr lang="en-GB" sz="1100" b="1" i="1">
                          <a:latin typeface="Cambria Math"/>
                          <a:ea typeface="Cambria Math"/>
                        </a:rPr>
                        <m:t> </m:t>
                      </m:r>
                      <m:r>
                        <a:rPr lang="en-GB" sz="1100" b="1" i="1">
                          <a:latin typeface="Cambria Math"/>
                          <a:ea typeface="Cambria Math"/>
                        </a:rPr>
                        <m:t>𝒅𝒂𝒚𝒔</m:t>
                      </m:r>
                      <m:r>
                        <a:rPr lang="en-GB" sz="1100" b="1" i="1">
                          <a:latin typeface="Cambria Math"/>
                          <a:ea typeface="Cambria Math"/>
                        </a:rPr>
                        <m:t> </m:t>
                      </m:r>
                      <m:r>
                        <a:rPr lang="en-GB" sz="1100" b="1" i="1">
                          <a:latin typeface="Cambria Math"/>
                          <a:ea typeface="Cambria Math"/>
                        </a:rPr>
                        <m:t>𝒉𝒆𝒂𝒕𝒆𝒅</m:t>
                      </m:r>
                    </m:num>
                    <m:den>
                      <m:r>
                        <a:rPr lang="en-GB" sz="1100" b="1" i="1">
                          <a:latin typeface="Cambria Math"/>
                          <a:ea typeface="Cambria Math"/>
                        </a:rPr>
                        <m:t>𝑵𝒖𝒎𝒃𝒆𝒓</m:t>
                      </m:r>
                      <m:r>
                        <a:rPr lang="en-GB" sz="1100" b="1" i="1">
                          <a:latin typeface="Cambria Math"/>
                          <a:ea typeface="Cambria Math"/>
                        </a:rPr>
                        <m:t> </m:t>
                      </m:r>
                      <m:r>
                        <a:rPr lang="en-GB" sz="1100" b="1" i="1">
                          <a:latin typeface="Cambria Math"/>
                          <a:ea typeface="Cambria Math"/>
                        </a:rPr>
                        <m:t>𝒐𝒇</m:t>
                      </m:r>
                      <m:r>
                        <a:rPr lang="en-GB" sz="1100" b="1" i="1">
                          <a:latin typeface="Cambria Math"/>
                          <a:ea typeface="Cambria Math"/>
                        </a:rPr>
                        <m:t> </m:t>
                      </m:r>
                      <m:r>
                        <a:rPr lang="en-GB" sz="1100" b="1" i="1">
                          <a:latin typeface="Cambria Math"/>
                          <a:ea typeface="Cambria Math"/>
                        </a:rPr>
                        <m:t>𝒅𝒂𝒚𝒔</m:t>
                      </m:r>
                      <m:r>
                        <a:rPr lang="en-GB" sz="1100" b="1" i="1">
                          <a:latin typeface="Cambria Math"/>
                          <a:ea typeface="Cambria Math"/>
                        </a:rPr>
                        <m:t> </m:t>
                      </m:r>
                      <m:r>
                        <a:rPr lang="en-GB" sz="1100" b="1" i="1">
                          <a:latin typeface="Cambria Math"/>
                          <a:ea typeface="Cambria Math"/>
                        </a:rPr>
                        <m:t>𝒊𝒏</m:t>
                      </m:r>
                      <m:r>
                        <a:rPr lang="en-GB" sz="1100" b="1" i="1">
                          <a:latin typeface="Cambria Math"/>
                          <a:ea typeface="Cambria Math"/>
                        </a:rPr>
                        <m:t> </m:t>
                      </m:r>
                      <m:r>
                        <a:rPr lang="en-GB" sz="1100" b="1" i="1">
                          <a:latin typeface="Cambria Math"/>
                          <a:ea typeface="Cambria Math"/>
                        </a:rPr>
                        <m:t>𝒉𝒆𝒂𝒕𝒊𝒏𝒈</m:t>
                      </m:r>
                      <m:r>
                        <a:rPr lang="en-GB" sz="1100" b="1" i="1">
                          <a:latin typeface="Cambria Math"/>
                          <a:ea typeface="Cambria Math"/>
                        </a:rPr>
                        <m:t> </m:t>
                      </m:r>
                      <m:r>
                        <a:rPr lang="en-GB" sz="1100" b="1" i="1">
                          <a:latin typeface="Cambria Math"/>
                          <a:ea typeface="Cambria Math"/>
                        </a:rPr>
                        <m:t>𝒔𝒆𝒂𝒔𝒐𝒏</m:t>
                      </m:r>
                    </m:den>
                  </m:f>
                </m:oMath>
              </a14:m>
              <a:endParaRPr lang="en-GB" sz="1100" b="1"/>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43417" y="3151187"/>
              <a:ext cx="11747500" cy="3612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GB" sz="1100" b="1" i="1">
                  <a:ea typeface="Cambria Math"/>
                </a:rPr>
                <a:t>Q = </a:t>
              </a:r>
              <a:r>
                <a:rPr lang="en-GB" sz="1100" b="1" i="0">
                  <a:latin typeface="Cambria Math" panose="02040503050406030204" pitchFamily="18" charset="0"/>
                  <a:ea typeface="Cambria Math"/>
                </a:rPr>
                <a:t>(</a:t>
              </a:r>
              <a:r>
                <a:rPr lang="en-GB" sz="1100" b="1" i="0">
                  <a:solidFill>
                    <a:schemeClr val="tx1"/>
                  </a:solidFill>
                  <a:effectLst/>
                  <a:latin typeface="Cambria Math"/>
                  <a:ea typeface="+mn-ea"/>
                  <a:cs typeface="+mn-cs"/>
                </a:rPr>
                <a:t>𝑵𝒖𝒎𝒃𝒆𝒓 𝒐𝒇 𝒅𝒆𝒈𝒓𝒆𝒆 𝒅𝒂𝒚𝒔</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𝑲</a:t>
              </a:r>
              <a:r>
                <a:rPr lang="en-GB" sz="1100" b="1" i="0">
                  <a:solidFill>
                    <a:schemeClr val="tx1"/>
                  </a:solidFill>
                  <a:effectLst/>
                  <a:latin typeface="Cambria Math" panose="02040503050406030204" pitchFamily="18" charset="0"/>
                  <a:ea typeface="+mn-ea"/>
                  <a:cs typeface="+mn-cs"/>
                </a:rPr>
                <a:t>𝒆𝒍𝒗𝒊𝒏.𝑫𝒂𝒚𝒔)</a:t>
              </a:r>
              <a:r>
                <a:rPr lang="en-GB" sz="1100" b="1" i="0">
                  <a:solidFill>
                    <a:schemeClr val="tx1"/>
                  </a:solidFill>
                  <a:effectLst/>
                  <a:latin typeface="Cambria Math"/>
                  <a:ea typeface="+mn-ea"/>
                  <a:cs typeface="+mn-cs"/>
                </a:rPr>
                <a:t>×𝑨𝒓𝒆𝒂 𝒕𝒐 𝒃𝒆 𝒊𝒏𝒔𝒖𝒍𝒂𝒕𝒆𝒅 </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𝒎</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𝟐</a:t>
              </a:r>
              <a:r>
                <a:rPr lang="en-GB" sz="1100" b="1" i="0">
                  <a:solidFill>
                    <a:schemeClr val="tx1"/>
                  </a:solidFill>
                  <a:effectLst/>
                  <a:latin typeface="Cambria Math" panose="02040503050406030204" pitchFamily="18" charset="0"/>
                  <a:ea typeface="+mn-ea"/>
                  <a:cs typeface="+mn-cs"/>
                </a:rPr>
                <a:t> )</a:t>
              </a:r>
              <a:r>
                <a:rPr lang="en-GB" sz="1100" b="1" i="0">
                  <a:solidFill>
                    <a:schemeClr val="tx1"/>
                  </a:solidFill>
                  <a:effectLst/>
                  <a:latin typeface="Cambria Math"/>
                  <a:ea typeface="+mn-ea"/>
                  <a:cs typeface="+mn-cs"/>
                </a:rPr>
                <a:t>×𝑼−𝒗𝒂𝒍𝒖𝒆 𝒐𝒇 𝒆𝒍𝒆𝒎𝒆𝒏𝒕 </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𝑾</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𝒎</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𝟐 𝑲</a:t>
              </a:r>
              <a:r>
                <a:rPr lang="en-GB" sz="1100" b="1" i="0">
                  <a:solidFill>
                    <a:schemeClr val="tx1"/>
                  </a:solidFill>
                  <a:effectLst/>
                  <a:latin typeface="Cambria Math" panose="02040503050406030204" pitchFamily="18" charset="0"/>
                  <a:ea typeface="+mn-ea"/>
                  <a:cs typeface="+mn-cs"/>
                </a:rPr>
                <a:t>))</a:t>
              </a:r>
              <a:r>
                <a:rPr lang="en-GB" sz="1100" b="1" i="0">
                  <a:solidFill>
                    <a:schemeClr val="tx1"/>
                  </a:solidFill>
                  <a:effectLst/>
                  <a:latin typeface="Cambria Math"/>
                  <a:ea typeface="+mn-ea"/>
                  <a:cs typeface="+mn-cs"/>
                </a:rPr>
                <a:t>×𝑯𝒆𝒂𝒕𝒊𝒏𝒈 𝒐𝒑𝒆𝒓𝒂𝒕𝒊𝒐𝒏𝒂𝒍 𝒉𝒐𝒖𝒓 (𝒉</a:t>
              </a:r>
              <a:r>
                <a:rPr lang="en-GB" sz="1100" b="1" i="0">
                  <a:solidFill>
                    <a:schemeClr val="tx1"/>
                  </a:solidFill>
                  <a:effectLst/>
                  <a:latin typeface="Cambria Math" panose="02040503050406030204" pitchFamily="18" charset="0"/>
                  <a:ea typeface="+mn-ea"/>
                  <a:cs typeface="+mn-cs"/>
                </a:rPr>
                <a:t>/𝑫𝒂𝒚</a:t>
              </a:r>
              <a:r>
                <a:rPr lang="en-GB" sz="1100" b="1" i="0">
                  <a:solidFill>
                    <a:schemeClr val="tx1"/>
                  </a:solidFill>
                  <a:effectLst/>
                  <a:latin typeface="Cambria Math"/>
                  <a:ea typeface="+mn-ea"/>
                  <a:cs typeface="+mn-cs"/>
                </a:rPr>
                <a:t>) </a:t>
              </a:r>
              <a:r>
                <a:rPr lang="en-GB" sz="1100" b="1" i="0">
                  <a:solidFill>
                    <a:schemeClr val="tx1"/>
                  </a:solidFill>
                  <a:effectLst/>
                  <a:latin typeface="Cambria Math" panose="02040503050406030204" pitchFamily="18" charset="0"/>
                  <a:ea typeface="+mn-ea"/>
                  <a:cs typeface="+mn-cs"/>
                </a:rPr>
                <a:t>)</a:t>
              </a:r>
              <a:r>
                <a:rPr lang="en-GB" sz="1100" b="1" i="0">
                  <a:latin typeface="Cambria Math"/>
                  <a:ea typeface="Cambria Math"/>
                </a:rPr>
                <a:t>×  </a:t>
              </a:r>
              <a:r>
                <a:rPr lang="en-GB" sz="1100" b="1" i="0">
                  <a:latin typeface="Cambria Math" panose="02040503050406030204" pitchFamily="18" charset="0"/>
                  <a:ea typeface="Cambria Math"/>
                </a:rPr>
                <a:t>(</a:t>
              </a:r>
              <a:r>
                <a:rPr lang="en-GB" sz="1100" b="1" i="0">
                  <a:latin typeface="Cambria Math"/>
                  <a:ea typeface="Cambria Math"/>
                </a:rPr>
                <a:t>𝑵𝒖𝒎𝒃𝒆𝒓 𝒐𝒇 𝒅𝒂𝒚𝒔 𝒉𝒆𝒂𝒕𝒆𝒅</a:t>
              </a:r>
              <a:r>
                <a:rPr lang="en-GB" sz="1100" b="1" i="0">
                  <a:latin typeface="Cambria Math" panose="02040503050406030204" pitchFamily="18" charset="0"/>
                  <a:ea typeface="Cambria Math"/>
                </a:rPr>
                <a:t>)/(</a:t>
              </a:r>
              <a:r>
                <a:rPr lang="en-GB" sz="1100" b="1" i="0">
                  <a:latin typeface="Cambria Math"/>
                  <a:ea typeface="Cambria Math"/>
                </a:rPr>
                <a:t>𝑵𝒖𝒎𝒃𝒆𝒓 𝒐𝒇 𝒅𝒂𝒚𝒔 𝒊𝒏 𝒉𝒆𝒂𝒕𝒊𝒏𝒈 𝒔𝒆𝒂𝒔𝒐𝒏</a:t>
              </a:r>
              <a:r>
                <a:rPr lang="en-GB" sz="1100" b="1" i="0">
                  <a:latin typeface="Cambria Math" panose="02040503050406030204" pitchFamily="18" charset="0"/>
                  <a:ea typeface="Cambria Math"/>
                </a:rPr>
                <a:t>)</a:t>
              </a:r>
              <a:endParaRPr lang="en-GB" sz="1100" b="1"/>
            </a:p>
          </xdr:txBody>
        </xdr:sp>
      </mc:Fallback>
    </mc:AlternateContent>
    <xdr:clientData/>
  </xdr:oneCellAnchor>
  <xdr:twoCellAnchor editAs="oneCell">
    <xdr:from>
      <xdr:col>16</xdr:col>
      <xdr:colOff>51026</xdr:colOff>
      <xdr:row>1</xdr:row>
      <xdr:rowOff>11905</xdr:rowOff>
    </xdr:from>
    <xdr:to>
      <xdr:col>27</xdr:col>
      <xdr:colOff>486708</xdr:colOff>
      <xdr:row>10</xdr:row>
      <xdr:rowOff>2612977</xdr:rowOff>
    </xdr:to>
    <xdr:pic>
      <xdr:nvPicPr>
        <xdr:cNvPr id="15" name="Picture 42">
          <a:extLst>
            <a:ext uri="{FF2B5EF4-FFF2-40B4-BE49-F238E27FC236}">
              <a16:creationId xmlns:a16="http://schemas.microsoft.com/office/drawing/2014/main" id="{0E79D666-38DE-4876-980B-463D972BA2FC}"/>
            </a:ext>
          </a:extLst>
        </xdr:cNvPr>
        <xdr:cNvPicPr>
          <a:picLocks noChangeAspect="1"/>
        </xdr:cNvPicPr>
      </xdr:nvPicPr>
      <xdr:blipFill>
        <a:blip xmlns:r="http://schemas.openxmlformats.org/officeDocument/2006/relationships" r:embed="rId1"/>
        <a:stretch>
          <a:fillRect/>
        </a:stretch>
      </xdr:blipFill>
      <xdr:spPr>
        <a:xfrm>
          <a:off x="12624026" y="238124"/>
          <a:ext cx="7065876" cy="6900022"/>
        </a:xfrm>
        <a:prstGeom prst="rect">
          <a:avLst/>
        </a:prstGeom>
        <a:solidFill>
          <a:schemeClr val="bg1"/>
        </a:solidFill>
        <a:ln w="3175" cap="sq">
          <a:solidFill>
            <a:schemeClr val="tx1">
              <a:lumMod val="50000"/>
              <a:lumOff val="50000"/>
            </a:schemeClr>
          </a:solidFill>
          <a:miter lim="800000"/>
        </a:ln>
        <a:effectLst/>
      </xdr:spPr>
    </xdr:pic>
    <xdr:clientData/>
  </xdr:twoCellAnchor>
  <xdr:oneCellAnchor>
    <xdr:from>
      <xdr:col>3</xdr:col>
      <xdr:colOff>1055857</xdr:colOff>
      <xdr:row>10</xdr:row>
      <xdr:rowOff>1762125</xdr:rowOff>
    </xdr:from>
    <xdr:ext cx="10005049" cy="273610"/>
    <mc:AlternateContent xmlns:mc="http://schemas.openxmlformats.org/markup-compatibility/2006" xmlns:a14="http://schemas.microsoft.com/office/drawing/2010/main">
      <mc:Choice Requires="a14">
        <xdr:sp macro="" textlink="">
          <xdr:nvSpPr>
            <xdr:cNvPr id="45" name="TextBox 2">
              <a:extLst>
                <a:ext uri="{FF2B5EF4-FFF2-40B4-BE49-F238E27FC236}">
                  <a16:creationId xmlns:a16="http://schemas.microsoft.com/office/drawing/2014/main" id="{F1E26C80-634F-4782-946F-0C57C11DB7DB}"/>
                </a:ext>
              </a:extLst>
            </xdr:cNvPr>
            <xdr:cNvSpPr txBox="1"/>
          </xdr:nvSpPr>
          <xdr:spPr>
            <a:xfrm>
              <a:off x="1913107" y="6084094"/>
              <a:ext cx="10005049" cy="273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sSub>
                      <m:sSubPr>
                        <m:ctrlPr>
                          <a:rPr lang="en-GB" sz="1200" b="1" i="1">
                            <a:solidFill>
                              <a:schemeClr val="tx1"/>
                            </a:solidFill>
                            <a:effectLst/>
                            <a:latin typeface="Cambria Math" panose="02040503050406030204" pitchFamily="18" charset="0"/>
                            <a:ea typeface="Cambria Math" panose="02040503050406030204" pitchFamily="18" charset="0"/>
                            <a:cs typeface="+mn-cs"/>
                          </a:rPr>
                        </m:ctrlPr>
                      </m:sSubPr>
                      <m:e>
                        <m:r>
                          <a:rPr lang="en-GB" sz="1200" b="1" i="1">
                            <a:solidFill>
                              <a:schemeClr val="tx1"/>
                            </a:solidFill>
                            <a:effectLst/>
                            <a:latin typeface="Cambria Math" panose="02040503050406030204" pitchFamily="18" charset="0"/>
                            <a:ea typeface="Cambria Math" panose="02040503050406030204" pitchFamily="18" charset="0"/>
                            <a:cs typeface="+mn-cs"/>
                          </a:rPr>
                          <m:t>𝑹</m:t>
                        </m:r>
                      </m:e>
                      <m:sub>
                        <m:r>
                          <a:rPr lang="en-GB" sz="1200" b="1" i="1">
                            <a:solidFill>
                              <a:schemeClr val="tx1"/>
                            </a:solidFill>
                            <a:effectLst/>
                            <a:latin typeface="Cambria Math" panose="02040503050406030204" pitchFamily="18" charset="0"/>
                            <a:ea typeface="Cambria Math" panose="02040503050406030204" pitchFamily="18" charset="0"/>
                            <a:cs typeface="+mn-cs"/>
                          </a:rPr>
                          <m:t>𝑻</m:t>
                        </m:r>
                      </m:sub>
                    </m:sSub>
                    <m:r>
                      <a:rPr lang="en-GB" sz="1200" b="1" i="1">
                        <a:solidFill>
                          <a:schemeClr val="tx1"/>
                        </a:solidFill>
                        <a:effectLst/>
                        <a:latin typeface="Cambria Math" panose="02040503050406030204" pitchFamily="18" charset="0"/>
                        <a:ea typeface="Cambria Math" panose="02040503050406030204" pitchFamily="18" charset="0"/>
                        <a:cs typeface="+mn-cs"/>
                      </a:rPr>
                      <m:t> = </m:t>
                    </m:r>
                    <m:r>
                      <a:rPr lang="en-GB" sz="1200" b="1" i="1">
                        <a:solidFill>
                          <a:schemeClr val="tx1"/>
                        </a:solidFill>
                        <a:effectLst/>
                        <a:latin typeface="Cambria Math" panose="02040503050406030204" pitchFamily="18" charset="0"/>
                        <a:ea typeface="Cambria Math" panose="02040503050406030204" pitchFamily="18" charset="0"/>
                        <a:cs typeface="+mn-cs"/>
                      </a:rPr>
                      <m:t>𝑹</m:t>
                    </m:r>
                    <m:r>
                      <a:rPr lang="en-GB" sz="1200" b="1" i="1" baseline="-25000">
                        <a:solidFill>
                          <a:schemeClr val="tx1"/>
                        </a:solidFill>
                        <a:effectLst/>
                        <a:latin typeface="Cambria Math" panose="02040503050406030204" pitchFamily="18" charset="0"/>
                        <a:ea typeface="Cambria Math" panose="02040503050406030204" pitchFamily="18" charset="0"/>
                        <a:cs typeface="+mn-cs"/>
                      </a:rPr>
                      <m:t>𝟏</m:t>
                    </m:r>
                    <m:r>
                      <a:rPr lang="en-GB" sz="1200" b="1" i="1">
                        <a:solidFill>
                          <a:schemeClr val="tx1"/>
                        </a:solidFill>
                        <a:effectLst/>
                        <a:latin typeface="Cambria Math" panose="02040503050406030204" pitchFamily="18" charset="0"/>
                        <a:ea typeface="Cambria Math" panose="02040503050406030204" pitchFamily="18" charset="0"/>
                        <a:cs typeface="+mn-cs"/>
                      </a:rPr>
                      <m:t> + </m:t>
                    </m:r>
                    <m:r>
                      <a:rPr lang="en-GB" sz="1200" b="1" i="1">
                        <a:solidFill>
                          <a:schemeClr val="tx1"/>
                        </a:solidFill>
                        <a:effectLst/>
                        <a:latin typeface="Cambria Math" panose="02040503050406030204" pitchFamily="18" charset="0"/>
                        <a:ea typeface="Cambria Math" panose="02040503050406030204" pitchFamily="18" charset="0"/>
                        <a:cs typeface="+mn-cs"/>
                      </a:rPr>
                      <m:t>𝑹</m:t>
                    </m:r>
                    <m:r>
                      <a:rPr lang="en-GB" sz="1200" b="1" i="1" baseline="-25000">
                        <a:solidFill>
                          <a:schemeClr val="tx1"/>
                        </a:solidFill>
                        <a:effectLst/>
                        <a:latin typeface="Cambria Math" panose="02040503050406030204" pitchFamily="18" charset="0"/>
                        <a:ea typeface="Cambria Math" panose="02040503050406030204" pitchFamily="18" charset="0"/>
                        <a:cs typeface="+mn-cs"/>
                      </a:rPr>
                      <m:t>𝟐</m:t>
                    </m:r>
                    <m:r>
                      <a:rPr lang="en-GB" sz="1200" b="1" i="1">
                        <a:solidFill>
                          <a:schemeClr val="tx1"/>
                        </a:solidFill>
                        <a:effectLst/>
                        <a:latin typeface="Cambria Math" panose="02040503050406030204" pitchFamily="18" charset="0"/>
                        <a:ea typeface="Cambria Math" panose="02040503050406030204" pitchFamily="18" charset="0"/>
                        <a:cs typeface="+mn-cs"/>
                      </a:rPr>
                      <m:t> + </m:t>
                    </m:r>
                    <m:r>
                      <a:rPr lang="en-GB" sz="1200" b="1" i="1">
                        <a:solidFill>
                          <a:schemeClr val="tx1"/>
                        </a:solidFill>
                        <a:effectLst/>
                        <a:latin typeface="Cambria Math" panose="02040503050406030204" pitchFamily="18" charset="0"/>
                        <a:ea typeface="Cambria Math" panose="02040503050406030204" pitchFamily="18" charset="0"/>
                        <a:cs typeface="+mn-cs"/>
                      </a:rPr>
                      <m:t>𝑹</m:t>
                    </m:r>
                    <m:r>
                      <a:rPr lang="en-GB" sz="1200" b="1" i="1" baseline="-25000">
                        <a:solidFill>
                          <a:schemeClr val="tx1"/>
                        </a:solidFill>
                        <a:effectLst/>
                        <a:latin typeface="Cambria Math" panose="02040503050406030204" pitchFamily="18" charset="0"/>
                        <a:ea typeface="Cambria Math" panose="02040503050406030204" pitchFamily="18" charset="0"/>
                        <a:cs typeface="+mn-cs"/>
                      </a:rPr>
                      <m:t>𝟑</m:t>
                    </m:r>
                    <m:r>
                      <a:rPr lang="en-GB" sz="1200" b="1" i="1">
                        <a:solidFill>
                          <a:schemeClr val="tx1"/>
                        </a:solidFill>
                        <a:effectLst/>
                        <a:latin typeface="Cambria Math" panose="02040503050406030204" pitchFamily="18" charset="0"/>
                        <a:ea typeface="Cambria Math" panose="02040503050406030204" pitchFamily="18" charset="0"/>
                        <a:cs typeface="+mn-cs"/>
                      </a:rPr>
                      <m:t> + … </m:t>
                    </m:r>
                  </m:oMath>
                </m:oMathPara>
              </a14:m>
              <a:endParaRPr lang="en-GB" sz="1100" b="1" i="1">
                <a:latin typeface="Cambria Math" panose="02040503050406030204" pitchFamily="18" charset="0"/>
                <a:ea typeface="Cambria Math" panose="02040503050406030204" pitchFamily="18" charset="0"/>
              </a:endParaRPr>
            </a:p>
          </xdr:txBody>
        </xdr:sp>
      </mc:Choice>
      <mc:Fallback xmlns="">
        <xdr:sp macro="" textlink="">
          <xdr:nvSpPr>
            <xdr:cNvPr id="45" name="TextBox 2">
              <a:extLst>
                <a:ext uri="{FF2B5EF4-FFF2-40B4-BE49-F238E27FC236}">
                  <a16:creationId xmlns:a16="http://schemas.microsoft.com/office/drawing/2014/main" id="{F1E26C80-634F-4782-946F-0C57C11DB7DB}"/>
                </a:ext>
              </a:extLst>
            </xdr:cNvPr>
            <xdr:cNvSpPr txBox="1"/>
          </xdr:nvSpPr>
          <xdr:spPr>
            <a:xfrm>
              <a:off x="1913107" y="6084094"/>
              <a:ext cx="10005049" cy="273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GB" sz="1200" b="1" i="0">
                  <a:solidFill>
                    <a:schemeClr val="tx1"/>
                  </a:solidFill>
                  <a:effectLst/>
                  <a:latin typeface="Cambria Math" panose="02040503050406030204" pitchFamily="18" charset="0"/>
                  <a:ea typeface="Cambria Math" panose="02040503050406030204" pitchFamily="18" charset="0"/>
                  <a:cs typeface="+mn-cs"/>
                </a:rPr>
                <a:t>𝑹_𝑻  = 𝑹</a:t>
              </a:r>
              <a:r>
                <a:rPr lang="en-GB" sz="1200" b="1" i="0" baseline="-25000">
                  <a:solidFill>
                    <a:schemeClr val="tx1"/>
                  </a:solidFill>
                  <a:effectLst/>
                  <a:latin typeface="Cambria Math" panose="02040503050406030204" pitchFamily="18" charset="0"/>
                  <a:ea typeface="Cambria Math" panose="02040503050406030204" pitchFamily="18" charset="0"/>
                  <a:cs typeface="+mn-cs"/>
                </a:rPr>
                <a:t>𝟏</a:t>
              </a:r>
              <a:r>
                <a:rPr lang="en-GB" sz="1200" b="1" i="0">
                  <a:solidFill>
                    <a:schemeClr val="tx1"/>
                  </a:solidFill>
                  <a:effectLst/>
                  <a:latin typeface="Cambria Math" panose="02040503050406030204" pitchFamily="18" charset="0"/>
                  <a:ea typeface="Cambria Math" panose="02040503050406030204" pitchFamily="18" charset="0"/>
                  <a:cs typeface="+mn-cs"/>
                </a:rPr>
                <a:t> + 𝑹</a:t>
              </a:r>
              <a:r>
                <a:rPr lang="en-GB" sz="1200" b="1" i="0" baseline="-25000">
                  <a:solidFill>
                    <a:schemeClr val="tx1"/>
                  </a:solidFill>
                  <a:effectLst/>
                  <a:latin typeface="Cambria Math" panose="02040503050406030204" pitchFamily="18" charset="0"/>
                  <a:ea typeface="Cambria Math" panose="02040503050406030204" pitchFamily="18" charset="0"/>
                  <a:cs typeface="+mn-cs"/>
                </a:rPr>
                <a:t>𝟐</a:t>
              </a:r>
              <a:r>
                <a:rPr lang="en-GB" sz="1200" b="1" i="0">
                  <a:solidFill>
                    <a:schemeClr val="tx1"/>
                  </a:solidFill>
                  <a:effectLst/>
                  <a:latin typeface="Cambria Math" panose="02040503050406030204" pitchFamily="18" charset="0"/>
                  <a:ea typeface="Cambria Math" panose="02040503050406030204" pitchFamily="18" charset="0"/>
                  <a:cs typeface="+mn-cs"/>
                </a:rPr>
                <a:t> + 𝑹</a:t>
              </a:r>
              <a:r>
                <a:rPr lang="en-GB" sz="1200" b="1" i="0" baseline="-25000">
                  <a:solidFill>
                    <a:schemeClr val="tx1"/>
                  </a:solidFill>
                  <a:effectLst/>
                  <a:latin typeface="Cambria Math" panose="02040503050406030204" pitchFamily="18" charset="0"/>
                  <a:ea typeface="Cambria Math" panose="02040503050406030204" pitchFamily="18" charset="0"/>
                  <a:cs typeface="+mn-cs"/>
                </a:rPr>
                <a:t>𝟑</a:t>
              </a:r>
              <a:r>
                <a:rPr lang="en-GB" sz="1200" b="1" i="0">
                  <a:solidFill>
                    <a:schemeClr val="tx1"/>
                  </a:solidFill>
                  <a:effectLst/>
                  <a:latin typeface="Cambria Math" panose="02040503050406030204" pitchFamily="18" charset="0"/>
                  <a:ea typeface="Cambria Math" panose="02040503050406030204" pitchFamily="18" charset="0"/>
                  <a:cs typeface="+mn-cs"/>
                </a:rPr>
                <a:t> + … </a:t>
              </a:r>
              <a:endParaRPr lang="en-GB" sz="1100" b="1" i="1">
                <a:latin typeface="Cambria Math" panose="02040503050406030204" pitchFamily="18" charset="0"/>
                <a:ea typeface="Cambria Math" panose="02040503050406030204" pitchFamily="18" charset="0"/>
              </a:endParaRPr>
            </a:p>
          </xdr:txBody>
        </xdr:sp>
      </mc:Fallback>
    </mc:AlternateContent>
    <xdr:clientData/>
  </xdr:oneCellAnchor>
  <xdr:oneCellAnchor>
    <xdr:from>
      <xdr:col>3</xdr:col>
      <xdr:colOff>1087345</xdr:colOff>
      <xdr:row>10</xdr:row>
      <xdr:rowOff>1246384</xdr:rowOff>
    </xdr:from>
    <xdr:ext cx="10056905" cy="301428"/>
    <mc:AlternateContent xmlns:mc="http://schemas.openxmlformats.org/markup-compatibility/2006" xmlns:a14="http://schemas.microsoft.com/office/drawing/2010/main">
      <mc:Choice Requires="a14">
        <xdr:sp macro="" textlink="">
          <xdr:nvSpPr>
            <xdr:cNvPr id="36" name="TextBox 7">
              <a:extLst>
                <a:ext uri="{FF2B5EF4-FFF2-40B4-BE49-F238E27FC236}">
                  <a16:creationId xmlns:a16="http://schemas.microsoft.com/office/drawing/2014/main" id="{61C0B6E4-C096-4F1E-BFDD-192422E80DC4}"/>
                </a:ext>
              </a:extLst>
            </xdr:cNvPr>
            <xdr:cNvSpPr txBox="1"/>
          </xdr:nvSpPr>
          <xdr:spPr>
            <a:xfrm>
              <a:off x="1944595" y="5568353"/>
              <a:ext cx="10056905" cy="3014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sSub>
                      <m:sSubPr>
                        <m:ctrlPr>
                          <a:rPr lang="en-GB" sz="1200" b="1" i="1">
                            <a:solidFill>
                              <a:schemeClr val="tx1"/>
                            </a:solidFill>
                            <a:effectLst/>
                            <a:latin typeface="Cambria Math" panose="02040503050406030204" pitchFamily="18" charset="0"/>
                            <a:ea typeface="Cambria Math" panose="02040503050406030204" pitchFamily="18" charset="0"/>
                            <a:cs typeface="+mn-cs"/>
                          </a:rPr>
                        </m:ctrlPr>
                      </m:sSubPr>
                      <m:e>
                        <m:r>
                          <a:rPr lang="en-GB" sz="1200" b="1" i="1">
                            <a:solidFill>
                              <a:schemeClr val="tx1"/>
                            </a:solidFill>
                            <a:effectLst/>
                            <a:latin typeface="Cambria Math" panose="02040503050406030204" pitchFamily="18" charset="0"/>
                            <a:ea typeface="Cambria Math" panose="02040503050406030204" pitchFamily="18" charset="0"/>
                            <a:cs typeface="+mn-cs"/>
                          </a:rPr>
                          <m:t>𝑹</m:t>
                        </m:r>
                      </m:e>
                      <m:sub>
                        <m:r>
                          <a:rPr lang="en-GB" sz="1200" b="1" i="1">
                            <a:solidFill>
                              <a:schemeClr val="tx1"/>
                            </a:solidFill>
                            <a:effectLst/>
                            <a:latin typeface="Cambria Math" panose="02040503050406030204" pitchFamily="18" charset="0"/>
                            <a:ea typeface="Cambria Math" panose="02040503050406030204" pitchFamily="18" charset="0"/>
                            <a:cs typeface="+mn-cs"/>
                          </a:rPr>
                          <m:t>𝟏</m:t>
                        </m:r>
                      </m:sub>
                    </m:sSub>
                    <m:r>
                      <a:rPr lang="en-GB" sz="1200" b="1" i="1">
                        <a:solidFill>
                          <a:schemeClr val="tx1"/>
                        </a:solidFill>
                        <a:effectLst/>
                        <a:latin typeface="Cambria Math" panose="02040503050406030204" pitchFamily="18" charset="0"/>
                        <a:ea typeface="Cambria Math" panose="02040503050406030204" pitchFamily="18" charset="0"/>
                        <a:cs typeface="+mn-cs"/>
                      </a:rPr>
                      <m:t> = </m:t>
                    </m:r>
                    <m:f>
                      <m:fPr>
                        <m:type m:val="skw"/>
                        <m:ctrlPr>
                          <a:rPr lang="en-GB" sz="1200" b="1" i="1">
                            <a:solidFill>
                              <a:schemeClr val="tx1"/>
                            </a:solidFill>
                            <a:effectLst/>
                            <a:latin typeface="Cambria Math" panose="02040503050406030204" pitchFamily="18" charset="0"/>
                            <a:ea typeface="Cambria Math" panose="02040503050406030204" pitchFamily="18" charset="0"/>
                            <a:cs typeface="+mn-cs"/>
                          </a:rPr>
                        </m:ctrlPr>
                      </m:fPr>
                      <m:num>
                        <m:r>
                          <a:rPr lang="en-GB" sz="1200" b="1" i="1">
                            <a:solidFill>
                              <a:schemeClr val="tx1"/>
                            </a:solidFill>
                            <a:effectLst/>
                            <a:latin typeface="Cambria Math" panose="02040503050406030204" pitchFamily="18" charset="0"/>
                            <a:ea typeface="Cambria Math" panose="02040503050406030204" pitchFamily="18" charset="0"/>
                            <a:cs typeface="+mn-cs"/>
                          </a:rPr>
                          <m:t>𝒕</m:t>
                        </m:r>
                      </m:num>
                      <m:den>
                        <m:r>
                          <a:rPr lang="en-GB" sz="1200" b="1" i="1">
                            <a:solidFill>
                              <a:schemeClr val="tx1"/>
                            </a:solidFill>
                            <a:effectLst/>
                            <a:latin typeface="Cambria Math" panose="02040503050406030204" pitchFamily="18" charset="0"/>
                            <a:ea typeface="Cambria Math" panose="02040503050406030204" pitchFamily="18" charset="0"/>
                            <a:cs typeface="+mn-cs"/>
                            <a:sym typeface="Symbol" panose="05050102010706020507" pitchFamily="18" charset="2"/>
                          </a:rPr>
                          <m:t></m:t>
                        </m:r>
                      </m:den>
                    </m:f>
                  </m:oMath>
                </m:oMathPara>
              </a14:m>
              <a:endParaRPr lang="en-GB" sz="1100" b="1" i="1">
                <a:latin typeface="Cambria Math" panose="02040503050406030204" pitchFamily="18" charset="0"/>
                <a:ea typeface="Cambria Math" panose="02040503050406030204" pitchFamily="18" charset="0"/>
              </a:endParaRPr>
            </a:p>
          </xdr:txBody>
        </xdr:sp>
      </mc:Choice>
      <mc:Fallback xmlns="">
        <xdr:sp macro="" textlink="">
          <xdr:nvSpPr>
            <xdr:cNvPr id="36" name="TextBox 7">
              <a:extLst>
                <a:ext uri="{FF2B5EF4-FFF2-40B4-BE49-F238E27FC236}">
                  <a16:creationId xmlns:a16="http://schemas.microsoft.com/office/drawing/2014/main" id="{61C0B6E4-C096-4F1E-BFDD-192422E80DC4}"/>
                </a:ext>
              </a:extLst>
            </xdr:cNvPr>
            <xdr:cNvSpPr txBox="1"/>
          </xdr:nvSpPr>
          <xdr:spPr>
            <a:xfrm>
              <a:off x="1944595" y="5568353"/>
              <a:ext cx="10056905" cy="3014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GB" sz="1200" b="1" i="0">
                  <a:solidFill>
                    <a:schemeClr val="tx1"/>
                  </a:solidFill>
                  <a:effectLst/>
                  <a:latin typeface="Cambria Math" panose="02040503050406030204" pitchFamily="18" charset="0"/>
                  <a:ea typeface="Cambria Math" panose="02040503050406030204" pitchFamily="18" charset="0"/>
                  <a:cs typeface="+mn-cs"/>
                </a:rPr>
                <a:t>𝑹_𝟏  =  𝒕⁄</a:t>
              </a:r>
              <a:r>
                <a:rPr lang="en-GB" sz="1200" b="1" i="0">
                  <a:solidFill>
                    <a:schemeClr val="tx1"/>
                  </a:solidFill>
                  <a:effectLst/>
                  <a:latin typeface="Cambria Math" panose="02040503050406030204" pitchFamily="18" charset="0"/>
                  <a:ea typeface="Cambria Math" panose="02040503050406030204" pitchFamily="18" charset="0"/>
                  <a:cs typeface="+mn-cs"/>
                  <a:sym typeface="Symbol" panose="05050102010706020507" pitchFamily="18" charset="2"/>
                </a:rPr>
                <a:t></a:t>
              </a:r>
              <a:endParaRPr lang="en-GB" sz="1100" b="1" i="1">
                <a:latin typeface="Cambria Math" panose="02040503050406030204" pitchFamily="18" charset="0"/>
                <a:ea typeface="Cambria Math" panose="02040503050406030204" pitchFamily="18" charset="0"/>
              </a:endParaRPr>
            </a:p>
          </xdr:txBody>
        </xdr:sp>
      </mc:Fallback>
    </mc:AlternateContent>
    <xdr:clientData/>
  </xdr:oneCellAnchor>
  <xdr:oneCellAnchor>
    <xdr:from>
      <xdr:col>3</xdr:col>
      <xdr:colOff>1049452</xdr:colOff>
      <xdr:row>10</xdr:row>
      <xdr:rowOff>2468569</xdr:rowOff>
    </xdr:from>
    <xdr:ext cx="10059079" cy="293682"/>
    <mc:AlternateContent xmlns:mc="http://schemas.openxmlformats.org/markup-compatibility/2006" xmlns:a14="http://schemas.microsoft.com/office/drawing/2010/main">
      <mc:Choice Requires="a14">
        <xdr:sp macro="" textlink="">
          <xdr:nvSpPr>
            <xdr:cNvPr id="44" name="TextBox 8">
              <a:extLst>
                <a:ext uri="{FF2B5EF4-FFF2-40B4-BE49-F238E27FC236}">
                  <a16:creationId xmlns:a16="http://schemas.microsoft.com/office/drawing/2014/main" id="{3592D056-B111-4BEE-9BC1-8D0F4250AA51}"/>
                </a:ext>
              </a:extLst>
            </xdr:cNvPr>
            <xdr:cNvSpPr txBox="1"/>
          </xdr:nvSpPr>
          <xdr:spPr>
            <a:xfrm>
              <a:off x="1954327" y="6731007"/>
              <a:ext cx="10059079" cy="293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GB" sz="1100" b="1" i="1">
                  <a:latin typeface="Cambria Math" panose="02040503050406030204" pitchFamily="18" charset="0"/>
                  <a:ea typeface="Cambria Math" panose="02040503050406030204" pitchFamily="18" charset="0"/>
                </a:rPr>
                <a:t>U  = </a:t>
              </a:r>
              <a14:m>
                <m:oMath xmlns:m="http://schemas.openxmlformats.org/officeDocument/2006/math">
                  <m:f>
                    <m:fPr>
                      <m:type m:val="lin"/>
                      <m:ctrlPr>
                        <a:rPr lang="en-GB" sz="1100" b="1" i="1">
                          <a:latin typeface="Cambria Math" panose="02040503050406030204" pitchFamily="18" charset="0"/>
                          <a:ea typeface="Cambria Math" panose="02040503050406030204" pitchFamily="18" charset="0"/>
                        </a:rPr>
                      </m:ctrlPr>
                    </m:fPr>
                    <m:num>
                      <m:r>
                        <a:rPr lang="en-GB" sz="1100" b="1" i="1">
                          <a:latin typeface="Cambria Math" panose="02040503050406030204" pitchFamily="18" charset="0"/>
                          <a:ea typeface="Cambria Math" panose="02040503050406030204" pitchFamily="18" charset="0"/>
                        </a:rPr>
                        <m:t> </m:t>
                      </m:r>
                      <m:r>
                        <a:rPr lang="en-GB" sz="1100" b="1" i="1">
                          <a:latin typeface="Cambria Math" panose="02040503050406030204" pitchFamily="18" charset="0"/>
                          <a:ea typeface="Cambria Math" panose="02040503050406030204" pitchFamily="18" charset="0"/>
                        </a:rPr>
                        <m:t>𝟏</m:t>
                      </m:r>
                    </m:num>
                    <m:den>
                      <m:sSub>
                        <m:sSubPr>
                          <m:ctrlPr>
                            <a:rPr lang="en-GB" sz="1100" b="1" i="1">
                              <a:solidFill>
                                <a:schemeClr val="tx1"/>
                              </a:solidFill>
                              <a:effectLst/>
                              <a:latin typeface="Cambria Math" panose="02040503050406030204" pitchFamily="18" charset="0"/>
                              <a:ea typeface="+mn-ea"/>
                              <a:cs typeface="+mn-cs"/>
                            </a:rPr>
                          </m:ctrlPr>
                        </m:sSubPr>
                        <m:e>
                          <m:r>
                            <a:rPr lang="en-GB" sz="1100" b="1" i="1">
                              <a:solidFill>
                                <a:schemeClr val="tx1"/>
                              </a:solidFill>
                              <a:effectLst/>
                              <a:latin typeface="Cambria Math" panose="02040503050406030204" pitchFamily="18" charset="0"/>
                              <a:ea typeface="+mn-ea"/>
                              <a:cs typeface="+mn-cs"/>
                            </a:rPr>
                            <m:t>𝑹</m:t>
                          </m:r>
                        </m:e>
                        <m:sub>
                          <m:r>
                            <a:rPr lang="en-GB" sz="1100" b="1" i="1">
                              <a:solidFill>
                                <a:schemeClr val="tx1"/>
                              </a:solidFill>
                              <a:effectLst/>
                              <a:latin typeface="Cambria Math" panose="02040503050406030204" pitchFamily="18" charset="0"/>
                              <a:ea typeface="+mn-ea"/>
                              <a:cs typeface="+mn-cs"/>
                            </a:rPr>
                            <m:t>𝑻</m:t>
                          </m:r>
                        </m:sub>
                      </m:sSub>
                      <m:r>
                        <a:rPr lang="en-GB" sz="1100" b="1" i="1">
                          <a:solidFill>
                            <a:schemeClr val="tx1"/>
                          </a:solidFill>
                          <a:effectLst/>
                          <a:latin typeface="Cambria Math" panose="02040503050406030204" pitchFamily="18" charset="0"/>
                          <a:ea typeface="+mn-ea"/>
                          <a:cs typeface="+mn-cs"/>
                        </a:rPr>
                        <m:t> </m:t>
                      </m:r>
                    </m:den>
                  </m:f>
                </m:oMath>
              </a14:m>
              <a:endParaRPr lang="en-GB" sz="1100" b="1" i="1">
                <a:latin typeface="Cambria Math" panose="02040503050406030204" pitchFamily="18" charset="0"/>
                <a:ea typeface="Cambria Math" panose="02040503050406030204" pitchFamily="18" charset="0"/>
              </a:endParaRPr>
            </a:p>
          </xdr:txBody>
        </xdr:sp>
      </mc:Choice>
      <mc:Fallback xmlns="">
        <xdr:sp macro="" textlink="">
          <xdr:nvSpPr>
            <xdr:cNvPr id="44" name="TextBox 8">
              <a:extLst>
                <a:ext uri="{FF2B5EF4-FFF2-40B4-BE49-F238E27FC236}">
                  <a16:creationId xmlns:a16="http://schemas.microsoft.com/office/drawing/2014/main" id="{3592D056-B111-4BEE-9BC1-8D0F4250AA51}"/>
                </a:ext>
              </a:extLst>
            </xdr:cNvPr>
            <xdr:cNvSpPr txBox="1"/>
          </xdr:nvSpPr>
          <xdr:spPr>
            <a:xfrm>
              <a:off x="1954327" y="6731007"/>
              <a:ext cx="10059079" cy="293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GB" sz="1100" b="1" i="1">
                  <a:latin typeface="Cambria Math" panose="02040503050406030204" pitchFamily="18" charset="0"/>
                  <a:ea typeface="Cambria Math" panose="02040503050406030204" pitchFamily="18" charset="0"/>
                </a:rPr>
                <a:t>U  = </a:t>
              </a:r>
              <a:r>
                <a:rPr lang="en-GB" sz="1100" b="1" i="0">
                  <a:latin typeface="Cambria Math" panose="02040503050406030204" pitchFamily="18" charset="0"/>
                  <a:ea typeface="Cambria Math" panose="02040503050406030204" pitchFamily="18" charset="0"/>
                </a:rPr>
                <a:t>〖 𝟏〗∕〖</a:t>
              </a:r>
              <a:r>
                <a:rPr lang="en-GB" sz="1100" b="1" i="0">
                  <a:solidFill>
                    <a:schemeClr val="tx1"/>
                  </a:solidFill>
                  <a:effectLst/>
                  <a:latin typeface="Cambria Math" panose="02040503050406030204" pitchFamily="18" charset="0"/>
                  <a:ea typeface="+mn-ea"/>
                  <a:cs typeface="+mn-cs"/>
                </a:rPr>
                <a:t>𝑹_𝑻  </a:t>
              </a:r>
              <a:r>
                <a:rPr lang="en-GB" sz="1100" b="1" i="0">
                  <a:solidFill>
                    <a:schemeClr val="tx1"/>
                  </a:solidFill>
                  <a:effectLst/>
                  <a:latin typeface="Cambria Math" panose="02040503050406030204" pitchFamily="18" charset="0"/>
                  <a:ea typeface="Cambria Math" panose="02040503050406030204" pitchFamily="18" charset="0"/>
                  <a:cs typeface="+mn-cs"/>
                </a:rPr>
                <a:t>〗</a:t>
              </a:r>
              <a:endParaRPr lang="en-GB" sz="1100" b="1" i="1">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13</xdr:col>
      <xdr:colOff>2857506</xdr:colOff>
      <xdr:row>1</xdr:row>
      <xdr:rowOff>15869</xdr:rowOff>
    </xdr:from>
    <xdr:to>
      <xdr:col>14</xdr:col>
      <xdr:colOff>244813</xdr:colOff>
      <xdr:row>3</xdr:row>
      <xdr:rowOff>244</xdr:rowOff>
    </xdr:to>
    <xdr:pic>
      <xdr:nvPicPr>
        <xdr:cNvPr id="8" name="Picture 7">
          <a:extLst>
            <a:ext uri="{FF2B5EF4-FFF2-40B4-BE49-F238E27FC236}">
              <a16:creationId xmlns:a16="http://schemas.microsoft.com/office/drawing/2014/main" id="{0C6D3115-00B0-4BBD-A042-596B1615D056}"/>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1922131" y="222244"/>
          <a:ext cx="1198895" cy="54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2</xdr:row>
      <xdr:rowOff>19050</xdr:rowOff>
    </xdr:from>
    <xdr:to>
      <xdr:col>12</xdr:col>
      <xdr:colOff>9525</xdr:colOff>
      <xdr:row>39</xdr:row>
      <xdr:rowOff>142876</xdr:rowOff>
    </xdr:to>
    <xdr:pic>
      <xdr:nvPicPr>
        <xdr:cNvPr id="8193" name="Picture 1">
          <a:extLst>
            <a:ext uri="{FF2B5EF4-FFF2-40B4-BE49-F238E27FC236}">
              <a16:creationId xmlns:a16="http://schemas.microsoft.com/office/drawing/2014/main" id="{00000000-0008-0000-0200-000001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752600"/>
          <a:ext cx="6391275" cy="8229600"/>
        </a:xfrm>
        <a:prstGeom prst="rect">
          <a:avLst/>
        </a:prstGeom>
        <a:noFill/>
      </xdr:spPr>
    </xdr:pic>
    <xdr:clientData/>
  </xdr:twoCellAnchor>
  <xdr:twoCellAnchor editAs="oneCell">
    <xdr:from>
      <xdr:col>13</xdr:col>
      <xdr:colOff>158756</xdr:colOff>
      <xdr:row>1</xdr:row>
      <xdr:rowOff>7938</xdr:rowOff>
    </xdr:from>
    <xdr:to>
      <xdr:col>14</xdr:col>
      <xdr:colOff>244814</xdr:colOff>
      <xdr:row>2</xdr:row>
      <xdr:rowOff>111375</xdr:rowOff>
    </xdr:to>
    <xdr:pic>
      <xdr:nvPicPr>
        <xdr:cNvPr id="3" name="Picture 2">
          <a:extLst>
            <a:ext uri="{FF2B5EF4-FFF2-40B4-BE49-F238E27FC236}">
              <a16:creationId xmlns:a16="http://schemas.microsoft.com/office/drawing/2014/main" id="{4EAA2BFE-EBA6-416E-87BC-7FE589C0E44C}"/>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7969256" y="190501"/>
          <a:ext cx="1198895" cy="540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515953</xdr:colOff>
      <xdr:row>1</xdr:row>
      <xdr:rowOff>1</xdr:rowOff>
    </xdr:from>
    <xdr:to>
      <xdr:col>22</xdr:col>
      <xdr:colOff>3523</xdr:colOff>
      <xdr:row>1</xdr:row>
      <xdr:rowOff>540001</xdr:rowOff>
    </xdr:to>
    <xdr:pic>
      <xdr:nvPicPr>
        <xdr:cNvPr id="2" name="Picture 1">
          <a:extLst>
            <a:ext uri="{FF2B5EF4-FFF2-40B4-BE49-F238E27FC236}">
              <a16:creationId xmlns:a16="http://schemas.microsoft.com/office/drawing/2014/main" id="{7FFE2EDD-FAA2-4054-98C6-DFE0AC1C33E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3716016" y="206376"/>
          <a:ext cx="1198895" cy="540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849320</xdr:colOff>
      <xdr:row>1</xdr:row>
      <xdr:rowOff>7934</xdr:rowOff>
    </xdr:from>
    <xdr:to>
      <xdr:col>8</xdr:col>
      <xdr:colOff>340</xdr:colOff>
      <xdr:row>3</xdr:row>
      <xdr:rowOff>124071</xdr:rowOff>
    </xdr:to>
    <xdr:pic>
      <xdr:nvPicPr>
        <xdr:cNvPr id="3" name="Picture 2">
          <a:extLst>
            <a:ext uri="{FF2B5EF4-FFF2-40B4-BE49-F238E27FC236}">
              <a16:creationId xmlns:a16="http://schemas.microsoft.com/office/drawing/2014/main" id="{EF7CE7CB-B92E-4FEE-8EFC-EA61E605D45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874133" y="182559"/>
          <a:ext cx="1198895" cy="540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1205614</xdr:colOff>
      <xdr:row>1</xdr:row>
      <xdr:rowOff>9700</xdr:rowOff>
    </xdr:from>
    <xdr:to>
      <xdr:col>7</xdr:col>
      <xdr:colOff>1828</xdr:colOff>
      <xdr:row>3</xdr:row>
      <xdr:rowOff>125837</xdr:rowOff>
    </xdr:to>
    <xdr:pic>
      <xdr:nvPicPr>
        <xdr:cNvPr id="3" name="Picture 2">
          <a:extLst>
            <a:ext uri="{FF2B5EF4-FFF2-40B4-BE49-F238E27FC236}">
              <a16:creationId xmlns:a16="http://schemas.microsoft.com/office/drawing/2014/main" id="{B46613EC-C796-429F-89F3-1607FF9AFBD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158864" y="184325"/>
          <a:ext cx="1198895" cy="540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1205614</xdr:colOff>
      <xdr:row>1</xdr:row>
      <xdr:rowOff>9700</xdr:rowOff>
    </xdr:from>
    <xdr:to>
      <xdr:col>7</xdr:col>
      <xdr:colOff>1828</xdr:colOff>
      <xdr:row>3</xdr:row>
      <xdr:rowOff>125837</xdr:rowOff>
    </xdr:to>
    <xdr:pic>
      <xdr:nvPicPr>
        <xdr:cNvPr id="2" name="Picture 1">
          <a:extLst>
            <a:ext uri="{FF2B5EF4-FFF2-40B4-BE49-F238E27FC236}">
              <a16:creationId xmlns:a16="http://schemas.microsoft.com/office/drawing/2014/main" id="{77C820C2-0F1A-4F10-8CC0-BA235802057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165214" y="181150"/>
          <a:ext cx="1202864" cy="53523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1205614</xdr:colOff>
      <xdr:row>1</xdr:row>
      <xdr:rowOff>9700</xdr:rowOff>
    </xdr:from>
    <xdr:to>
      <xdr:col>7</xdr:col>
      <xdr:colOff>1828</xdr:colOff>
      <xdr:row>3</xdr:row>
      <xdr:rowOff>125837</xdr:rowOff>
    </xdr:to>
    <xdr:pic>
      <xdr:nvPicPr>
        <xdr:cNvPr id="2" name="Picture 1">
          <a:extLst>
            <a:ext uri="{FF2B5EF4-FFF2-40B4-BE49-F238E27FC236}">
              <a16:creationId xmlns:a16="http://schemas.microsoft.com/office/drawing/2014/main" id="{269B65B0-F3BF-4F4E-98A6-4C51D6804B2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165214" y="181150"/>
          <a:ext cx="1202864" cy="53523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5270501</xdr:colOff>
      <xdr:row>1</xdr:row>
      <xdr:rowOff>0</xdr:rowOff>
    </xdr:from>
    <xdr:to>
      <xdr:col>7</xdr:col>
      <xdr:colOff>1921</xdr:colOff>
      <xdr:row>3</xdr:row>
      <xdr:rowOff>32000</xdr:rowOff>
    </xdr:to>
    <xdr:pic>
      <xdr:nvPicPr>
        <xdr:cNvPr id="2" name="Picture 1">
          <a:extLst>
            <a:ext uri="{FF2B5EF4-FFF2-40B4-BE49-F238E27FC236}">
              <a16:creationId xmlns:a16="http://schemas.microsoft.com/office/drawing/2014/main" id="{AFB18362-B2AB-4ECF-8717-E3D7207238F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731126" y="238125"/>
          <a:ext cx="1198895" cy="540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sharepoint.com/Users/chat9739/AppData/Local/Microsoft/Windows/Temporary%20Internet%20Files/Content.Outlook/PD1OE9A9/Old/Degree%20data%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lix365.sharepoint.com/Users/chat9739/AppData/Local/Microsoft/Windows/Temporary%20Internet%20Files/Content.Outlook/PD1OE9A9/Degree%20data%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V1)"/>
      <sheetName val="Calculation Sheet"/>
      <sheetName val="Degree Day Data"/>
      <sheetName val="Sheet2"/>
      <sheetName val="Sheet3"/>
    </sheetNames>
    <sheetDataSet>
      <sheetData sheetId="0"/>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V1)"/>
      <sheetName val="Calculation Sheet"/>
      <sheetName val="Degree Day Data"/>
      <sheetName val="Sheet2"/>
      <sheetName val="Sheet3"/>
    </sheetNames>
    <sheetDataSet>
      <sheetData sheetId="0"/>
      <sheetData sheetId="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egree_Days_Table" displayName="Degree_Days_Table" ref="C4:U17" totalsRowCount="1" headerRowDxfId="107" dataDxfId="106" totalsRowDxfId="105">
  <tableColumns count="19">
    <tableColumn id="1" xr3:uid="{00000000-0010-0000-0000-000001000000}" name="Month" totalsRowLabel="Total" dataDxfId="104"/>
    <tableColumn id="2" xr3:uid="{00000000-0010-0000-0000-000002000000}" name="1. London (Thames Valley)" totalsRowFunction="custom" dataDxfId="103" totalsRowDxfId="102">
      <totalsRowFormula>SUM(Degree_Days_Table[1. London (Thames Valley)])</totalsRowFormula>
    </tableColumn>
    <tableColumn id="3" xr3:uid="{00000000-0010-0000-0000-000003000000}" name="2. South Eastern" totalsRowFunction="custom" dataDxfId="101" totalsRowDxfId="100">
      <totalsRowFormula>SUM(Degree_Days_Table[2. South Eastern])</totalsRowFormula>
    </tableColumn>
    <tableColumn id="4" xr3:uid="{00000000-0010-0000-0000-000004000000}" name="3. Southern" totalsRowFunction="custom" dataDxfId="99" totalsRowDxfId="98">
      <totalsRowFormula>SUM(Degree_Days_Table[3. Southern])</totalsRowFormula>
    </tableColumn>
    <tableColumn id="5" xr3:uid="{00000000-0010-0000-0000-000005000000}" name="4. South Western" totalsRowFunction="custom" dataDxfId="97" totalsRowDxfId="96">
      <totalsRowFormula>SUM(Degree_Days_Table[4. South Western])</totalsRowFormula>
    </tableColumn>
    <tableColumn id="6" xr3:uid="{00000000-0010-0000-0000-000006000000}" name="5. Severn Valley" totalsRowFunction="custom" dataDxfId="95" totalsRowDxfId="94">
      <totalsRowFormula>SUM(Degree_Days_Table[5. Severn Valley])</totalsRowFormula>
    </tableColumn>
    <tableColumn id="7" xr3:uid="{00000000-0010-0000-0000-000007000000}" name="6. Midlands" totalsRowFunction="custom" dataDxfId="93" totalsRowDxfId="92">
      <totalsRowFormula>SUM(Degree_Days_Table[6. Midlands])</totalsRowFormula>
    </tableColumn>
    <tableColumn id="8" xr3:uid="{00000000-0010-0000-0000-000008000000}" name="7. West Pennines" totalsRowFunction="custom" dataDxfId="91" totalsRowDxfId="90">
      <totalsRowFormula>SUM(Degree_Days_Table[7. West Pennines])</totalsRowFormula>
    </tableColumn>
    <tableColumn id="9" xr3:uid="{00000000-0010-0000-0000-000009000000}" name="8. North Western" totalsRowFunction="custom" dataDxfId="89" totalsRowDxfId="88">
      <totalsRowFormula>SUM(Degree_Days_Table[8. North Western])</totalsRowFormula>
    </tableColumn>
    <tableColumn id="10" xr3:uid="{00000000-0010-0000-0000-00000A000000}" name="9. Borders" totalsRowFunction="custom" dataDxfId="87" totalsRowDxfId="86">
      <totalsRowFormula>SUM(Degree_Days_Table[9. Borders])</totalsRowFormula>
    </tableColumn>
    <tableColumn id="11" xr3:uid="{00000000-0010-0000-0000-00000B000000}" name="10. North Eastern" totalsRowFunction="custom" dataDxfId="85" totalsRowDxfId="84">
      <totalsRowFormula>SUM(Degree_Days_Table[10. North Eastern])</totalsRowFormula>
    </tableColumn>
    <tableColumn id="12" xr3:uid="{00000000-0010-0000-0000-00000C000000}" name="11. East Pennines" totalsRowFunction="custom" dataDxfId="83" totalsRowDxfId="82">
      <totalsRowFormula>SUM(Degree_Days_Table[11. East Pennines])</totalsRowFormula>
    </tableColumn>
    <tableColumn id="13" xr3:uid="{00000000-0010-0000-0000-00000D000000}" name="12. East Anglia" totalsRowFunction="custom" dataDxfId="81" totalsRowDxfId="80">
      <totalsRowFormula>SUM(Degree_Days_Table[12. East Anglia])</totalsRowFormula>
    </tableColumn>
    <tableColumn id="14" xr3:uid="{00000000-0010-0000-0000-00000E000000}" name="13. West Scotland" totalsRowFunction="custom" dataDxfId="79" totalsRowDxfId="78">
      <totalsRowFormula>SUM(Degree_Days_Table[13. West Scotland])</totalsRowFormula>
    </tableColumn>
    <tableColumn id="15" xr3:uid="{00000000-0010-0000-0000-00000F000000}" name="14. East Scotland" totalsRowFunction="custom" dataDxfId="77" totalsRowDxfId="76">
      <totalsRowFormula>SUM(Degree_Days_Table[14. East Scotland])</totalsRowFormula>
    </tableColumn>
    <tableColumn id="16" xr3:uid="{00000000-0010-0000-0000-000010000000}" name="15. North East Scotland" totalsRowFunction="custom" dataDxfId="75" totalsRowDxfId="74">
      <totalsRowFormula>SUM(Degree_Days_Table[15. North East Scotland])</totalsRowFormula>
    </tableColumn>
    <tableColumn id="17" xr3:uid="{00000000-0010-0000-0000-000011000000}" name="16. Wales" totalsRowFunction="custom" dataDxfId="73" totalsRowDxfId="72">
      <totalsRowFormula>SUM(Degree_Days_Table[16. Wales])</totalsRowFormula>
    </tableColumn>
    <tableColumn id="18" xr3:uid="{00000000-0010-0000-0000-000012000000}" name="17. Northern Ireland" totalsRowFunction="custom" dataDxfId="71" totalsRowDxfId="70">
      <totalsRowFormula>SUM(Degree_Days_Table[17. Northern Ireland])</totalsRowFormula>
    </tableColumn>
    <tableColumn id="19" xr3:uid="{00000000-0010-0000-0000-000013000000}" name="18. North West Scotland" totalsRowFunction="custom" dataDxfId="69" totalsRowDxfId="68">
      <totalsRowFormula>SUM(Degree_Days_Table[18. North West Scotland])</totalsRowFormula>
    </tableColumn>
  </tableColumns>
  <tableStyleInfo name="TableStyleMedium2" showFirstColumn="0"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gree_Days_Table3" displayName="Degree_Days_Table3" ref="C20:U33" totalsRowCount="1" headerRowDxfId="67" dataDxfId="66" totalsRowDxfId="65">
  <tableColumns count="19">
    <tableColumn id="1" xr3:uid="{00000000-0010-0000-0100-000001000000}" name="Month" dataDxfId="64" totalsRowDxfId="63"/>
    <tableColumn id="2" xr3:uid="{00000000-0010-0000-0100-000002000000}" name="1. London (Thames Valley)" totalsRowFunction="custom" dataDxfId="62" totalsRowDxfId="61">
      <totalsRowFormula>SUM(Degree_Days_Table3[1. London (Thames Valley)])</totalsRowFormula>
    </tableColumn>
    <tableColumn id="3" xr3:uid="{00000000-0010-0000-0100-000003000000}" name="2. South Eastern" totalsRowFunction="custom" dataDxfId="60" totalsRowDxfId="59">
      <totalsRowFormula>SUM(Degree_Days_Table3[2. South Eastern])</totalsRowFormula>
    </tableColumn>
    <tableColumn id="4" xr3:uid="{00000000-0010-0000-0100-000004000000}" name="3. Southern" totalsRowFunction="custom" dataDxfId="58" totalsRowDxfId="57">
      <totalsRowFormula>SUM(Degree_Days_Table3[3. Southern])</totalsRowFormula>
    </tableColumn>
    <tableColumn id="5" xr3:uid="{00000000-0010-0000-0100-000005000000}" name="4. South Western" totalsRowFunction="custom" dataDxfId="56" totalsRowDxfId="55">
      <totalsRowFormula>SUM(Degree_Days_Table3[4. South Western])</totalsRowFormula>
    </tableColumn>
    <tableColumn id="6" xr3:uid="{00000000-0010-0000-0100-000006000000}" name="5. Severn Valley" totalsRowFunction="custom" dataDxfId="54" totalsRowDxfId="53">
      <totalsRowFormula>SUM(Degree_Days_Table3[5. Severn Valley])</totalsRowFormula>
    </tableColumn>
    <tableColumn id="7" xr3:uid="{00000000-0010-0000-0100-000007000000}" name="6. Midlands" totalsRowFunction="custom" dataDxfId="52" totalsRowDxfId="51">
      <totalsRowFormula>SUM(Degree_Days_Table3[6. Midlands])</totalsRowFormula>
    </tableColumn>
    <tableColumn id="8" xr3:uid="{00000000-0010-0000-0100-000008000000}" name="7. West Pennines" totalsRowFunction="custom" dataDxfId="50" totalsRowDxfId="49">
      <totalsRowFormula>SUM(Degree_Days_Table3[7. West Pennines])</totalsRowFormula>
    </tableColumn>
    <tableColumn id="9" xr3:uid="{00000000-0010-0000-0100-000009000000}" name="8. North Western" totalsRowFunction="custom" dataDxfId="48" totalsRowDxfId="47">
      <totalsRowFormula>SUM(Degree_Days_Table3[8. North Western])</totalsRowFormula>
    </tableColumn>
    <tableColumn id="10" xr3:uid="{00000000-0010-0000-0100-00000A000000}" name="9. Borders" totalsRowFunction="custom" dataDxfId="46" totalsRowDxfId="45">
      <totalsRowFormula>SUM(Degree_Days_Table3[9. Borders])</totalsRowFormula>
    </tableColumn>
    <tableColumn id="11" xr3:uid="{00000000-0010-0000-0100-00000B000000}" name="10. North Eastern" totalsRowFunction="custom" dataDxfId="44" totalsRowDxfId="43">
      <totalsRowFormula>SUM(Degree_Days_Table3[10. North Eastern])</totalsRowFormula>
    </tableColumn>
    <tableColumn id="12" xr3:uid="{00000000-0010-0000-0100-00000C000000}" name="11. East Pennines" totalsRowFunction="custom" dataDxfId="42" totalsRowDxfId="41">
      <totalsRowFormula>SUM(Degree_Days_Table3[11. East Pennines])</totalsRowFormula>
    </tableColumn>
    <tableColumn id="13" xr3:uid="{00000000-0010-0000-0100-00000D000000}" name="12. East Anglia" totalsRowFunction="custom" dataDxfId="40" totalsRowDxfId="39">
      <totalsRowFormula>SUM(Degree_Days_Table3[12. East Anglia])</totalsRowFormula>
    </tableColumn>
    <tableColumn id="14" xr3:uid="{00000000-0010-0000-0100-00000E000000}" name="13. West Scotland" totalsRowFunction="custom" dataDxfId="38" totalsRowDxfId="37">
      <totalsRowFormula>SUM(Degree_Days_Table3[13. West Scotland])</totalsRowFormula>
    </tableColumn>
    <tableColumn id="15" xr3:uid="{00000000-0010-0000-0100-00000F000000}" name="14. East Scotland" totalsRowFunction="custom" dataDxfId="36" totalsRowDxfId="35">
      <totalsRowFormula>SUM(Degree_Days_Table3[14. East Scotland])</totalsRowFormula>
    </tableColumn>
    <tableColumn id="16" xr3:uid="{00000000-0010-0000-0100-000010000000}" name="15. North East Scotland" totalsRowFunction="custom" dataDxfId="34" totalsRowDxfId="33">
      <totalsRowFormula>SUM(Degree_Days_Table3[15. North East Scotland])</totalsRowFormula>
    </tableColumn>
    <tableColumn id="17" xr3:uid="{00000000-0010-0000-0100-000011000000}" name="16. Wales" totalsRowFunction="custom" dataDxfId="32" totalsRowDxfId="31">
      <totalsRowFormula>SUM(Degree_Days_Table3[16. Wales])</totalsRowFormula>
    </tableColumn>
    <tableColumn id="18" xr3:uid="{00000000-0010-0000-0100-000012000000}" name="17. Northern Ireland" totalsRowFunction="custom" dataDxfId="30" totalsRowDxfId="29">
      <totalsRowFormula>SUM(Degree_Days_Table3[17. Northern Ireland])</totalsRowFormula>
    </tableColumn>
    <tableColumn id="19" xr3:uid="{00000000-0010-0000-0100-000013000000}" name="18. North West Scotland" totalsRowFunction="custom" dataDxfId="28" totalsRowDxfId="27">
      <totalsRowFormula>SUM(Degree_Days_Table3[18. North West Scotland])</totalsRowFormula>
    </tableColumn>
  </tableColumns>
  <tableStyleInfo name="TableStyleMedium2" showFirstColumn="0" showLastColumn="0" showRowStripes="0" showColumnStripes="1"/>
</table>
</file>

<file path=xl/theme/theme1.xml><?xml version="1.0" encoding="utf-8"?>
<a:theme xmlns:a="http://schemas.openxmlformats.org/drawingml/2006/main" name="Office Theme">
  <a:themeElements>
    <a:clrScheme name="Salix Colours">
      <a:dk1>
        <a:sysClr val="windowText" lastClr="000000"/>
      </a:dk1>
      <a:lt1>
        <a:sysClr val="window" lastClr="FFFFFF"/>
      </a:lt1>
      <a:dk2>
        <a:srgbClr val="44546A"/>
      </a:dk2>
      <a:lt2>
        <a:srgbClr val="E7E6E6"/>
      </a:lt2>
      <a:accent1>
        <a:srgbClr val="2DAE76"/>
      </a:accent1>
      <a:accent2>
        <a:srgbClr val="6BC3C4"/>
      </a:accent2>
      <a:accent3>
        <a:srgbClr val="382573"/>
      </a:accent3>
      <a:accent4>
        <a:srgbClr val="F4FFF5"/>
      </a:accent4>
      <a:accent5>
        <a:srgbClr val="E4DFEC"/>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egreedays.net/introduction" TargetMode="External"/><Relationship Id="rId2" Type="http://schemas.openxmlformats.org/officeDocument/2006/relationships/hyperlink" Target="http://www.carbontrust.com/resources/guides/energy-efficiency/buildings-energy-efficiency" TargetMode="External"/><Relationship Id="rId1" Type="http://schemas.openxmlformats.org/officeDocument/2006/relationships/hyperlink" Target="http://www.vesma.com/ddd/welcome.htm" TargetMode="External"/><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www.vesma.com/ddd/welcome.htm"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3FFF1"/>
  </sheetPr>
  <dimension ref="A1:D34"/>
  <sheetViews>
    <sheetView showGridLines="0" showRowColHeaders="0" tabSelected="1" zoomScale="80" zoomScaleNormal="80" workbookViewId="0"/>
  </sheetViews>
  <sheetFormatPr defaultColWidth="8.7109375" defaultRowHeight="15" x14ac:dyDescent="0.25"/>
  <cols>
    <col min="1" max="1" width="3.5703125" style="74" customWidth="1"/>
    <col min="2" max="2" width="4.85546875" style="74" customWidth="1"/>
    <col min="3" max="3" width="176" style="74" customWidth="1"/>
    <col min="4" max="4" width="5.140625" style="74" customWidth="1"/>
    <col min="5" max="16384" width="8.7109375" style="74"/>
  </cols>
  <sheetData>
    <row r="1" spans="1:4" ht="13.5" customHeight="1" x14ac:dyDescent="0.25">
      <c r="A1" s="72"/>
      <c r="B1" s="72"/>
      <c r="C1" s="73"/>
      <c r="D1" s="72"/>
    </row>
    <row r="2" spans="1:4" ht="15.75" x14ac:dyDescent="0.25">
      <c r="A2" s="72"/>
      <c r="B2" s="50"/>
      <c r="C2" s="75"/>
      <c r="D2" s="50"/>
    </row>
    <row r="3" spans="1:4" ht="19.5" x14ac:dyDescent="0.25">
      <c r="A3" s="72"/>
      <c r="B3" s="50"/>
      <c r="C3" s="121" t="str">
        <f>'Guidance Notes'!C3</f>
        <v>Salix Building Fabric Insulation Calculation Tool (V2.4)</v>
      </c>
      <c r="D3" s="50"/>
    </row>
    <row r="4" spans="1:4" ht="15.75" x14ac:dyDescent="0.25">
      <c r="A4" s="72"/>
      <c r="B4" s="50"/>
      <c r="C4" s="76" t="str">
        <f ca="1">'Guidance Notes'!C4</f>
        <v>© Salix Finance 2023</v>
      </c>
      <c r="D4" s="50"/>
    </row>
    <row r="5" spans="1:4" ht="15.75" x14ac:dyDescent="0.25">
      <c r="A5" s="72"/>
      <c r="B5" s="50"/>
      <c r="C5" s="45"/>
      <c r="D5" s="2"/>
    </row>
    <row r="6" spans="1:4" ht="15.75" x14ac:dyDescent="0.25">
      <c r="A6" s="72"/>
      <c r="B6" s="50"/>
      <c r="C6" s="122" t="s">
        <v>0</v>
      </c>
      <c r="D6" s="2"/>
    </row>
    <row r="7" spans="1:4" ht="51" x14ac:dyDescent="0.25">
      <c r="A7" s="72"/>
      <c r="B7" s="50"/>
      <c r="C7" s="46" t="s">
        <v>1</v>
      </c>
      <c r="D7" s="2"/>
    </row>
    <row r="8" spans="1:4" ht="15.75" x14ac:dyDescent="0.25">
      <c r="A8" s="72"/>
      <c r="B8" s="50"/>
      <c r="C8" s="46"/>
      <c r="D8" s="2"/>
    </row>
    <row r="9" spans="1:4" ht="15.75" x14ac:dyDescent="0.25">
      <c r="A9" s="72"/>
      <c r="B9" s="50"/>
      <c r="C9" s="122" t="s">
        <v>2</v>
      </c>
      <c r="D9" s="2"/>
    </row>
    <row r="10" spans="1:4" ht="86.1" customHeight="1" x14ac:dyDescent="0.25">
      <c r="A10" s="72"/>
      <c r="B10" s="50"/>
      <c r="C10" s="46" t="s">
        <v>3</v>
      </c>
      <c r="D10" s="2"/>
    </row>
    <row r="11" spans="1:4" ht="15.75" x14ac:dyDescent="0.25">
      <c r="A11" s="72"/>
      <c r="B11" s="50"/>
      <c r="C11" s="46"/>
      <c r="D11" s="2"/>
    </row>
    <row r="12" spans="1:4" ht="15.75" x14ac:dyDescent="0.25">
      <c r="A12" s="72"/>
      <c r="B12" s="50"/>
      <c r="C12" s="122" t="s">
        <v>4</v>
      </c>
      <c r="D12" s="2"/>
    </row>
    <row r="13" spans="1:4" ht="221.25" customHeight="1" x14ac:dyDescent="0.25">
      <c r="A13" s="72"/>
      <c r="B13" s="50"/>
      <c r="C13" s="46" t="s">
        <v>5</v>
      </c>
      <c r="D13" s="2"/>
    </row>
    <row r="14" spans="1:4" ht="15.75" customHeight="1" x14ac:dyDescent="0.25">
      <c r="A14" s="72"/>
      <c r="B14" s="50"/>
      <c r="C14" s="46"/>
      <c r="D14" s="2"/>
    </row>
    <row r="15" spans="1:4" ht="15.75" x14ac:dyDescent="0.25">
      <c r="A15" s="72"/>
      <c r="B15" s="50"/>
      <c r="C15" s="122" t="s">
        <v>6</v>
      </c>
      <c r="D15" s="2"/>
    </row>
    <row r="16" spans="1:4" ht="25.5" x14ac:dyDescent="0.25">
      <c r="A16" s="72"/>
      <c r="B16" s="50"/>
      <c r="C16" s="46" t="s">
        <v>7</v>
      </c>
      <c r="D16" s="2"/>
    </row>
    <row r="17" spans="1:4" ht="15.75" x14ac:dyDescent="0.25">
      <c r="A17" s="72"/>
      <c r="B17" s="50"/>
      <c r="C17" s="46"/>
      <c r="D17" s="2"/>
    </row>
    <row r="18" spans="1:4" ht="15.75" x14ac:dyDescent="0.25">
      <c r="A18" s="72"/>
      <c r="B18" s="50"/>
      <c r="C18" s="122" t="s">
        <v>8</v>
      </c>
      <c r="D18" s="2"/>
    </row>
    <row r="19" spans="1:4" ht="213" customHeight="1" x14ac:dyDescent="0.25">
      <c r="A19" s="72"/>
      <c r="B19" s="50"/>
      <c r="C19" s="46" t="s">
        <v>9</v>
      </c>
      <c r="D19" s="2"/>
    </row>
    <row r="20" spans="1:4" ht="15.75" customHeight="1" x14ac:dyDescent="0.25">
      <c r="A20" s="72"/>
      <c r="B20" s="50"/>
      <c r="C20" s="46"/>
      <c r="D20" s="2"/>
    </row>
    <row r="21" spans="1:4" ht="15.75" x14ac:dyDescent="0.25">
      <c r="A21" s="72"/>
      <c r="B21" s="50"/>
      <c r="C21" s="122" t="s">
        <v>10</v>
      </c>
      <c r="D21" s="2"/>
    </row>
    <row r="22" spans="1:4" ht="25.5" x14ac:dyDescent="0.25">
      <c r="A22" s="72"/>
      <c r="B22" s="50"/>
      <c r="C22" s="46" t="s">
        <v>11</v>
      </c>
      <c r="D22" s="2"/>
    </row>
    <row r="23" spans="1:4" ht="15.75" x14ac:dyDescent="0.25">
      <c r="A23" s="72"/>
      <c r="B23" s="50"/>
      <c r="C23" s="47"/>
      <c r="D23" s="2"/>
    </row>
    <row r="24" spans="1:4" ht="15.75" x14ac:dyDescent="0.25">
      <c r="A24" s="72"/>
      <c r="B24" s="50"/>
      <c r="C24" s="122" t="s">
        <v>12</v>
      </c>
      <c r="D24" s="2"/>
    </row>
    <row r="25" spans="1:4" ht="150" customHeight="1" x14ac:dyDescent="0.25">
      <c r="A25" s="72"/>
      <c r="B25" s="50"/>
      <c r="C25" s="46" t="s">
        <v>13</v>
      </c>
      <c r="D25" s="2"/>
    </row>
    <row r="26" spans="1:4" ht="15.75" customHeight="1" x14ac:dyDescent="0.25">
      <c r="A26" s="72"/>
      <c r="B26" s="50"/>
      <c r="C26" s="46"/>
      <c r="D26" s="2"/>
    </row>
    <row r="27" spans="1:4" ht="15.75" x14ac:dyDescent="0.25">
      <c r="A27" s="72"/>
      <c r="B27" s="50"/>
      <c r="C27" s="122" t="s">
        <v>14</v>
      </c>
      <c r="D27" s="2"/>
    </row>
    <row r="28" spans="1:4" ht="114.6" customHeight="1" x14ac:dyDescent="0.25">
      <c r="A28" s="72"/>
      <c r="B28" s="50"/>
      <c r="C28" s="46" t="s">
        <v>15</v>
      </c>
      <c r="D28" s="2"/>
    </row>
    <row r="29" spans="1:4" ht="15.75" customHeight="1" x14ac:dyDescent="0.25">
      <c r="A29" s="72"/>
      <c r="B29" s="50"/>
      <c r="C29" s="46"/>
      <c r="D29" s="2"/>
    </row>
    <row r="30" spans="1:4" ht="15.75" x14ac:dyDescent="0.25">
      <c r="A30" s="72"/>
      <c r="B30" s="50"/>
      <c r="C30" s="122" t="s">
        <v>16</v>
      </c>
      <c r="D30" s="2"/>
    </row>
    <row r="31" spans="1:4" ht="153" x14ac:dyDescent="0.25">
      <c r="A31" s="72"/>
      <c r="B31" s="50"/>
      <c r="C31" s="46" t="s">
        <v>17</v>
      </c>
      <c r="D31" s="2"/>
    </row>
    <row r="32" spans="1:4" ht="18.75" x14ac:dyDescent="0.25">
      <c r="A32" s="72"/>
      <c r="B32" s="50"/>
      <c r="C32" s="48"/>
      <c r="D32" s="2"/>
    </row>
    <row r="33" spans="1:4" ht="15.75" x14ac:dyDescent="0.25">
      <c r="A33" s="73"/>
      <c r="B33" s="49"/>
      <c r="C33" s="51"/>
      <c r="D33" s="52"/>
    </row>
    <row r="34" spans="1:4" ht="15.75" x14ac:dyDescent="0.25">
      <c r="A34" s="72"/>
      <c r="B34" s="72"/>
      <c r="C34" s="73"/>
      <c r="D34" s="72"/>
    </row>
  </sheetData>
  <sheetProtection algorithmName="SHA-512" hashValue="7jXLOLKt004wX8VeH3el0ZSvGwHJigwTmTTAvgY4dWAUqBkEnoHpR98x4zcqSx49L5c4sJpNTqfJnfdApHoAYQ==" saltValue="hbXBi/YDe+MKqq2npz6itg==" spinCount="100000" sheet="1"/>
  <pageMargins left="0.7" right="0.7" top="0.75" bottom="0.75" header="0.3" footer="0.3"/>
  <pageSetup paperSize="9" orientation="portrait" horizontalDpi="360" verticalDpi="360"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3FFF1"/>
    <pageSetUpPr fitToPage="1"/>
  </sheetPr>
  <dimension ref="B1:O25"/>
  <sheetViews>
    <sheetView showGridLines="0" showRowColHeaders="0" zoomScale="80" zoomScaleNormal="80" workbookViewId="0"/>
  </sheetViews>
  <sheetFormatPr defaultColWidth="9.140625" defaultRowHeight="17.25" x14ac:dyDescent="0.35"/>
  <cols>
    <col min="1" max="2" width="3.7109375" style="70" customWidth="1"/>
    <col min="3" max="3" width="9.140625" style="70"/>
    <col min="4" max="4" width="30.140625" style="70" customWidth="1"/>
    <col min="5" max="13" width="9.140625" style="70"/>
    <col min="14" max="14" width="54.42578125" style="70" customWidth="1"/>
    <col min="15" max="15" width="3.7109375" style="70" customWidth="1"/>
    <col min="16" max="16384" width="9.140625" style="70"/>
  </cols>
  <sheetData>
    <row r="1" spans="2:15" ht="13.5" customHeight="1" x14ac:dyDescent="0.35"/>
    <row r="2" spans="2:15" x14ac:dyDescent="0.35">
      <c r="B2" s="1"/>
      <c r="C2" s="1"/>
      <c r="D2" s="1"/>
      <c r="E2" s="1"/>
      <c r="F2" s="1"/>
      <c r="G2" s="1"/>
      <c r="H2" s="1"/>
      <c r="I2" s="1"/>
      <c r="J2" s="1"/>
      <c r="K2" s="1"/>
      <c r="L2" s="1"/>
      <c r="M2" s="1"/>
      <c r="N2" s="1"/>
      <c r="O2" s="1"/>
    </row>
    <row r="3" spans="2:15" ht="27.75" customHeight="1" x14ac:dyDescent="0.35">
      <c r="B3" s="1"/>
      <c r="C3" s="119" t="s">
        <v>18</v>
      </c>
      <c r="D3" s="4"/>
      <c r="E3" s="5"/>
      <c r="F3" s="5"/>
      <c r="G3" s="5"/>
      <c r="H3" s="5"/>
      <c r="I3" s="5"/>
      <c r="J3" s="5"/>
      <c r="K3" s="5"/>
      <c r="L3" s="5"/>
      <c r="M3" s="5"/>
      <c r="N3" s="5"/>
      <c r="O3" s="1"/>
    </row>
    <row r="4" spans="2:15" ht="15" customHeight="1" x14ac:dyDescent="0.35">
      <c r="B4" s="1"/>
      <c r="C4" s="54" t="str">
        <f ca="1">"© Salix Finance "&amp;YEAR(NOW())</f>
        <v>© Salix Finance 2023</v>
      </c>
      <c r="D4" s="6"/>
      <c r="E4" s="5"/>
      <c r="F4" s="5"/>
      <c r="G4" s="5"/>
      <c r="H4" s="5"/>
      <c r="I4" s="5"/>
      <c r="J4" s="5"/>
      <c r="K4" s="5"/>
      <c r="L4" s="5"/>
      <c r="M4" s="5"/>
      <c r="N4" s="5"/>
      <c r="O4" s="1"/>
    </row>
    <row r="5" spans="2:15" ht="16.5" customHeight="1" x14ac:dyDescent="0.35">
      <c r="B5" s="1"/>
      <c r="C5" s="54"/>
      <c r="D5" s="6"/>
      <c r="E5" s="5"/>
      <c r="F5" s="5"/>
      <c r="G5" s="5"/>
      <c r="H5" s="5"/>
      <c r="I5" s="5"/>
      <c r="J5" s="5"/>
      <c r="K5" s="5"/>
      <c r="L5" s="5"/>
      <c r="M5" s="5"/>
      <c r="N5" s="5"/>
      <c r="O5" s="1"/>
    </row>
    <row r="6" spans="2:15" ht="18.75" customHeight="1" x14ac:dyDescent="0.35">
      <c r="B6" s="1"/>
      <c r="C6" s="120" t="s">
        <v>19</v>
      </c>
      <c r="D6" s="6"/>
      <c r="E6" s="5"/>
      <c r="F6" s="5"/>
      <c r="G6" s="5"/>
      <c r="H6" s="5"/>
      <c r="I6" s="5"/>
      <c r="J6" s="5"/>
      <c r="K6" s="5"/>
      <c r="L6" s="5"/>
      <c r="M6" s="5"/>
      <c r="N6" s="5"/>
      <c r="O6" s="1"/>
    </row>
    <row r="7" spans="2:15" ht="135" customHeight="1" x14ac:dyDescent="0.35">
      <c r="B7" s="1"/>
      <c r="C7" s="173" t="s">
        <v>20</v>
      </c>
      <c r="D7" s="174"/>
      <c r="E7" s="174"/>
      <c r="F7" s="174"/>
      <c r="G7" s="174"/>
      <c r="H7" s="174"/>
      <c r="I7" s="174"/>
      <c r="J7" s="174"/>
      <c r="K7" s="174"/>
      <c r="L7" s="174"/>
      <c r="M7" s="174"/>
      <c r="N7" s="174"/>
      <c r="O7" s="1"/>
    </row>
    <row r="8" spans="2:15" ht="57.75" customHeight="1" x14ac:dyDescent="0.35">
      <c r="B8" s="1"/>
      <c r="C8" s="195"/>
      <c r="D8" s="195"/>
      <c r="E8" s="195"/>
      <c r="F8" s="195"/>
      <c r="G8" s="195"/>
      <c r="H8" s="195"/>
      <c r="I8" s="195"/>
      <c r="J8" s="195"/>
      <c r="K8" s="195"/>
      <c r="L8" s="195"/>
      <c r="M8" s="195"/>
      <c r="N8" s="195"/>
      <c r="O8" s="1"/>
    </row>
    <row r="9" spans="2:15" x14ac:dyDescent="0.35">
      <c r="B9" s="1"/>
      <c r="C9" s="181" t="s">
        <v>21</v>
      </c>
      <c r="D9" s="181"/>
      <c r="E9" s="181"/>
      <c r="F9" s="181"/>
      <c r="G9" s="181"/>
      <c r="H9" s="181"/>
      <c r="I9" s="181"/>
      <c r="J9" s="181"/>
      <c r="K9" s="181"/>
      <c r="L9" s="181"/>
      <c r="M9" s="181"/>
      <c r="N9" s="181"/>
      <c r="O9" s="1"/>
    </row>
    <row r="10" spans="2:15" ht="30.75" customHeight="1" x14ac:dyDescent="0.35">
      <c r="B10" s="1"/>
      <c r="C10" s="181" t="s">
        <v>22</v>
      </c>
      <c r="D10" s="181"/>
      <c r="E10" s="181"/>
      <c r="F10" s="181"/>
      <c r="G10" s="181"/>
      <c r="H10" s="181"/>
      <c r="I10" s="181"/>
      <c r="J10" s="181"/>
      <c r="K10" s="181"/>
      <c r="L10" s="181"/>
      <c r="M10" s="181"/>
      <c r="N10" s="181"/>
      <c r="O10" s="1"/>
    </row>
    <row r="11" spans="2:15" ht="362.45" customHeight="1" x14ac:dyDescent="0.35">
      <c r="B11" s="1"/>
      <c r="C11" s="179" t="s">
        <v>23</v>
      </c>
      <c r="D11" s="179"/>
      <c r="E11" s="179"/>
      <c r="F11" s="179"/>
      <c r="G11" s="179"/>
      <c r="H11" s="179"/>
      <c r="I11" s="179"/>
      <c r="J11" s="179"/>
      <c r="K11" s="179"/>
      <c r="L11" s="179"/>
      <c r="M11" s="179"/>
      <c r="N11" s="179"/>
      <c r="O11" s="1"/>
    </row>
    <row r="12" spans="2:15" ht="31.5" customHeight="1" x14ac:dyDescent="0.35">
      <c r="B12" s="1"/>
      <c r="C12" s="120" t="s">
        <v>24</v>
      </c>
      <c r="D12" s="7"/>
      <c r="E12" s="8"/>
      <c r="F12" s="8"/>
      <c r="G12" s="8"/>
      <c r="H12" s="8"/>
      <c r="I12" s="8"/>
      <c r="J12" s="8"/>
      <c r="K12" s="8"/>
      <c r="L12" s="8"/>
      <c r="M12" s="8"/>
      <c r="N12" s="8"/>
      <c r="O12" s="1"/>
    </row>
    <row r="13" spans="2:15" x14ac:dyDescent="0.35">
      <c r="B13" s="1"/>
      <c r="C13" s="5"/>
      <c r="D13" s="3"/>
      <c r="E13" s="175" t="s">
        <v>25</v>
      </c>
      <c r="F13" s="175"/>
      <c r="G13" s="175"/>
      <c r="H13" s="175"/>
      <c r="I13" s="175"/>
      <c r="J13" s="175"/>
      <c r="K13" s="175"/>
      <c r="L13" s="175"/>
      <c r="M13" s="175"/>
      <c r="N13" s="175"/>
      <c r="O13" s="1"/>
    </row>
    <row r="14" spans="2:15" ht="90" customHeight="1" x14ac:dyDescent="0.35">
      <c r="B14" s="1"/>
      <c r="C14" s="5"/>
      <c r="D14" s="180" t="s">
        <v>26</v>
      </c>
      <c r="E14" s="176" t="s">
        <v>27</v>
      </c>
      <c r="F14" s="177"/>
      <c r="G14" s="177"/>
      <c r="H14" s="177"/>
      <c r="I14" s="177"/>
      <c r="J14" s="177"/>
      <c r="K14" s="177"/>
      <c r="L14" s="177"/>
      <c r="M14" s="177"/>
      <c r="N14" s="178"/>
      <c r="O14" s="1"/>
    </row>
    <row r="15" spans="2:15" ht="15" customHeight="1" x14ac:dyDescent="0.35">
      <c r="B15" s="1"/>
      <c r="C15" s="5"/>
      <c r="D15" s="180"/>
      <c r="E15" s="182" t="s">
        <v>28</v>
      </c>
      <c r="F15" s="183"/>
      <c r="G15" s="183"/>
      <c r="H15" s="183"/>
      <c r="I15" s="183"/>
      <c r="J15" s="183"/>
      <c r="K15" s="183"/>
      <c r="L15" s="183"/>
      <c r="M15" s="183"/>
      <c r="N15" s="184"/>
      <c r="O15" s="1"/>
    </row>
    <row r="16" spans="2:15" ht="15" customHeight="1" x14ac:dyDescent="0.35">
      <c r="B16" s="1"/>
      <c r="C16" s="5"/>
      <c r="D16" s="180"/>
      <c r="E16" s="189" t="s">
        <v>29</v>
      </c>
      <c r="F16" s="190"/>
      <c r="G16" s="190"/>
      <c r="H16" s="190"/>
      <c r="I16" s="190"/>
      <c r="J16" s="190"/>
      <c r="K16" s="190"/>
      <c r="L16" s="190"/>
      <c r="M16" s="190"/>
      <c r="N16" s="191"/>
      <c r="O16" s="1"/>
    </row>
    <row r="17" spans="2:15" ht="15" customHeight="1" x14ac:dyDescent="0.35">
      <c r="B17" s="1"/>
      <c r="C17" s="5"/>
      <c r="D17" s="180"/>
      <c r="E17" s="182" t="s">
        <v>30</v>
      </c>
      <c r="F17" s="183"/>
      <c r="G17" s="183"/>
      <c r="H17" s="183"/>
      <c r="I17" s="183"/>
      <c r="J17" s="183"/>
      <c r="K17" s="183"/>
      <c r="L17" s="183"/>
      <c r="M17" s="183"/>
      <c r="N17" s="184"/>
      <c r="O17" s="1"/>
    </row>
    <row r="18" spans="2:15" ht="15" customHeight="1" x14ac:dyDescent="0.35">
      <c r="B18" s="1"/>
      <c r="C18" s="5"/>
      <c r="D18" s="180"/>
      <c r="E18" s="185" t="s">
        <v>31</v>
      </c>
      <c r="F18" s="183"/>
      <c r="G18" s="183"/>
      <c r="H18" s="183"/>
      <c r="I18" s="183"/>
      <c r="J18" s="183"/>
      <c r="K18" s="183"/>
      <c r="L18" s="183"/>
      <c r="M18" s="183"/>
      <c r="N18" s="184"/>
      <c r="O18" s="1"/>
    </row>
    <row r="19" spans="2:15" ht="15" customHeight="1" x14ac:dyDescent="0.35">
      <c r="B19" s="1"/>
      <c r="C19" s="5"/>
      <c r="D19" s="180"/>
      <c r="E19" s="192" t="s">
        <v>32</v>
      </c>
      <c r="F19" s="193"/>
      <c r="G19" s="193"/>
      <c r="H19" s="193"/>
      <c r="I19" s="193"/>
      <c r="J19" s="193"/>
      <c r="K19" s="193"/>
      <c r="L19" s="193"/>
      <c r="M19" s="193"/>
      <c r="N19" s="194"/>
      <c r="O19" s="1"/>
    </row>
    <row r="20" spans="2:15" ht="15" customHeight="1" x14ac:dyDescent="0.35">
      <c r="B20" s="1"/>
      <c r="C20" s="5"/>
      <c r="D20" s="180"/>
      <c r="E20" s="185" t="s">
        <v>33</v>
      </c>
      <c r="F20" s="183"/>
      <c r="G20" s="183"/>
      <c r="H20" s="183"/>
      <c r="I20" s="183"/>
      <c r="J20" s="183"/>
      <c r="K20" s="183"/>
      <c r="L20" s="183"/>
      <c r="M20" s="183"/>
      <c r="N20" s="184"/>
      <c r="O20" s="1"/>
    </row>
    <row r="21" spans="2:15" ht="26.25" customHeight="1" x14ac:dyDescent="0.35">
      <c r="B21" s="1"/>
      <c r="C21" s="5"/>
      <c r="D21" s="180"/>
      <c r="E21" s="186" t="s">
        <v>34</v>
      </c>
      <c r="F21" s="187"/>
      <c r="G21" s="187"/>
      <c r="H21" s="187"/>
      <c r="I21" s="187"/>
      <c r="J21" s="187"/>
      <c r="K21" s="187"/>
      <c r="L21" s="187"/>
      <c r="M21" s="187"/>
      <c r="N21" s="188"/>
      <c r="O21" s="1"/>
    </row>
    <row r="22" spans="2:15" ht="83.25" customHeight="1" x14ac:dyDescent="0.35">
      <c r="B22" s="1"/>
      <c r="C22" s="5"/>
      <c r="D22" s="55" t="s">
        <v>35</v>
      </c>
      <c r="E22" s="168" t="s">
        <v>36</v>
      </c>
      <c r="F22" s="169"/>
      <c r="G22" s="169"/>
      <c r="H22" s="169"/>
      <c r="I22" s="169"/>
      <c r="J22" s="169"/>
      <c r="K22" s="169"/>
      <c r="L22" s="169"/>
      <c r="M22" s="169"/>
      <c r="N22" s="169"/>
      <c r="O22" s="1"/>
    </row>
    <row r="23" spans="2:15" ht="69" customHeight="1" x14ac:dyDescent="0.35">
      <c r="B23" s="1"/>
      <c r="C23" s="5"/>
      <c r="D23" s="55" t="s">
        <v>37</v>
      </c>
      <c r="E23" s="172" t="s">
        <v>38</v>
      </c>
      <c r="F23" s="172"/>
      <c r="G23" s="172"/>
      <c r="H23" s="172"/>
      <c r="I23" s="172"/>
      <c r="J23" s="172"/>
      <c r="K23" s="172"/>
      <c r="L23" s="172"/>
      <c r="M23" s="172"/>
      <c r="N23" s="172"/>
      <c r="O23" s="1"/>
    </row>
    <row r="24" spans="2:15" ht="311.25" customHeight="1" x14ac:dyDescent="0.35">
      <c r="B24" s="1"/>
      <c r="C24" s="170" t="s">
        <v>39</v>
      </c>
      <c r="D24" s="171"/>
      <c r="E24" s="171"/>
      <c r="F24" s="171"/>
      <c r="G24" s="171"/>
      <c r="H24" s="171"/>
      <c r="I24" s="171"/>
      <c r="J24" s="171"/>
      <c r="K24" s="171"/>
      <c r="L24" s="171"/>
      <c r="M24" s="171"/>
      <c r="N24" s="171"/>
      <c r="O24" s="1"/>
    </row>
    <row r="25" spans="2:15" x14ac:dyDescent="0.35">
      <c r="B25" s="53"/>
      <c r="C25" s="53"/>
      <c r="D25" s="53"/>
      <c r="E25" s="53"/>
      <c r="F25" s="53"/>
      <c r="G25" s="53"/>
      <c r="H25" s="53"/>
      <c r="I25" s="53"/>
      <c r="J25" s="53"/>
      <c r="K25" s="53"/>
      <c r="L25" s="53"/>
      <c r="M25" s="53"/>
      <c r="N25" s="53"/>
      <c r="O25" s="53"/>
    </row>
  </sheetData>
  <sheetProtection algorithmName="SHA-512" hashValue="OUv3LGOHZtSsv668hfW9JYHtSDYx3QOj0iIxzmbQiVIDnpeDXtpSQapnrmpqb3ZXS/PEfpm4jHYHSJ2qdw7vDA==" saltValue="3LA5W9cekooG/zeDQpSHPQ==" spinCount="100000" sheet="1"/>
  <mergeCells count="18">
    <mergeCell ref="C8:N8"/>
    <mergeCell ref="C10:N10"/>
    <mergeCell ref="E22:N22"/>
    <mergeCell ref="C24:N24"/>
    <mergeCell ref="E23:N23"/>
    <mergeCell ref="C7:N7"/>
    <mergeCell ref="E13:N13"/>
    <mergeCell ref="E14:N14"/>
    <mergeCell ref="C11:N11"/>
    <mergeCell ref="D14:D21"/>
    <mergeCell ref="C9:N9"/>
    <mergeCell ref="E15:N15"/>
    <mergeCell ref="E18:N18"/>
    <mergeCell ref="E20:N20"/>
    <mergeCell ref="E21:N21"/>
    <mergeCell ref="E16:N16"/>
    <mergeCell ref="E17:N17"/>
    <mergeCell ref="E19:N19"/>
  </mergeCells>
  <hyperlinks>
    <hyperlink ref="E18" r:id="rId1" xr:uid="{00000000-0004-0000-0100-000001000000}"/>
    <hyperlink ref="E20" r:id="rId2" xr:uid="{00000000-0004-0000-0100-000002000000}"/>
    <hyperlink ref="E16" r:id="rId3" xr:uid="{DAF232DA-E7ED-4BC9-B977-BE4C5E3F7C93}"/>
  </hyperlinks>
  <pageMargins left="0.70866141732283472" right="0.70866141732283472" top="0.74803149606299213" bottom="0.74803149606299213" header="0.31496062992125984" footer="0.31496062992125984"/>
  <pageSetup paperSize="9" scale="53" orientation="portrait" horizontalDpi="4294967293" r:id="rId4"/>
  <customProperties>
    <customPr name="GUID" r:id="rId5"/>
  </customPropertie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3FFF1"/>
    <pageSetUpPr fitToPage="1"/>
  </sheetPr>
  <dimension ref="B1:P48"/>
  <sheetViews>
    <sheetView showGridLines="0" showRowColHeaders="0" zoomScale="80" zoomScaleNormal="80" workbookViewId="0"/>
  </sheetViews>
  <sheetFormatPr defaultColWidth="9.140625" defaultRowHeight="17.25" x14ac:dyDescent="0.35"/>
  <cols>
    <col min="1" max="1" width="3.5703125" style="70" customWidth="1"/>
    <col min="2" max="2" width="2.5703125" style="70" customWidth="1"/>
    <col min="3" max="11" width="9.140625" style="70"/>
    <col min="12" max="12" width="13.5703125" style="70" customWidth="1"/>
    <col min="13" max="13" width="9.140625" style="70"/>
    <col min="14" max="14" width="15.85546875" style="70" customWidth="1"/>
    <col min="15" max="15" width="3.7109375" style="70" customWidth="1"/>
    <col min="16" max="16384" width="9.140625" style="70"/>
  </cols>
  <sheetData>
    <row r="1" spans="2:15" ht="13.5" customHeight="1" x14ac:dyDescent="0.35"/>
    <row r="2" spans="2:15" ht="34.5" customHeight="1" x14ac:dyDescent="0.35">
      <c r="B2" s="9"/>
      <c r="C2" s="132" t="s">
        <v>40</v>
      </c>
      <c r="D2" s="9"/>
      <c r="E2" s="9"/>
      <c r="F2" s="9"/>
      <c r="G2" s="9"/>
      <c r="H2" s="9"/>
      <c r="I2" s="9"/>
      <c r="J2" s="9"/>
      <c r="K2" s="9"/>
      <c r="L2" s="9"/>
      <c r="M2" s="9"/>
      <c r="N2" s="9"/>
      <c r="O2" s="9"/>
    </row>
    <row r="3" spans="2:15" x14ac:dyDescent="0.35">
      <c r="B3" s="9"/>
      <c r="C3" s="9"/>
      <c r="D3" s="9"/>
      <c r="E3" s="9"/>
      <c r="F3" s="9"/>
      <c r="G3" s="9"/>
      <c r="H3" s="9"/>
      <c r="I3" s="9"/>
      <c r="J3" s="9"/>
      <c r="K3" s="9"/>
      <c r="L3" s="9"/>
      <c r="M3" s="9"/>
      <c r="N3" s="9"/>
      <c r="O3" s="9"/>
    </row>
    <row r="4" spans="2:15" x14ac:dyDescent="0.35">
      <c r="B4" s="9"/>
      <c r="C4" s="9"/>
      <c r="D4" s="9"/>
      <c r="E4" s="9"/>
      <c r="F4" s="9"/>
      <c r="G4" s="9"/>
      <c r="H4" s="9"/>
      <c r="I4" s="9"/>
      <c r="J4" s="9"/>
      <c r="K4" s="9"/>
      <c r="L4" s="9"/>
      <c r="M4" s="16" t="s">
        <v>41</v>
      </c>
      <c r="N4" s="9"/>
      <c r="O4" s="1"/>
    </row>
    <row r="5" spans="2:15" x14ac:dyDescent="0.35">
      <c r="B5" s="9"/>
      <c r="C5" s="9"/>
      <c r="D5" s="9"/>
      <c r="E5" s="9"/>
      <c r="F5" s="9"/>
      <c r="G5" s="9"/>
      <c r="H5" s="9"/>
      <c r="I5" s="9"/>
      <c r="J5" s="9"/>
      <c r="K5" s="9"/>
      <c r="L5" s="9"/>
      <c r="M5" s="10" t="s">
        <v>42</v>
      </c>
      <c r="N5" s="9"/>
      <c r="O5" s="1"/>
    </row>
    <row r="6" spans="2:15" x14ac:dyDescent="0.35">
      <c r="B6" s="9"/>
      <c r="C6" s="9"/>
      <c r="D6" s="9"/>
      <c r="E6" s="9"/>
      <c r="F6" s="9"/>
      <c r="G6" s="9"/>
      <c r="H6" s="9"/>
      <c r="I6" s="9"/>
      <c r="J6" s="9"/>
      <c r="K6" s="9"/>
      <c r="L6" s="9"/>
      <c r="M6" s="10" t="s">
        <v>43</v>
      </c>
      <c r="N6" s="9"/>
      <c r="O6" s="1"/>
    </row>
    <row r="7" spans="2:15" x14ac:dyDescent="0.35">
      <c r="B7" s="9"/>
      <c r="C7" s="9"/>
      <c r="D7" s="9"/>
      <c r="E7" s="9"/>
      <c r="F7" s="9"/>
      <c r="G7" s="9"/>
      <c r="H7" s="9"/>
      <c r="I7" s="9"/>
      <c r="J7" s="9"/>
      <c r="K7" s="9"/>
      <c r="L7" s="9"/>
      <c r="M7" s="10" t="s">
        <v>44</v>
      </c>
      <c r="N7" s="9"/>
      <c r="O7" s="1"/>
    </row>
    <row r="8" spans="2:15" x14ac:dyDescent="0.35">
      <c r="B8" s="9"/>
      <c r="C8" s="9"/>
      <c r="D8" s="9"/>
      <c r="E8" s="9"/>
      <c r="F8" s="9"/>
      <c r="G8" s="9"/>
      <c r="H8" s="9"/>
      <c r="I8" s="9"/>
      <c r="J8" s="9"/>
      <c r="K8" s="9"/>
      <c r="L8" s="9"/>
      <c r="M8" s="10" t="s">
        <v>45</v>
      </c>
      <c r="N8" s="9"/>
      <c r="O8" s="1"/>
    </row>
    <row r="9" spans="2:15" x14ac:dyDescent="0.35">
      <c r="B9" s="9"/>
      <c r="C9" s="9"/>
      <c r="D9" s="9"/>
      <c r="E9" s="9"/>
      <c r="F9" s="9"/>
      <c r="G9" s="9"/>
      <c r="H9" s="9"/>
      <c r="I9" s="9"/>
      <c r="J9" s="9"/>
      <c r="K9" s="9"/>
      <c r="L9" s="9"/>
      <c r="M9" s="10" t="s">
        <v>46</v>
      </c>
      <c r="N9" s="9"/>
      <c r="O9" s="1"/>
    </row>
    <row r="10" spans="2:15" x14ac:dyDescent="0.35">
      <c r="B10" s="9"/>
      <c r="C10" s="9"/>
      <c r="D10" s="9"/>
      <c r="E10" s="9"/>
      <c r="F10" s="9"/>
      <c r="G10" s="9"/>
      <c r="H10" s="9"/>
      <c r="I10" s="9"/>
      <c r="J10" s="9"/>
      <c r="K10" s="9"/>
      <c r="L10" s="9"/>
      <c r="M10" s="10" t="s">
        <v>47</v>
      </c>
      <c r="N10" s="9"/>
      <c r="O10" s="1"/>
    </row>
    <row r="11" spans="2:15" x14ac:dyDescent="0.35">
      <c r="B11" s="9"/>
      <c r="C11" s="9"/>
      <c r="D11" s="9"/>
      <c r="E11" s="9"/>
      <c r="F11" s="9"/>
      <c r="G11" s="9"/>
      <c r="H11" s="9"/>
      <c r="I11" s="9"/>
      <c r="J11" s="9"/>
      <c r="K11" s="9"/>
      <c r="L11" s="9"/>
      <c r="M11" s="10" t="s">
        <v>48</v>
      </c>
      <c r="N11" s="9"/>
      <c r="O11" s="1"/>
    </row>
    <row r="12" spans="2:15" x14ac:dyDescent="0.35">
      <c r="B12" s="9"/>
      <c r="C12" s="9"/>
      <c r="D12" s="9"/>
      <c r="E12" s="9"/>
      <c r="F12" s="9"/>
      <c r="G12" s="9"/>
      <c r="H12" s="9"/>
      <c r="I12" s="9"/>
      <c r="J12" s="9"/>
      <c r="K12" s="9"/>
      <c r="L12" s="9"/>
      <c r="M12" s="10" t="s">
        <v>49</v>
      </c>
      <c r="N12" s="9"/>
      <c r="O12" s="1"/>
    </row>
    <row r="13" spans="2:15" x14ac:dyDescent="0.35">
      <c r="B13" s="9"/>
      <c r="C13" s="9"/>
      <c r="D13" s="9"/>
      <c r="E13" s="9"/>
      <c r="F13" s="9"/>
      <c r="G13" s="9"/>
      <c r="H13" s="9"/>
      <c r="I13" s="9"/>
      <c r="J13" s="9"/>
      <c r="K13" s="9"/>
      <c r="L13" s="9"/>
      <c r="M13" s="10" t="s">
        <v>50</v>
      </c>
      <c r="N13" s="9"/>
      <c r="O13" s="1"/>
    </row>
    <row r="14" spans="2:15" x14ac:dyDescent="0.35">
      <c r="B14" s="9"/>
      <c r="C14" s="9"/>
      <c r="D14" s="9"/>
      <c r="E14" s="9"/>
      <c r="F14" s="9"/>
      <c r="G14" s="9"/>
      <c r="H14" s="9"/>
      <c r="I14" s="9"/>
      <c r="J14" s="9"/>
      <c r="K14" s="9"/>
      <c r="L14" s="9"/>
      <c r="M14" s="10" t="s">
        <v>51</v>
      </c>
      <c r="N14" s="9"/>
      <c r="O14" s="1"/>
    </row>
    <row r="15" spans="2:15" x14ac:dyDescent="0.35">
      <c r="B15" s="9"/>
      <c r="C15" s="9"/>
      <c r="D15" s="9"/>
      <c r="E15" s="9"/>
      <c r="F15" s="9"/>
      <c r="G15" s="9"/>
      <c r="H15" s="9"/>
      <c r="I15" s="9"/>
      <c r="J15" s="9"/>
      <c r="K15" s="9"/>
      <c r="L15" s="9"/>
      <c r="M15" s="10" t="s">
        <v>52</v>
      </c>
      <c r="N15" s="9"/>
      <c r="O15" s="1"/>
    </row>
    <row r="16" spans="2:15" x14ac:dyDescent="0.35">
      <c r="B16" s="9"/>
      <c r="C16" s="9"/>
      <c r="D16" s="9"/>
      <c r="E16" s="9"/>
      <c r="F16" s="9"/>
      <c r="G16" s="9"/>
      <c r="H16" s="9"/>
      <c r="I16" s="9"/>
      <c r="J16" s="9"/>
      <c r="K16" s="9"/>
      <c r="L16" s="9"/>
      <c r="M16" s="10" t="s">
        <v>53</v>
      </c>
      <c r="N16" s="9"/>
      <c r="O16" s="1"/>
    </row>
    <row r="17" spans="2:15" x14ac:dyDescent="0.35">
      <c r="B17" s="9"/>
      <c r="C17" s="9"/>
      <c r="D17" s="9"/>
      <c r="E17" s="9"/>
      <c r="F17" s="9"/>
      <c r="G17" s="9"/>
      <c r="H17" s="9"/>
      <c r="I17" s="9"/>
      <c r="J17" s="9"/>
      <c r="K17" s="9"/>
      <c r="L17" s="9"/>
      <c r="M17" s="10" t="s">
        <v>54</v>
      </c>
      <c r="N17" s="9"/>
      <c r="O17" s="1"/>
    </row>
    <row r="18" spans="2:15" x14ac:dyDescent="0.35">
      <c r="B18" s="9"/>
      <c r="C18" s="9"/>
      <c r="D18" s="9"/>
      <c r="E18" s="9"/>
      <c r="F18" s="9"/>
      <c r="G18" s="9"/>
      <c r="H18" s="9"/>
      <c r="I18" s="9"/>
      <c r="J18" s="9"/>
      <c r="K18" s="9"/>
      <c r="L18" s="9"/>
      <c r="M18" s="10" t="s">
        <v>55</v>
      </c>
      <c r="N18" s="9"/>
      <c r="O18" s="1"/>
    </row>
    <row r="19" spans="2:15" x14ac:dyDescent="0.35">
      <c r="B19" s="9"/>
      <c r="C19" s="9"/>
      <c r="D19" s="9"/>
      <c r="E19" s="9"/>
      <c r="F19" s="9"/>
      <c r="G19" s="9"/>
      <c r="H19" s="9"/>
      <c r="I19" s="9"/>
      <c r="J19" s="9"/>
      <c r="K19" s="9"/>
      <c r="L19" s="9"/>
      <c r="M19" s="10" t="s">
        <v>56</v>
      </c>
      <c r="N19" s="9"/>
      <c r="O19" s="1"/>
    </row>
    <row r="20" spans="2:15" x14ac:dyDescent="0.35">
      <c r="B20" s="9"/>
      <c r="C20" s="9"/>
      <c r="D20" s="9"/>
      <c r="E20" s="9"/>
      <c r="F20" s="9"/>
      <c r="G20" s="9"/>
      <c r="H20" s="9"/>
      <c r="I20" s="9"/>
      <c r="J20" s="9"/>
      <c r="K20" s="9"/>
      <c r="L20" s="9"/>
      <c r="M20" s="10" t="s">
        <v>57</v>
      </c>
      <c r="N20" s="9"/>
      <c r="O20" s="1"/>
    </row>
    <row r="21" spans="2:15" x14ac:dyDescent="0.35">
      <c r="B21" s="9"/>
      <c r="C21" s="9"/>
      <c r="D21" s="9"/>
      <c r="E21" s="9"/>
      <c r="F21" s="9"/>
      <c r="G21" s="9"/>
      <c r="H21" s="9"/>
      <c r="I21" s="9"/>
      <c r="J21" s="9"/>
      <c r="K21" s="9"/>
      <c r="L21" s="9"/>
      <c r="M21" s="10" t="s">
        <v>58</v>
      </c>
      <c r="N21" s="9"/>
      <c r="O21" s="1"/>
    </row>
    <row r="22" spans="2:15" x14ac:dyDescent="0.35">
      <c r="B22" s="9"/>
      <c r="C22" s="9"/>
      <c r="D22" s="9"/>
      <c r="E22" s="9"/>
      <c r="F22" s="9"/>
      <c r="G22" s="9"/>
      <c r="H22" s="9"/>
      <c r="I22" s="9"/>
      <c r="J22" s="9"/>
      <c r="K22" s="9"/>
      <c r="L22" s="9"/>
      <c r="M22" s="10" t="s">
        <v>59</v>
      </c>
      <c r="N22" s="9"/>
      <c r="O22" s="1"/>
    </row>
    <row r="23" spans="2:15" x14ac:dyDescent="0.35">
      <c r="B23" s="9"/>
      <c r="C23" s="9"/>
      <c r="D23" s="9"/>
      <c r="E23" s="9"/>
      <c r="F23" s="9"/>
      <c r="G23" s="9"/>
      <c r="H23" s="9"/>
      <c r="I23" s="9"/>
      <c r="J23" s="9"/>
      <c r="K23" s="9"/>
      <c r="L23" s="9"/>
      <c r="M23" s="9"/>
      <c r="N23" s="9"/>
      <c r="O23" s="1"/>
    </row>
    <row r="24" spans="2:15" x14ac:dyDescent="0.35">
      <c r="B24" s="9"/>
      <c r="C24" s="9"/>
      <c r="D24" s="9"/>
      <c r="E24" s="9"/>
      <c r="F24" s="9"/>
      <c r="G24" s="9"/>
      <c r="H24" s="9"/>
      <c r="I24" s="9"/>
      <c r="J24" s="9"/>
      <c r="K24" s="9"/>
      <c r="L24" s="9"/>
      <c r="M24" s="9"/>
      <c r="N24" s="9"/>
      <c r="O24" s="9"/>
    </row>
    <row r="25" spans="2:15" x14ac:dyDescent="0.35">
      <c r="B25" s="9"/>
      <c r="C25" s="9"/>
      <c r="D25" s="9"/>
      <c r="E25" s="9"/>
      <c r="F25" s="9"/>
      <c r="G25" s="9"/>
      <c r="H25" s="9"/>
      <c r="I25" s="9"/>
      <c r="J25" s="9"/>
      <c r="K25" s="9"/>
      <c r="L25" s="9"/>
      <c r="M25" s="9"/>
      <c r="N25" s="9"/>
      <c r="O25" s="9"/>
    </row>
    <row r="26" spans="2:15" x14ac:dyDescent="0.35">
      <c r="B26" s="9"/>
      <c r="C26" s="9"/>
      <c r="D26" s="9"/>
      <c r="E26" s="9"/>
      <c r="F26" s="9"/>
      <c r="G26" s="9"/>
      <c r="H26" s="9"/>
      <c r="I26" s="9"/>
      <c r="J26" s="9"/>
      <c r="K26" s="9"/>
      <c r="L26" s="9"/>
      <c r="M26" s="9"/>
      <c r="N26" s="9"/>
      <c r="O26" s="9"/>
    </row>
    <row r="27" spans="2:15" x14ac:dyDescent="0.35">
      <c r="B27" s="9"/>
      <c r="C27" s="9"/>
      <c r="D27" s="196"/>
      <c r="E27" s="196"/>
      <c r="F27" s="196"/>
      <c r="G27" s="196"/>
      <c r="H27" s="196"/>
      <c r="I27" s="196"/>
      <c r="J27" s="196"/>
      <c r="K27" s="196"/>
      <c r="L27" s="9"/>
      <c r="M27" s="9"/>
      <c r="N27" s="9"/>
      <c r="O27" s="9"/>
    </row>
    <row r="28" spans="2:15" x14ac:dyDescent="0.35">
      <c r="B28" s="9"/>
      <c r="C28" s="9"/>
      <c r="D28" s="9"/>
      <c r="E28" s="9"/>
      <c r="F28" s="9"/>
      <c r="G28" s="9"/>
      <c r="H28" s="9"/>
      <c r="I28" s="9"/>
      <c r="J28" s="9"/>
      <c r="K28" s="9"/>
      <c r="L28" s="9"/>
      <c r="M28" s="9"/>
      <c r="N28" s="9"/>
      <c r="O28" s="9"/>
    </row>
    <row r="29" spans="2:15" x14ac:dyDescent="0.35">
      <c r="B29" s="9"/>
      <c r="C29" s="9"/>
      <c r="D29" s="9"/>
      <c r="E29" s="9"/>
      <c r="F29" s="9"/>
      <c r="G29" s="9"/>
      <c r="H29" s="9"/>
      <c r="I29" s="9"/>
      <c r="J29" s="9"/>
      <c r="K29" s="9"/>
      <c r="L29" s="9"/>
      <c r="M29" s="9"/>
      <c r="N29" s="9"/>
      <c r="O29" s="9"/>
    </row>
    <row r="30" spans="2:15" x14ac:dyDescent="0.35">
      <c r="B30" s="9"/>
      <c r="C30" s="9"/>
      <c r="D30" s="9"/>
      <c r="E30" s="9"/>
      <c r="F30" s="9"/>
      <c r="G30" s="9"/>
      <c r="H30" s="9"/>
      <c r="I30" s="9"/>
      <c r="J30" s="9"/>
      <c r="K30" s="9"/>
      <c r="L30" s="9"/>
      <c r="M30" s="9"/>
      <c r="N30" s="9"/>
      <c r="O30" s="9"/>
    </row>
    <row r="31" spans="2:15" x14ac:dyDescent="0.35">
      <c r="B31" s="9"/>
      <c r="C31" s="9"/>
      <c r="D31" s="196"/>
      <c r="E31" s="196"/>
      <c r="F31" s="196"/>
      <c r="G31" s="196"/>
      <c r="H31" s="196"/>
      <c r="I31" s="196"/>
      <c r="J31" s="196"/>
      <c r="K31" s="196"/>
      <c r="L31" s="9"/>
      <c r="M31" s="9"/>
      <c r="N31" s="9"/>
      <c r="O31" s="9"/>
    </row>
    <row r="32" spans="2:15" x14ac:dyDescent="0.35">
      <c r="B32" s="9"/>
      <c r="C32" s="9"/>
      <c r="D32" s="9"/>
      <c r="E32" s="9"/>
      <c r="F32" s="9"/>
      <c r="G32" s="9"/>
      <c r="H32" s="9"/>
      <c r="I32" s="9"/>
      <c r="J32" s="9"/>
      <c r="K32" s="9"/>
      <c r="L32" s="9"/>
      <c r="M32" s="9"/>
      <c r="N32" s="9"/>
      <c r="O32" s="9"/>
    </row>
    <row r="33" spans="2:16" x14ac:dyDescent="0.35">
      <c r="B33" s="9"/>
      <c r="C33" s="9"/>
      <c r="D33" s="9"/>
      <c r="E33" s="9"/>
      <c r="F33" s="9"/>
      <c r="G33" s="9"/>
      <c r="H33" s="9"/>
      <c r="I33" s="9"/>
      <c r="J33" s="9"/>
      <c r="K33" s="9"/>
      <c r="L33" s="9"/>
      <c r="M33" s="9"/>
      <c r="N33" s="9"/>
      <c r="O33" s="9"/>
    </row>
    <row r="34" spans="2:16" x14ac:dyDescent="0.35">
      <c r="B34" s="9"/>
      <c r="C34" s="9"/>
      <c r="D34" s="9"/>
      <c r="E34" s="9"/>
      <c r="F34" s="9"/>
      <c r="G34" s="9"/>
      <c r="H34" s="9"/>
      <c r="I34" s="9"/>
      <c r="J34" s="9"/>
      <c r="K34" s="9"/>
      <c r="L34" s="9"/>
      <c r="M34" s="9"/>
      <c r="N34" s="9"/>
      <c r="O34" s="9"/>
    </row>
    <row r="35" spans="2:16" x14ac:dyDescent="0.35">
      <c r="B35" s="9"/>
      <c r="C35" s="9"/>
      <c r="D35" s="9"/>
      <c r="E35" s="9"/>
      <c r="F35" s="9"/>
      <c r="G35" s="9"/>
      <c r="H35" s="9"/>
      <c r="I35" s="9"/>
      <c r="J35" s="9"/>
      <c r="K35" s="9"/>
      <c r="L35" s="9"/>
      <c r="M35" s="9"/>
      <c r="N35" s="9"/>
      <c r="O35" s="9"/>
    </row>
    <row r="36" spans="2:16" x14ac:dyDescent="0.35">
      <c r="B36" s="9"/>
      <c r="C36" s="9"/>
      <c r="D36" s="9"/>
      <c r="E36" s="9"/>
      <c r="F36" s="9"/>
      <c r="G36" s="9"/>
      <c r="H36" s="9"/>
      <c r="I36" s="9"/>
      <c r="J36" s="9"/>
      <c r="K36" s="9"/>
      <c r="L36" s="9"/>
      <c r="M36" s="9"/>
      <c r="N36" s="9"/>
      <c r="O36" s="9"/>
    </row>
    <row r="37" spans="2:16" x14ac:dyDescent="0.35">
      <c r="B37" s="9"/>
      <c r="C37" s="9"/>
      <c r="D37" s="9"/>
      <c r="E37" s="9"/>
      <c r="F37" s="9"/>
      <c r="G37" s="9"/>
      <c r="H37" s="9"/>
      <c r="I37" s="9"/>
      <c r="J37" s="9"/>
      <c r="K37" s="9"/>
      <c r="L37" s="9"/>
      <c r="M37" s="9"/>
      <c r="N37" s="9"/>
      <c r="O37" s="9"/>
    </row>
    <row r="38" spans="2:16" x14ac:dyDescent="0.35">
      <c r="B38" s="9"/>
      <c r="C38" s="9"/>
      <c r="D38" s="9"/>
      <c r="E38" s="9"/>
      <c r="F38" s="9"/>
      <c r="G38" s="9"/>
      <c r="H38" s="9"/>
      <c r="I38" s="9"/>
      <c r="J38" s="9"/>
      <c r="K38" s="9"/>
      <c r="L38" s="9"/>
      <c r="M38" s="9"/>
      <c r="N38" s="9"/>
      <c r="O38" s="9"/>
    </row>
    <row r="39" spans="2:16" x14ac:dyDescent="0.35">
      <c r="B39" s="9"/>
      <c r="C39" s="9"/>
      <c r="D39" s="9"/>
      <c r="E39" s="9"/>
      <c r="F39" s="9"/>
      <c r="G39" s="9"/>
      <c r="H39" s="9"/>
      <c r="I39" s="9"/>
      <c r="J39" s="9"/>
      <c r="K39" s="9"/>
      <c r="L39" s="9"/>
      <c r="M39" s="9"/>
      <c r="N39" s="9"/>
      <c r="O39" s="9"/>
    </row>
    <row r="40" spans="2:16" x14ac:dyDescent="0.35">
      <c r="B40" s="9"/>
      <c r="C40" s="9"/>
      <c r="D40" s="9"/>
      <c r="E40" s="9"/>
      <c r="F40" s="9"/>
      <c r="G40" s="9"/>
      <c r="H40" s="9"/>
      <c r="I40" s="9"/>
      <c r="J40" s="9"/>
      <c r="K40" s="9"/>
      <c r="L40" s="9"/>
      <c r="M40" s="9"/>
      <c r="N40" s="9"/>
      <c r="O40" s="9"/>
    </row>
    <row r="41" spans="2:16" x14ac:dyDescent="0.35">
      <c r="B41" s="9"/>
      <c r="C41" s="57" t="s">
        <v>60</v>
      </c>
      <c r="D41" s="9"/>
      <c r="E41" s="11"/>
      <c r="F41" s="11"/>
      <c r="G41" s="11"/>
      <c r="H41" s="11"/>
      <c r="I41" s="11"/>
      <c r="J41" s="11"/>
      <c r="K41" s="11"/>
      <c r="L41" s="9"/>
      <c r="M41" s="9"/>
      <c r="N41" s="9"/>
      <c r="O41" s="9"/>
    </row>
    <row r="42" spans="2:16" x14ac:dyDescent="0.35">
      <c r="B42" s="53"/>
      <c r="C42" s="56"/>
      <c r="D42" s="56"/>
      <c r="E42" s="56"/>
      <c r="F42" s="56"/>
      <c r="G42" s="56"/>
      <c r="H42" s="56"/>
      <c r="I42" s="56"/>
      <c r="J42" s="56"/>
      <c r="K42" s="56"/>
      <c r="L42" s="56"/>
      <c r="M42" s="56"/>
      <c r="N42" s="56"/>
      <c r="O42" s="53"/>
      <c r="P42" s="71"/>
    </row>
    <row r="48" spans="2:16" x14ac:dyDescent="0.35">
      <c r="D48" s="197"/>
      <c r="E48" s="197"/>
      <c r="F48" s="197"/>
      <c r="G48" s="197"/>
      <c r="H48" s="197"/>
      <c r="I48" s="197"/>
      <c r="J48" s="197"/>
      <c r="K48" s="197"/>
    </row>
  </sheetData>
  <sheetProtection algorithmName="SHA-512" hashValue="hrUuS8Bv0w7LyzAEdaANQ/yxq9R+anslqEPtbRbpuodJ3nln2jNlF9nObGkOHVhuKYdW23wafSbLM014EHIjbw==" saltValue="z1EA8y87/LebA/5sis6zbQ==" spinCount="100000" sheet="1"/>
  <mergeCells count="3">
    <mergeCell ref="D27:K27"/>
    <mergeCell ref="D31:K31"/>
    <mergeCell ref="D48:K48"/>
  </mergeCells>
  <pageMargins left="0.70866141732283472" right="0.70866141732283472" top="0.74803149606299213" bottom="0.74803149606299213" header="0.31496062992125984" footer="0.31496062992125984"/>
  <pageSetup scale="73" orientation="portrait" r:id="rId1"/>
  <customProperties>
    <customPr name="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3FFF1"/>
    <pageSetUpPr fitToPage="1"/>
  </sheetPr>
  <dimension ref="B1:V36"/>
  <sheetViews>
    <sheetView showRowColHeaders="0" zoomScale="80" zoomScaleNormal="80" workbookViewId="0"/>
  </sheetViews>
  <sheetFormatPr defaultColWidth="9.140625" defaultRowHeight="17.25" x14ac:dyDescent="0.35"/>
  <cols>
    <col min="1" max="1" width="3.5703125" style="66" customWidth="1"/>
    <col min="2" max="2" width="3.28515625" style="66" customWidth="1"/>
    <col min="3" max="3" width="11.42578125" style="66" customWidth="1"/>
    <col min="4" max="21" width="10.7109375" style="66" customWidth="1"/>
    <col min="22" max="22" width="3.28515625" style="66" customWidth="1"/>
    <col min="23" max="23" width="10.7109375" style="66" customWidth="1"/>
    <col min="24" max="16384" width="9.140625" style="66"/>
  </cols>
  <sheetData>
    <row r="1" spans="2:22" ht="13.5" customHeight="1" x14ac:dyDescent="0.35"/>
    <row r="2" spans="2:22" ht="46.5" customHeight="1" x14ac:dyDescent="0.35">
      <c r="B2" s="63"/>
      <c r="C2" s="132" t="s">
        <v>61</v>
      </c>
      <c r="D2" s="63"/>
      <c r="E2" s="63"/>
      <c r="F2" s="63"/>
      <c r="G2" s="63"/>
      <c r="H2" s="63"/>
      <c r="I2" s="63"/>
      <c r="J2" s="63"/>
      <c r="K2" s="63"/>
      <c r="L2" s="63"/>
      <c r="M2" s="63"/>
      <c r="N2" s="63"/>
      <c r="O2" s="63"/>
      <c r="P2" s="63"/>
      <c r="Q2" s="63"/>
      <c r="R2" s="63"/>
      <c r="S2" s="63"/>
      <c r="T2" s="63"/>
      <c r="U2" s="63"/>
      <c r="V2" s="63"/>
    </row>
    <row r="3" spans="2:22" s="64" customFormat="1" ht="30" customHeight="1" x14ac:dyDescent="0.25">
      <c r="B3" s="61"/>
      <c r="C3" s="198" t="s">
        <v>62</v>
      </c>
      <c r="D3" s="198"/>
      <c r="E3" s="198"/>
      <c r="F3" s="198"/>
      <c r="G3" s="198"/>
      <c r="H3" s="198"/>
      <c r="I3" s="198"/>
      <c r="J3" s="198"/>
      <c r="K3" s="198"/>
      <c r="L3" s="198"/>
      <c r="M3" s="198"/>
      <c r="N3" s="198"/>
      <c r="O3" s="198"/>
      <c r="P3" s="198"/>
      <c r="Q3" s="198"/>
      <c r="R3" s="198"/>
      <c r="S3" s="198"/>
      <c r="T3" s="198"/>
      <c r="U3" s="198"/>
      <c r="V3" s="61"/>
    </row>
    <row r="4" spans="2:22" s="65" customFormat="1" ht="38.25" x14ac:dyDescent="0.25">
      <c r="B4" s="62"/>
      <c r="C4" s="58" t="s">
        <v>63</v>
      </c>
      <c r="D4" s="12" t="s">
        <v>64</v>
      </c>
      <c r="E4" s="12" t="s">
        <v>65</v>
      </c>
      <c r="F4" s="12" t="s">
        <v>66</v>
      </c>
      <c r="G4" s="12" t="s">
        <v>67</v>
      </c>
      <c r="H4" s="12" t="s">
        <v>46</v>
      </c>
      <c r="I4" s="12" t="s">
        <v>47</v>
      </c>
      <c r="J4" s="12" t="s">
        <v>48</v>
      </c>
      <c r="K4" s="12" t="s">
        <v>68</v>
      </c>
      <c r="L4" s="12" t="s">
        <v>50</v>
      </c>
      <c r="M4" s="12" t="s">
        <v>69</v>
      </c>
      <c r="N4" s="12" t="s">
        <v>52</v>
      </c>
      <c r="O4" s="12" t="s">
        <v>53</v>
      </c>
      <c r="P4" s="12" t="s">
        <v>54</v>
      </c>
      <c r="Q4" s="12" t="s">
        <v>55</v>
      </c>
      <c r="R4" s="12" t="s">
        <v>56</v>
      </c>
      <c r="S4" s="12" t="s">
        <v>57</v>
      </c>
      <c r="T4" s="12" t="s">
        <v>58</v>
      </c>
      <c r="U4" s="12" t="s">
        <v>59</v>
      </c>
      <c r="V4" s="62"/>
    </row>
    <row r="5" spans="2:22" s="65" customFormat="1" x14ac:dyDescent="0.25">
      <c r="B5" s="62"/>
      <c r="C5" s="59" t="s">
        <v>70</v>
      </c>
      <c r="D5" s="13">
        <v>303.58499999999992</v>
      </c>
      <c r="E5" s="13">
        <v>331.98500000000001</v>
      </c>
      <c r="F5" s="13">
        <v>307.98500000000001</v>
      </c>
      <c r="G5" s="13">
        <v>263.745</v>
      </c>
      <c r="H5" s="13">
        <v>303.63</v>
      </c>
      <c r="I5" s="13">
        <v>333.54</v>
      </c>
      <c r="J5" s="13">
        <v>337.22</v>
      </c>
      <c r="K5" s="13">
        <v>347.18</v>
      </c>
      <c r="L5" s="13">
        <v>326.5</v>
      </c>
      <c r="M5" s="13">
        <v>341.98500000000001</v>
      </c>
      <c r="N5" s="13">
        <v>334.66999999999996</v>
      </c>
      <c r="O5" s="13">
        <v>343.85</v>
      </c>
      <c r="P5" s="13">
        <v>344.05</v>
      </c>
      <c r="Q5" s="13">
        <v>352.54499999999996</v>
      </c>
      <c r="R5" s="13">
        <v>350.11</v>
      </c>
      <c r="S5" s="13">
        <v>297.5</v>
      </c>
      <c r="T5" s="13">
        <v>328.495</v>
      </c>
      <c r="U5" s="13">
        <v>320.53499999999997</v>
      </c>
      <c r="V5" s="62"/>
    </row>
    <row r="6" spans="2:22" s="65" customFormat="1" x14ac:dyDescent="0.25">
      <c r="B6" s="62"/>
      <c r="C6" s="59" t="s">
        <v>71</v>
      </c>
      <c r="D6" s="13">
        <v>272.41750000000002</v>
      </c>
      <c r="E6" s="13">
        <v>300.07</v>
      </c>
      <c r="F6" s="13">
        <v>281.04000000000002</v>
      </c>
      <c r="G6" s="13">
        <v>249.59499999999997</v>
      </c>
      <c r="H6" s="13">
        <v>278.57</v>
      </c>
      <c r="I6" s="13">
        <v>302.34000000000003</v>
      </c>
      <c r="J6" s="13">
        <v>302.625</v>
      </c>
      <c r="K6" s="13">
        <v>315.35000000000002</v>
      </c>
      <c r="L6" s="13">
        <v>297.05</v>
      </c>
      <c r="M6" s="13">
        <v>309.91999999999996</v>
      </c>
      <c r="N6" s="13">
        <v>302.66500000000002</v>
      </c>
      <c r="O6" s="13">
        <v>308.81</v>
      </c>
      <c r="P6" s="13">
        <v>307.08500000000004</v>
      </c>
      <c r="Q6" s="13">
        <v>314.73500000000001</v>
      </c>
      <c r="R6" s="13">
        <v>320.07499999999999</v>
      </c>
      <c r="S6" s="13">
        <v>277.73500000000001</v>
      </c>
      <c r="T6" s="13">
        <v>293.75</v>
      </c>
      <c r="U6" s="13">
        <v>295.95</v>
      </c>
      <c r="V6" s="62"/>
    </row>
    <row r="7" spans="2:22" s="65" customFormat="1" x14ac:dyDescent="0.25">
      <c r="B7" s="62"/>
      <c r="C7" s="59" t="s">
        <v>72</v>
      </c>
      <c r="D7" s="13">
        <v>238.60125000000002</v>
      </c>
      <c r="E7" s="13">
        <v>266.93</v>
      </c>
      <c r="F7" s="13">
        <v>265.505</v>
      </c>
      <c r="G7" s="13">
        <v>238.88499999999999</v>
      </c>
      <c r="H7" s="13">
        <v>254.56</v>
      </c>
      <c r="I7" s="13">
        <v>276.01</v>
      </c>
      <c r="J7" s="13">
        <v>284.245</v>
      </c>
      <c r="K7" s="13">
        <v>298.78499999999997</v>
      </c>
      <c r="L7" s="13">
        <v>291.43</v>
      </c>
      <c r="M7" s="13">
        <v>289.03499999999997</v>
      </c>
      <c r="N7" s="13">
        <v>275.23500000000001</v>
      </c>
      <c r="O7" s="13">
        <v>278.26499999999999</v>
      </c>
      <c r="P7" s="13">
        <v>296.77499999999998</v>
      </c>
      <c r="Q7" s="13">
        <v>299.34499999999997</v>
      </c>
      <c r="R7" s="13">
        <v>304.94</v>
      </c>
      <c r="S7" s="13">
        <v>272.08000000000004</v>
      </c>
      <c r="T7" s="13">
        <v>282.38500000000005</v>
      </c>
      <c r="U7" s="13">
        <v>293.53499999999997</v>
      </c>
      <c r="V7" s="62"/>
    </row>
    <row r="8" spans="2:22" s="65" customFormat="1" x14ac:dyDescent="0.25">
      <c r="B8" s="62"/>
      <c r="C8" s="59" t="s">
        <v>73</v>
      </c>
      <c r="D8" s="13">
        <v>159.12</v>
      </c>
      <c r="E8" s="13">
        <v>186.09</v>
      </c>
      <c r="F8" s="13">
        <v>188.905</v>
      </c>
      <c r="G8" s="13">
        <v>177.23499999999999</v>
      </c>
      <c r="H8" s="13">
        <v>180.79500000000002</v>
      </c>
      <c r="I8" s="13">
        <v>200.51</v>
      </c>
      <c r="J8" s="13">
        <v>207.16500000000002</v>
      </c>
      <c r="K8" s="13">
        <v>225.02500000000001</v>
      </c>
      <c r="L8" s="13">
        <v>231.07499999999999</v>
      </c>
      <c r="M8" s="13">
        <v>216.6</v>
      </c>
      <c r="N8" s="13">
        <v>198.63</v>
      </c>
      <c r="O8" s="13">
        <v>198.38499999999999</v>
      </c>
      <c r="P8" s="13">
        <v>221.13499999999999</v>
      </c>
      <c r="Q8" s="13">
        <v>232.01500000000001</v>
      </c>
      <c r="R8" s="13">
        <v>241.45</v>
      </c>
      <c r="S8" s="13">
        <v>209.15500000000003</v>
      </c>
      <c r="T8" s="13">
        <v>210.45499999999998</v>
      </c>
      <c r="U8" s="13">
        <v>232.52500000000001</v>
      </c>
      <c r="V8" s="62"/>
    </row>
    <row r="9" spans="2:22" s="65" customFormat="1" x14ac:dyDescent="0.25">
      <c r="B9" s="62"/>
      <c r="C9" s="59" t="s">
        <v>74</v>
      </c>
      <c r="D9" s="13">
        <v>88.728749999999991</v>
      </c>
      <c r="E9" s="13">
        <v>111.455</v>
      </c>
      <c r="F9" s="13">
        <v>112.65</v>
      </c>
      <c r="G9" s="13">
        <v>108.2</v>
      </c>
      <c r="H9" s="13">
        <v>105.675</v>
      </c>
      <c r="I9" s="13">
        <v>122.125</v>
      </c>
      <c r="J9" s="13">
        <v>128.95499999999998</v>
      </c>
      <c r="K9" s="13">
        <v>148.625</v>
      </c>
      <c r="L9" s="13">
        <v>164.04000000000002</v>
      </c>
      <c r="M9" s="13">
        <v>142.625</v>
      </c>
      <c r="N9" s="13">
        <v>122.86500000000001</v>
      </c>
      <c r="O9" s="13">
        <v>121.175</v>
      </c>
      <c r="P9" s="13">
        <v>150.03</v>
      </c>
      <c r="Q9" s="13">
        <v>167.99</v>
      </c>
      <c r="R9" s="13">
        <v>175.88499999999999</v>
      </c>
      <c r="S9" s="13">
        <v>137.13</v>
      </c>
      <c r="T9" s="13">
        <v>140.18</v>
      </c>
      <c r="U9" s="13">
        <v>181.89499999999998</v>
      </c>
      <c r="V9" s="62"/>
    </row>
    <row r="10" spans="2:22" s="65" customFormat="1" x14ac:dyDescent="0.25">
      <c r="B10" s="62"/>
      <c r="C10" s="59" t="s">
        <v>75</v>
      </c>
      <c r="D10" s="13">
        <v>35.984999999999999</v>
      </c>
      <c r="E10" s="13">
        <v>49.21</v>
      </c>
      <c r="F10" s="13">
        <v>51.335000000000001</v>
      </c>
      <c r="G10" s="13">
        <v>48.894999999999996</v>
      </c>
      <c r="H10" s="13">
        <v>44.2</v>
      </c>
      <c r="I10" s="13">
        <v>56.77</v>
      </c>
      <c r="J10" s="13">
        <v>67.070000000000007</v>
      </c>
      <c r="K10" s="13">
        <v>81.239999999999995</v>
      </c>
      <c r="L10" s="13">
        <v>91.19</v>
      </c>
      <c r="M10" s="13">
        <v>76.209999999999994</v>
      </c>
      <c r="N10" s="13">
        <v>58.879999999999995</v>
      </c>
      <c r="O10" s="13">
        <v>62.045000000000002</v>
      </c>
      <c r="P10" s="13">
        <v>82.495000000000005</v>
      </c>
      <c r="Q10" s="13">
        <v>91.4</v>
      </c>
      <c r="R10" s="13">
        <v>102.255</v>
      </c>
      <c r="S10" s="13">
        <v>70.575000000000003</v>
      </c>
      <c r="T10" s="13">
        <v>71.78</v>
      </c>
      <c r="U10" s="13">
        <v>109.92999999999999</v>
      </c>
      <c r="V10" s="62"/>
    </row>
    <row r="11" spans="2:22" s="65" customFormat="1" x14ac:dyDescent="0.25">
      <c r="B11" s="62"/>
      <c r="C11" s="59" t="s">
        <v>76</v>
      </c>
      <c r="D11" s="13">
        <v>15.607500000000002</v>
      </c>
      <c r="E11" s="13">
        <v>25.11</v>
      </c>
      <c r="F11" s="13">
        <v>27.774999999999999</v>
      </c>
      <c r="G11" s="13">
        <v>22.634999999999998</v>
      </c>
      <c r="H11" s="13">
        <v>21.895</v>
      </c>
      <c r="I11" s="13">
        <v>29.2</v>
      </c>
      <c r="J11" s="13">
        <v>37.825000000000003</v>
      </c>
      <c r="K11" s="13">
        <v>46.594999999999999</v>
      </c>
      <c r="L11" s="13">
        <v>49.15</v>
      </c>
      <c r="M11" s="13">
        <v>42.33</v>
      </c>
      <c r="N11" s="13">
        <v>28.830000000000002</v>
      </c>
      <c r="O11" s="13">
        <v>29.119999999999997</v>
      </c>
      <c r="P11" s="13">
        <v>48.924999999999997</v>
      </c>
      <c r="Q11" s="13">
        <v>53.484999999999999</v>
      </c>
      <c r="R11" s="13">
        <v>58.3</v>
      </c>
      <c r="S11" s="13">
        <v>38.799999999999997</v>
      </c>
      <c r="T11" s="13">
        <v>43.86</v>
      </c>
      <c r="U11" s="13">
        <v>71.08</v>
      </c>
      <c r="V11" s="62"/>
    </row>
    <row r="12" spans="2:22" s="65" customFormat="1" x14ac:dyDescent="0.25">
      <c r="B12" s="62"/>
      <c r="C12" s="59" t="s">
        <v>77</v>
      </c>
      <c r="D12" s="13">
        <v>16.952500000000001</v>
      </c>
      <c r="E12" s="13">
        <v>26.255000000000003</v>
      </c>
      <c r="F12" s="13">
        <v>28.01</v>
      </c>
      <c r="G12" s="13">
        <v>21.79</v>
      </c>
      <c r="H12" s="13">
        <v>22.330000000000002</v>
      </c>
      <c r="I12" s="13">
        <v>29.235000000000003</v>
      </c>
      <c r="J12" s="13">
        <v>38.975000000000001</v>
      </c>
      <c r="K12" s="13">
        <v>49.28</v>
      </c>
      <c r="L12" s="13">
        <v>47.245000000000005</v>
      </c>
      <c r="M12" s="13">
        <v>44.075000000000003</v>
      </c>
      <c r="N12" s="13">
        <v>28.044999999999998</v>
      </c>
      <c r="O12" s="13">
        <v>29.475000000000001</v>
      </c>
      <c r="P12" s="13">
        <v>55.585000000000001</v>
      </c>
      <c r="Q12" s="13">
        <v>56.814999999999998</v>
      </c>
      <c r="R12" s="13">
        <v>61.495000000000005</v>
      </c>
      <c r="S12" s="13">
        <v>33.28</v>
      </c>
      <c r="T12" s="13">
        <v>44.48</v>
      </c>
      <c r="U12" s="13">
        <v>66.820000000000007</v>
      </c>
      <c r="V12" s="62"/>
    </row>
    <row r="13" spans="2:22" s="65" customFormat="1" x14ac:dyDescent="0.25">
      <c r="B13" s="62"/>
      <c r="C13" s="59" t="s">
        <v>78</v>
      </c>
      <c r="D13" s="13">
        <v>41.255000000000003</v>
      </c>
      <c r="E13" s="13">
        <v>59.81</v>
      </c>
      <c r="F13" s="13">
        <v>55.25</v>
      </c>
      <c r="G13" s="13">
        <v>43.414999999999999</v>
      </c>
      <c r="H13" s="13">
        <v>51.559999999999988</v>
      </c>
      <c r="I13" s="13">
        <v>62.365000000000009</v>
      </c>
      <c r="J13" s="13">
        <v>74.004999999999995</v>
      </c>
      <c r="K13" s="13">
        <v>82.295000000000002</v>
      </c>
      <c r="L13" s="13">
        <v>78.655000000000001</v>
      </c>
      <c r="M13" s="13">
        <v>78.33</v>
      </c>
      <c r="N13" s="13">
        <v>58.05</v>
      </c>
      <c r="O13" s="13">
        <v>58.725000000000001</v>
      </c>
      <c r="P13" s="13">
        <v>87.875</v>
      </c>
      <c r="Q13" s="13">
        <v>88.265000000000001</v>
      </c>
      <c r="R13" s="13">
        <v>96.99</v>
      </c>
      <c r="S13" s="13">
        <v>60.070000000000007</v>
      </c>
      <c r="T13" s="13">
        <v>75.429999999999993</v>
      </c>
      <c r="U13" s="13">
        <v>98.539999999999992</v>
      </c>
      <c r="V13" s="62"/>
    </row>
    <row r="14" spans="2:22" s="65" customFormat="1" x14ac:dyDescent="0.25">
      <c r="B14" s="62"/>
      <c r="C14" s="59" t="s">
        <v>79</v>
      </c>
      <c r="D14" s="13">
        <v>102.47499999999999</v>
      </c>
      <c r="E14" s="13">
        <v>128.82</v>
      </c>
      <c r="F14" s="13">
        <v>118.61500000000001</v>
      </c>
      <c r="G14" s="13">
        <v>94.215000000000003</v>
      </c>
      <c r="H14" s="13">
        <v>119.12</v>
      </c>
      <c r="I14" s="13">
        <v>140.72999999999999</v>
      </c>
      <c r="J14" s="13">
        <v>149.815</v>
      </c>
      <c r="K14" s="13">
        <v>165.43</v>
      </c>
      <c r="L14" s="13">
        <v>150.845</v>
      </c>
      <c r="M14" s="13">
        <v>158.25</v>
      </c>
      <c r="N14" s="13">
        <v>134.535</v>
      </c>
      <c r="O14" s="13">
        <v>132.92500000000001</v>
      </c>
      <c r="P14" s="13">
        <v>170.10999999999999</v>
      </c>
      <c r="Q14" s="13">
        <v>171.48</v>
      </c>
      <c r="R14" s="13">
        <v>182.7</v>
      </c>
      <c r="S14" s="13">
        <v>124.545</v>
      </c>
      <c r="T14" s="13">
        <v>152.81</v>
      </c>
      <c r="U14" s="13">
        <v>171.4</v>
      </c>
      <c r="V14" s="62"/>
    </row>
    <row r="15" spans="2:22" s="65" customFormat="1" x14ac:dyDescent="0.25">
      <c r="B15" s="62"/>
      <c r="C15" s="59" t="s">
        <v>80</v>
      </c>
      <c r="D15" s="13">
        <v>207.02500000000001</v>
      </c>
      <c r="E15" s="13">
        <v>231.85500000000002</v>
      </c>
      <c r="F15" s="13">
        <v>214.71000000000004</v>
      </c>
      <c r="G15" s="13">
        <v>180.10999999999999</v>
      </c>
      <c r="H15" s="13">
        <v>215.435</v>
      </c>
      <c r="I15" s="13">
        <v>241.6</v>
      </c>
      <c r="J15" s="13">
        <v>249.76</v>
      </c>
      <c r="K15" s="13">
        <v>255.07</v>
      </c>
      <c r="L15" s="13">
        <v>241.02500000000001</v>
      </c>
      <c r="M15" s="13">
        <v>256.89499999999998</v>
      </c>
      <c r="N15" s="13">
        <v>242.2</v>
      </c>
      <c r="O15" s="13">
        <v>241.01999999999998</v>
      </c>
      <c r="P15" s="13">
        <v>263.84000000000003</v>
      </c>
      <c r="Q15" s="13">
        <v>268.09000000000003</v>
      </c>
      <c r="R15" s="13">
        <v>266.35500000000002</v>
      </c>
      <c r="S15" s="13">
        <v>208.04499999999999</v>
      </c>
      <c r="T15" s="13">
        <v>246.76999999999998</v>
      </c>
      <c r="U15" s="13">
        <v>247.70500000000001</v>
      </c>
      <c r="V15" s="62"/>
    </row>
    <row r="16" spans="2:22" x14ac:dyDescent="0.35">
      <c r="B16" s="63"/>
      <c r="C16" s="59" t="s">
        <v>81</v>
      </c>
      <c r="D16" s="13">
        <v>289.86</v>
      </c>
      <c r="E16" s="13">
        <v>318.13</v>
      </c>
      <c r="F16" s="13">
        <v>291.04000000000002</v>
      </c>
      <c r="G16" s="13">
        <v>245.38499999999999</v>
      </c>
      <c r="H16" s="13">
        <v>293.11500000000001</v>
      </c>
      <c r="I16" s="13">
        <v>323.08000000000004</v>
      </c>
      <c r="J16" s="13">
        <v>334.01499999999999</v>
      </c>
      <c r="K16" s="13">
        <v>343.22500000000002</v>
      </c>
      <c r="L16" s="13">
        <v>318.38</v>
      </c>
      <c r="M16" s="13">
        <v>341.28499999999997</v>
      </c>
      <c r="N16" s="13">
        <v>328.12</v>
      </c>
      <c r="O16" s="13">
        <v>327.85500000000002</v>
      </c>
      <c r="P16" s="13">
        <v>342.44499999999999</v>
      </c>
      <c r="Q16" s="13">
        <v>352.64</v>
      </c>
      <c r="R16" s="13">
        <v>352.71499999999997</v>
      </c>
      <c r="S16" s="13">
        <v>276.005</v>
      </c>
      <c r="T16" s="13">
        <v>314.39</v>
      </c>
      <c r="U16" s="13">
        <v>314.14</v>
      </c>
      <c r="V16" s="63"/>
    </row>
    <row r="17" spans="2:22" ht="15" customHeight="1" x14ac:dyDescent="0.35">
      <c r="B17" s="63"/>
      <c r="C17" s="60" t="s">
        <v>82</v>
      </c>
      <c r="D17" s="13">
        <f>SUM(Degree_Days_Table[1. London (Thames Valley)])</f>
        <v>1771.6125000000002</v>
      </c>
      <c r="E17" s="13">
        <f>SUM(Degree_Days_Table[2. South Eastern])</f>
        <v>2035.7199999999998</v>
      </c>
      <c r="F17" s="13">
        <f>SUM(Degree_Days_Table[3. Southern])</f>
        <v>1942.8200000000004</v>
      </c>
      <c r="G17" s="13">
        <f>SUM(Degree_Days_Table[4. South Western])</f>
        <v>1694.1049999999996</v>
      </c>
      <c r="H17" s="13">
        <f>SUM(Degree_Days_Table[5. Severn Valley])</f>
        <v>1890.885</v>
      </c>
      <c r="I17" s="13">
        <f>SUM(Degree_Days_Table[6. Midlands])</f>
        <v>2117.5050000000001</v>
      </c>
      <c r="J17" s="13">
        <f>SUM(Degree_Days_Table[7. West Pennines])</f>
        <v>2211.6750000000002</v>
      </c>
      <c r="K17" s="13">
        <f>SUM(Degree_Days_Table[8. North Western])</f>
        <v>2358.1</v>
      </c>
      <c r="L17" s="13">
        <f>SUM(Degree_Days_Table[9. Borders])</f>
        <v>2286.5850000000005</v>
      </c>
      <c r="M17" s="13">
        <f>SUM(Degree_Days_Table[10. North Eastern])</f>
        <v>2297.54</v>
      </c>
      <c r="N17" s="13">
        <f>SUM(Degree_Days_Table[11. East Pennines])</f>
        <v>2112.7250000000004</v>
      </c>
      <c r="O17" s="13">
        <f>SUM(Degree_Days_Table[12. East Anglia])</f>
        <v>2131.6499999999996</v>
      </c>
      <c r="P17" s="13">
        <f>SUM(Degree_Days_Table[13. West Scotland])</f>
        <v>2370.3500000000004</v>
      </c>
      <c r="Q17" s="13">
        <f>SUM(Degree_Days_Table[14. East Scotland])</f>
        <v>2448.8050000000003</v>
      </c>
      <c r="R17" s="13">
        <f>SUM(Degree_Days_Table[15. North East Scotland])</f>
        <v>2513.2700000000004</v>
      </c>
      <c r="S17" s="13">
        <f>SUM(Degree_Days_Table[16. Wales])</f>
        <v>2004.92</v>
      </c>
      <c r="T17" s="13">
        <f>SUM(Degree_Days_Table[17. Northern Ireland])</f>
        <v>2204.7849999999999</v>
      </c>
      <c r="U17" s="13">
        <f>SUM(Degree_Days_Table[18. North West Scotland])</f>
        <v>2404.0549999999998</v>
      </c>
      <c r="V17" s="63"/>
    </row>
    <row r="18" spans="2:22" x14ac:dyDescent="0.35">
      <c r="B18" s="63"/>
      <c r="C18" s="14"/>
      <c r="D18" s="14"/>
      <c r="E18" s="14"/>
      <c r="F18" s="14"/>
      <c r="G18" s="14"/>
      <c r="H18" s="14"/>
      <c r="I18" s="14"/>
      <c r="J18" s="14"/>
      <c r="K18" s="14"/>
      <c r="L18" s="14"/>
      <c r="M18" s="14"/>
      <c r="N18" s="14"/>
      <c r="O18" s="14"/>
      <c r="P18" s="14"/>
      <c r="Q18" s="14"/>
      <c r="R18" s="14"/>
      <c r="S18" s="14"/>
      <c r="T18" s="14"/>
      <c r="U18" s="14"/>
      <c r="V18" s="63"/>
    </row>
    <row r="19" spans="2:22" ht="30" customHeight="1" x14ac:dyDescent="0.35">
      <c r="B19" s="63"/>
      <c r="C19" s="198" t="s">
        <v>83</v>
      </c>
      <c r="D19" s="198"/>
      <c r="E19" s="198"/>
      <c r="F19" s="198"/>
      <c r="G19" s="198"/>
      <c r="H19" s="198"/>
      <c r="I19" s="198"/>
      <c r="J19" s="198"/>
      <c r="K19" s="198"/>
      <c r="L19" s="198"/>
      <c r="M19" s="198"/>
      <c r="N19" s="198"/>
      <c r="O19" s="198"/>
      <c r="P19" s="198"/>
      <c r="Q19" s="198"/>
      <c r="R19" s="198"/>
      <c r="S19" s="198"/>
      <c r="T19" s="198"/>
      <c r="U19" s="198"/>
      <c r="V19" s="63"/>
    </row>
    <row r="20" spans="2:22" ht="38.25" x14ac:dyDescent="0.35">
      <c r="B20" s="63"/>
      <c r="C20" s="68" t="s">
        <v>63</v>
      </c>
      <c r="D20" s="12" t="s">
        <v>64</v>
      </c>
      <c r="E20" s="12" t="s">
        <v>65</v>
      </c>
      <c r="F20" s="12" t="s">
        <v>66</v>
      </c>
      <c r="G20" s="12" t="s">
        <v>67</v>
      </c>
      <c r="H20" s="12" t="s">
        <v>46</v>
      </c>
      <c r="I20" s="12" t="s">
        <v>47</v>
      </c>
      <c r="J20" s="12" t="s">
        <v>48</v>
      </c>
      <c r="K20" s="12" t="s">
        <v>68</v>
      </c>
      <c r="L20" s="12" t="s">
        <v>50</v>
      </c>
      <c r="M20" s="12" t="s">
        <v>69</v>
      </c>
      <c r="N20" s="12" t="s">
        <v>52</v>
      </c>
      <c r="O20" s="12" t="s">
        <v>53</v>
      </c>
      <c r="P20" s="12" t="s">
        <v>54</v>
      </c>
      <c r="Q20" s="12" t="s">
        <v>55</v>
      </c>
      <c r="R20" s="12" t="s">
        <v>56</v>
      </c>
      <c r="S20" s="12" t="s">
        <v>57</v>
      </c>
      <c r="T20" s="12" t="s">
        <v>58</v>
      </c>
      <c r="U20" s="12" t="s">
        <v>59</v>
      </c>
      <c r="V20" s="63"/>
    </row>
    <row r="21" spans="2:22" x14ac:dyDescent="0.35">
      <c r="B21" s="63"/>
      <c r="C21" s="60" t="s">
        <v>70</v>
      </c>
      <c r="D21" s="13">
        <v>396.66999999999996</v>
      </c>
      <c r="E21" s="13">
        <v>424.93500000000006</v>
      </c>
      <c r="F21" s="13">
        <v>400.97500000000002</v>
      </c>
      <c r="G21" s="13">
        <v>356.76499999999999</v>
      </c>
      <c r="H21" s="13">
        <v>396.68</v>
      </c>
      <c r="I21" s="13">
        <v>426.39</v>
      </c>
      <c r="J21" s="13">
        <v>430.21999999999997</v>
      </c>
      <c r="K21" s="13">
        <v>440.17500000000001</v>
      </c>
      <c r="L21" s="13">
        <v>419.44499999999999</v>
      </c>
      <c r="M21" s="13">
        <v>435.03500000000003</v>
      </c>
      <c r="N21" s="13">
        <v>427.77</v>
      </c>
      <c r="O21" s="13">
        <v>436.755</v>
      </c>
      <c r="P21" s="13">
        <v>436.95</v>
      </c>
      <c r="Q21" s="13">
        <v>445.43500000000006</v>
      </c>
      <c r="R21" s="13">
        <v>443.06000000000006</v>
      </c>
      <c r="S21" s="13">
        <v>390.46</v>
      </c>
      <c r="T21" s="13">
        <v>421.6</v>
      </c>
      <c r="U21" s="13">
        <v>413.48</v>
      </c>
      <c r="V21" s="63"/>
    </row>
    <row r="22" spans="2:22" x14ac:dyDescent="0.35">
      <c r="B22" s="63"/>
      <c r="C22" s="60" t="s">
        <v>71</v>
      </c>
      <c r="D22" s="13">
        <v>357.15250000000003</v>
      </c>
      <c r="E22" s="13">
        <v>384.78499999999997</v>
      </c>
      <c r="F22" s="13">
        <v>365.72500000000002</v>
      </c>
      <c r="G22" s="13">
        <v>334.35</v>
      </c>
      <c r="H22" s="13">
        <v>363.32</v>
      </c>
      <c r="I22" s="13">
        <v>387.09</v>
      </c>
      <c r="J22" s="13">
        <v>387.42500000000001</v>
      </c>
      <c r="K22" s="13">
        <v>400.1</v>
      </c>
      <c r="L22" s="13">
        <v>381.80500000000001</v>
      </c>
      <c r="M22" s="13">
        <v>394.73</v>
      </c>
      <c r="N22" s="13">
        <v>387.41500000000002</v>
      </c>
      <c r="O22" s="13">
        <v>393.54499999999996</v>
      </c>
      <c r="P22" s="13">
        <v>391.83499999999998</v>
      </c>
      <c r="Q22" s="13">
        <v>399.47500000000002</v>
      </c>
      <c r="R22" s="13">
        <v>404.78000000000003</v>
      </c>
      <c r="S22" s="13">
        <v>362.44499999999999</v>
      </c>
      <c r="T22" s="13">
        <v>378.4</v>
      </c>
      <c r="U22" s="13">
        <v>380.7</v>
      </c>
      <c r="V22" s="63"/>
    </row>
    <row r="23" spans="2:22" x14ac:dyDescent="0.35">
      <c r="B23" s="63"/>
      <c r="C23" s="60" t="s">
        <v>72</v>
      </c>
      <c r="D23" s="13">
        <v>329.77625</v>
      </c>
      <c r="E23" s="13">
        <v>358.745</v>
      </c>
      <c r="F23" s="13">
        <v>358.01499999999999</v>
      </c>
      <c r="G23" s="13">
        <v>331.71999999999997</v>
      </c>
      <c r="H23" s="13">
        <v>346.90500000000003</v>
      </c>
      <c r="I23" s="13">
        <v>368.13499999999999</v>
      </c>
      <c r="J23" s="13">
        <v>376.81499999999994</v>
      </c>
      <c r="K23" s="13">
        <v>391.68500000000006</v>
      </c>
      <c r="L23" s="13">
        <v>384.315</v>
      </c>
      <c r="M23" s="13">
        <v>381.745</v>
      </c>
      <c r="N23" s="13">
        <v>367.66</v>
      </c>
      <c r="O23" s="13">
        <v>370.61</v>
      </c>
      <c r="P23" s="13">
        <v>389.38</v>
      </c>
      <c r="Q23" s="13">
        <v>392.245</v>
      </c>
      <c r="R23" s="13">
        <v>397.745</v>
      </c>
      <c r="S23" s="13">
        <v>364.80500000000001</v>
      </c>
      <c r="T23" s="13">
        <v>375.32</v>
      </c>
      <c r="U23" s="13">
        <v>386.59</v>
      </c>
      <c r="V23" s="63"/>
    </row>
    <row r="24" spans="2:22" x14ac:dyDescent="0.35">
      <c r="B24" s="63"/>
      <c r="C24" s="60" t="s">
        <v>73</v>
      </c>
      <c r="D24" s="13">
        <v>241.74</v>
      </c>
      <c r="E24" s="13">
        <v>270.625</v>
      </c>
      <c r="F24" s="13">
        <v>275.935</v>
      </c>
      <c r="G24" s="13">
        <v>265.21999999999997</v>
      </c>
      <c r="H24" s="13">
        <v>267.255</v>
      </c>
      <c r="I24" s="13">
        <v>287.08999999999997</v>
      </c>
      <c r="J24" s="13">
        <v>294.08000000000004</v>
      </c>
      <c r="K24" s="13">
        <v>313.05</v>
      </c>
      <c r="L24" s="13">
        <v>320.05</v>
      </c>
      <c r="M24" s="13">
        <v>303.76499999999999</v>
      </c>
      <c r="N24" s="13">
        <v>285.56</v>
      </c>
      <c r="O24" s="13">
        <v>284.60499999999996</v>
      </c>
      <c r="P24" s="13">
        <v>309.61</v>
      </c>
      <c r="Q24" s="13">
        <v>320.505</v>
      </c>
      <c r="R24" s="13">
        <v>330.26499999999999</v>
      </c>
      <c r="S24" s="13">
        <v>298.005</v>
      </c>
      <c r="T24" s="13">
        <v>298.88</v>
      </c>
      <c r="U24" s="13">
        <v>321.83499999999998</v>
      </c>
      <c r="V24" s="63"/>
    </row>
    <row r="25" spans="2:22" x14ac:dyDescent="0.35">
      <c r="B25" s="63"/>
      <c r="C25" s="60" t="s">
        <v>74</v>
      </c>
      <c r="D25" s="13">
        <v>161.48875000000001</v>
      </c>
      <c r="E25" s="13">
        <v>188.20500000000001</v>
      </c>
      <c r="F25" s="13">
        <v>194.935</v>
      </c>
      <c r="G25" s="13">
        <v>192.64000000000001</v>
      </c>
      <c r="H25" s="13">
        <v>186.345</v>
      </c>
      <c r="I25" s="13">
        <v>203.625</v>
      </c>
      <c r="J25" s="13">
        <v>210.875</v>
      </c>
      <c r="K25" s="13">
        <v>234.21999999999997</v>
      </c>
      <c r="L25" s="13">
        <v>253.54499999999999</v>
      </c>
      <c r="M25" s="13">
        <v>226.19499999999999</v>
      </c>
      <c r="N25" s="13">
        <v>204.53</v>
      </c>
      <c r="O25" s="13">
        <v>201.08499999999998</v>
      </c>
      <c r="P25" s="13">
        <v>236.54499999999999</v>
      </c>
      <c r="Q25" s="13">
        <v>256.09499999999997</v>
      </c>
      <c r="R25" s="13">
        <v>264.90999999999997</v>
      </c>
      <c r="S25" s="13">
        <v>225</v>
      </c>
      <c r="T25" s="13">
        <v>226.05500000000001</v>
      </c>
      <c r="U25" s="13">
        <v>272.82</v>
      </c>
      <c r="V25" s="63"/>
    </row>
    <row r="26" spans="2:22" x14ac:dyDescent="0.35">
      <c r="B26" s="63"/>
      <c r="C26" s="60" t="s">
        <v>75</v>
      </c>
      <c r="D26" s="13">
        <v>85.47</v>
      </c>
      <c r="E26" s="13">
        <v>106.33499999999999</v>
      </c>
      <c r="F26" s="13">
        <v>114.98499999999999</v>
      </c>
      <c r="G26" s="13">
        <v>115.66500000000001</v>
      </c>
      <c r="H26" s="13">
        <v>104.66500000000001</v>
      </c>
      <c r="I26" s="13">
        <v>120.79</v>
      </c>
      <c r="J26" s="13">
        <v>134.69499999999999</v>
      </c>
      <c r="K26" s="13">
        <v>154.73499999999999</v>
      </c>
      <c r="L26" s="13">
        <v>170.74</v>
      </c>
      <c r="M26" s="13">
        <v>145.07499999999999</v>
      </c>
      <c r="N26" s="13">
        <v>123.17</v>
      </c>
      <c r="O26" s="13">
        <v>124.545</v>
      </c>
      <c r="P26" s="13">
        <v>157.94999999999999</v>
      </c>
      <c r="Q26" s="13">
        <v>168.52</v>
      </c>
      <c r="R26" s="13">
        <v>182.60999999999999</v>
      </c>
      <c r="S26" s="13">
        <v>148.53000000000003</v>
      </c>
      <c r="T26" s="13">
        <v>144.56</v>
      </c>
      <c r="U26" s="13">
        <v>196.13000000000002</v>
      </c>
      <c r="V26" s="63"/>
    </row>
    <row r="27" spans="2:22" x14ac:dyDescent="0.35">
      <c r="B27" s="63"/>
      <c r="C27" s="60" t="s">
        <v>76</v>
      </c>
      <c r="D27" s="13">
        <v>49.587499999999999</v>
      </c>
      <c r="E27" s="13">
        <v>68.75</v>
      </c>
      <c r="F27" s="13">
        <v>76.87</v>
      </c>
      <c r="G27" s="13">
        <v>74.820000000000007</v>
      </c>
      <c r="H27" s="13">
        <v>69.515000000000001</v>
      </c>
      <c r="I27" s="13">
        <v>78.254999999999995</v>
      </c>
      <c r="J27" s="13">
        <v>93.64</v>
      </c>
      <c r="K27" s="13">
        <v>110.125</v>
      </c>
      <c r="L27" s="13">
        <v>118.23499999999999</v>
      </c>
      <c r="M27" s="13">
        <v>97.58</v>
      </c>
      <c r="N27" s="13">
        <v>77.460000000000008</v>
      </c>
      <c r="O27" s="13">
        <v>75.655000000000001</v>
      </c>
      <c r="P27" s="13">
        <v>115.16500000000001</v>
      </c>
      <c r="Q27" s="13">
        <v>120.73499999999999</v>
      </c>
      <c r="R27" s="13">
        <v>129.22</v>
      </c>
      <c r="S27" s="13">
        <v>110.34</v>
      </c>
      <c r="T27" s="13">
        <v>108.68499999999999</v>
      </c>
      <c r="U27" s="13">
        <v>153.67000000000002</v>
      </c>
      <c r="V27" s="63"/>
    </row>
    <row r="28" spans="2:22" x14ac:dyDescent="0.35">
      <c r="B28" s="63"/>
      <c r="C28" s="60" t="s">
        <v>77</v>
      </c>
      <c r="D28" s="13">
        <v>52.93249999999999</v>
      </c>
      <c r="E28" s="13">
        <v>71.459999999999994</v>
      </c>
      <c r="F28" s="13">
        <v>77.070000000000007</v>
      </c>
      <c r="G28" s="13">
        <v>70.17</v>
      </c>
      <c r="H28" s="13">
        <v>70.844999999999999</v>
      </c>
      <c r="I28" s="13">
        <v>80.78</v>
      </c>
      <c r="J28" s="13">
        <v>97.39500000000001</v>
      </c>
      <c r="K28" s="13">
        <v>116.83499999999999</v>
      </c>
      <c r="L28" s="13">
        <v>115.47499999999999</v>
      </c>
      <c r="M28" s="13">
        <v>101.58499999999999</v>
      </c>
      <c r="N28" s="13">
        <v>77.289999999999992</v>
      </c>
      <c r="O28" s="13">
        <v>77.28</v>
      </c>
      <c r="P28" s="13">
        <v>124.77000000000001</v>
      </c>
      <c r="Q28" s="13">
        <v>125.72</v>
      </c>
      <c r="R28" s="13">
        <v>134.85999999999999</v>
      </c>
      <c r="S28" s="13">
        <v>103.95</v>
      </c>
      <c r="T28" s="13">
        <v>111.98499999999999</v>
      </c>
      <c r="U28" s="13">
        <v>150.70500000000001</v>
      </c>
      <c r="V28" s="63"/>
    </row>
    <row r="29" spans="2:22" x14ac:dyDescent="0.35">
      <c r="B29" s="63"/>
      <c r="C29" s="60" t="s">
        <v>78</v>
      </c>
      <c r="D29" s="13">
        <v>96.045000000000002</v>
      </c>
      <c r="E29" s="13">
        <v>122.84</v>
      </c>
      <c r="F29" s="13">
        <v>118.73000000000002</v>
      </c>
      <c r="G29" s="13">
        <v>106.11500000000001</v>
      </c>
      <c r="H29" s="13">
        <v>117.255</v>
      </c>
      <c r="I29" s="13">
        <v>130.07</v>
      </c>
      <c r="J29" s="13">
        <v>146.04000000000002</v>
      </c>
      <c r="K29" s="13">
        <v>159.41500000000002</v>
      </c>
      <c r="L29" s="13">
        <v>156.26500000000001</v>
      </c>
      <c r="M29" s="13">
        <v>150.05000000000001</v>
      </c>
      <c r="N29" s="13">
        <v>124.45</v>
      </c>
      <c r="O29" s="13">
        <v>122.55</v>
      </c>
      <c r="P29" s="13">
        <v>166.90500000000003</v>
      </c>
      <c r="Q29" s="13">
        <v>165.41</v>
      </c>
      <c r="R29" s="13">
        <v>176.94499999999999</v>
      </c>
      <c r="S29" s="13">
        <v>138.13</v>
      </c>
      <c r="T29" s="13">
        <v>153.30500000000001</v>
      </c>
      <c r="U29" s="13">
        <v>184.97</v>
      </c>
      <c r="V29" s="63"/>
    </row>
    <row r="30" spans="2:22" x14ac:dyDescent="0.35">
      <c r="B30" s="63"/>
      <c r="C30" s="60" t="s">
        <v>79</v>
      </c>
      <c r="D30" s="13">
        <v>184.72499999999999</v>
      </c>
      <c r="E30" s="13">
        <v>214.63499999999999</v>
      </c>
      <c r="F30" s="13">
        <v>204.68</v>
      </c>
      <c r="G30" s="13">
        <v>179.42500000000001</v>
      </c>
      <c r="H30" s="13">
        <v>206.48000000000002</v>
      </c>
      <c r="I30" s="13">
        <v>229.44499999999999</v>
      </c>
      <c r="J30" s="13">
        <v>239.00500000000002</v>
      </c>
      <c r="K30" s="13">
        <v>256.06</v>
      </c>
      <c r="L30" s="13">
        <v>241.49</v>
      </c>
      <c r="M30" s="13">
        <v>247.35500000000002</v>
      </c>
      <c r="N30" s="13">
        <v>222.45500000000001</v>
      </c>
      <c r="O30" s="13">
        <v>219.68</v>
      </c>
      <c r="P30" s="13">
        <v>261.44499999999999</v>
      </c>
      <c r="Q30" s="13">
        <v>262.565</v>
      </c>
      <c r="R30" s="13">
        <v>274.21500000000003</v>
      </c>
      <c r="S30" s="13">
        <v>215.36999999999998</v>
      </c>
      <c r="T30" s="13">
        <v>244.16500000000002</v>
      </c>
      <c r="U30" s="13">
        <v>264.09499999999997</v>
      </c>
      <c r="V30" s="63"/>
    </row>
    <row r="31" spans="2:22" x14ac:dyDescent="0.35">
      <c r="B31" s="63"/>
      <c r="C31" s="60" t="s">
        <v>80</v>
      </c>
      <c r="D31" s="13">
        <v>296.58000000000004</v>
      </c>
      <c r="E31" s="13">
        <v>321.60500000000002</v>
      </c>
      <c r="F31" s="13">
        <v>304.48</v>
      </c>
      <c r="G31" s="13">
        <v>269.88499999999999</v>
      </c>
      <c r="H31" s="13">
        <v>305.32</v>
      </c>
      <c r="I31" s="13">
        <v>331.505</v>
      </c>
      <c r="J31" s="13">
        <v>339.61</v>
      </c>
      <c r="K31" s="13">
        <v>344.94499999999999</v>
      </c>
      <c r="L31" s="13">
        <v>330.97500000000002</v>
      </c>
      <c r="M31" s="13">
        <v>346.71</v>
      </c>
      <c r="N31" s="13">
        <v>332.01000000000005</v>
      </c>
      <c r="O31" s="13">
        <v>330.80500000000001</v>
      </c>
      <c r="P31" s="13">
        <v>353.83500000000004</v>
      </c>
      <c r="Q31" s="13">
        <v>358.02</v>
      </c>
      <c r="R31" s="13">
        <v>356.22500000000002</v>
      </c>
      <c r="S31" s="13">
        <v>297.98</v>
      </c>
      <c r="T31" s="13">
        <v>336.64499999999998</v>
      </c>
      <c r="U31" s="13">
        <v>337.70500000000004</v>
      </c>
      <c r="V31" s="63"/>
    </row>
    <row r="32" spans="2:22" x14ac:dyDescent="0.35">
      <c r="B32" s="63"/>
      <c r="C32" s="60" t="s">
        <v>81</v>
      </c>
      <c r="D32" s="13">
        <v>382.84499999999997</v>
      </c>
      <c r="E32" s="13">
        <v>411.17500000000001</v>
      </c>
      <c r="F32" s="13">
        <v>383.91999999999996</v>
      </c>
      <c r="G32" s="13">
        <v>338.35</v>
      </c>
      <c r="H32" s="13">
        <v>386.16500000000002</v>
      </c>
      <c r="I32" s="13">
        <v>416.07499999999999</v>
      </c>
      <c r="J32" s="13">
        <v>427.06499999999994</v>
      </c>
      <c r="K32" s="13">
        <v>436.17500000000001</v>
      </c>
      <c r="L32" s="13">
        <v>411.37</v>
      </c>
      <c r="M32" s="13">
        <v>434.26000000000005</v>
      </c>
      <c r="N32" s="13">
        <v>421.08000000000004</v>
      </c>
      <c r="O32" s="13">
        <v>420.84499999999997</v>
      </c>
      <c r="P32" s="13">
        <v>435.34499999999997</v>
      </c>
      <c r="Q32" s="13">
        <v>445.53000000000003</v>
      </c>
      <c r="R32" s="13">
        <v>445.755</v>
      </c>
      <c r="S32" s="13">
        <v>368.96</v>
      </c>
      <c r="T32" s="13">
        <v>407.375</v>
      </c>
      <c r="U32" s="13">
        <v>407.23499999999996</v>
      </c>
      <c r="V32" s="63"/>
    </row>
    <row r="33" spans="2:22" x14ac:dyDescent="0.35">
      <c r="B33" s="63"/>
      <c r="C33" s="60"/>
      <c r="D33" s="13">
        <f>SUM(Degree_Days_Table3[1. London (Thames Valley)])</f>
        <v>2635.0124999999998</v>
      </c>
      <c r="E33" s="13">
        <f>SUM(Degree_Days_Table3[2. South Eastern])</f>
        <v>2944.0950000000003</v>
      </c>
      <c r="F33" s="13">
        <f>SUM(Degree_Days_Table3[3. Southern])</f>
        <v>2876.32</v>
      </c>
      <c r="G33" s="13">
        <f>SUM(Degree_Days_Table3[4. South Western])</f>
        <v>2635.125</v>
      </c>
      <c r="H33" s="13">
        <f>SUM(Degree_Days_Table3[5. Severn Valley])</f>
        <v>2820.75</v>
      </c>
      <c r="I33" s="13">
        <f>SUM(Degree_Days_Table3[6. Midlands])</f>
        <v>3059.25</v>
      </c>
      <c r="J33" s="13">
        <f>SUM(Degree_Days_Table3[7. West Pennines])</f>
        <v>3176.8650000000002</v>
      </c>
      <c r="K33" s="13">
        <f>SUM(Degree_Days_Table3[8. North Western])</f>
        <v>3357.52</v>
      </c>
      <c r="L33" s="13">
        <f>SUM(Degree_Days_Table3[9. Borders])</f>
        <v>3303.7099999999996</v>
      </c>
      <c r="M33" s="13">
        <f>SUM(Degree_Days_Table3[10. North Eastern])</f>
        <v>3264.0850000000005</v>
      </c>
      <c r="N33" s="13">
        <f>SUM(Degree_Days_Table3[11. East Pennines])</f>
        <v>3050.85</v>
      </c>
      <c r="O33" s="13">
        <f>SUM(Degree_Days_Table3[12. East Anglia])</f>
        <v>3057.9599999999996</v>
      </c>
      <c r="P33" s="13">
        <f>SUM(Degree_Days_Table3[13. West Scotland])</f>
        <v>3379.7350000000006</v>
      </c>
      <c r="Q33" s="13">
        <f>SUM(Degree_Days_Table3[14. East Scotland])</f>
        <v>3460.2550000000001</v>
      </c>
      <c r="R33" s="13">
        <f>SUM(Degree_Days_Table3[15. North East Scotland])</f>
        <v>3540.59</v>
      </c>
      <c r="S33" s="13">
        <f>SUM(Degree_Days_Table3[16. Wales])</f>
        <v>3023.9749999999999</v>
      </c>
      <c r="T33" s="13">
        <f>SUM(Degree_Days_Table3[17. Northern Ireland])</f>
        <v>3206.9749999999995</v>
      </c>
      <c r="U33" s="13">
        <f>SUM(Degree_Days_Table3[18. North West Scotland])</f>
        <v>3469.9349999999995</v>
      </c>
      <c r="V33" s="63"/>
    </row>
    <row r="34" spans="2:22" x14ac:dyDescent="0.35">
      <c r="B34" s="63"/>
      <c r="C34" s="14"/>
      <c r="D34" s="14"/>
      <c r="E34" s="14"/>
      <c r="F34" s="14"/>
      <c r="G34" s="14"/>
      <c r="H34" s="14"/>
      <c r="I34" s="14"/>
      <c r="J34" s="14"/>
      <c r="K34" s="14"/>
      <c r="L34" s="14"/>
      <c r="M34" s="14"/>
      <c r="N34" s="14"/>
      <c r="O34" s="14"/>
      <c r="P34" s="14"/>
      <c r="Q34" s="14"/>
      <c r="R34" s="14"/>
      <c r="S34" s="14"/>
      <c r="T34" s="14"/>
      <c r="U34" s="14"/>
      <c r="V34" s="63"/>
    </row>
    <row r="35" spans="2:22" x14ac:dyDescent="0.35">
      <c r="B35" s="63"/>
      <c r="C35" s="69" t="s">
        <v>84</v>
      </c>
      <c r="D35" s="14"/>
      <c r="E35" s="14"/>
      <c r="F35" s="14"/>
      <c r="G35" s="14"/>
      <c r="H35" s="14"/>
      <c r="I35" s="14"/>
      <c r="J35" s="14"/>
      <c r="K35" s="14"/>
      <c r="L35" s="15" t="s">
        <v>85</v>
      </c>
      <c r="M35" s="63"/>
      <c r="N35" s="14"/>
      <c r="O35" s="14"/>
      <c r="P35" s="14"/>
      <c r="Q35" s="14"/>
      <c r="R35" s="14"/>
      <c r="S35" s="14"/>
      <c r="T35" s="14"/>
      <c r="U35" s="14"/>
      <c r="V35" s="63"/>
    </row>
    <row r="36" spans="2:22" x14ac:dyDescent="0.35">
      <c r="B36" s="67"/>
      <c r="C36" s="67"/>
      <c r="D36" s="67"/>
      <c r="E36" s="67"/>
      <c r="F36" s="67"/>
      <c r="G36" s="67"/>
      <c r="H36" s="67"/>
      <c r="I36" s="67"/>
      <c r="J36" s="67"/>
      <c r="K36" s="67"/>
      <c r="L36" s="67"/>
      <c r="M36" s="67"/>
      <c r="N36" s="67"/>
      <c r="O36" s="67"/>
      <c r="P36" s="67"/>
      <c r="Q36" s="67"/>
      <c r="R36" s="67"/>
      <c r="S36" s="67"/>
      <c r="T36" s="67"/>
      <c r="U36" s="67"/>
      <c r="V36" s="67"/>
    </row>
  </sheetData>
  <sheetProtection algorithmName="SHA-512" hashValue="TtlA2//GUj2ZEHOHWE+3UJ7kIVccK0guqjf4BuvSvbqI+lH7r0XP82PleWKP3IGuU4ZprcJRWPy568roOskVuQ==" saltValue="Ik08oPRTcuLaqP530ZQFPA==" spinCount="100000" sheet="1"/>
  <mergeCells count="2">
    <mergeCell ref="C3:U3"/>
    <mergeCell ref="C19:U19"/>
  </mergeCells>
  <hyperlinks>
    <hyperlink ref="L35" r:id="rId1" xr:uid="{00000000-0004-0000-0300-000000000000}"/>
  </hyperlinks>
  <pageMargins left="0.70866141732283472" right="0.70866141732283472" top="0.74803149606299213" bottom="0.74803149606299213" header="0.31496062992125984" footer="0.31496062992125984"/>
  <pageSetup scale="59" orientation="landscape" r:id="rId2"/>
  <customProperties>
    <customPr name="GUID" r:id="rId3"/>
  </customProperties>
  <drawing r:id="rId4"/>
  <tableParts count="2">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9930-2DD5-4FF3-B45C-F13AA7B3D07E}">
  <sheetPr>
    <tabColor rgb="FF2DAE76"/>
    <pageSetUpPr fitToPage="1"/>
  </sheetPr>
  <dimension ref="A1:L36"/>
  <sheetViews>
    <sheetView showGridLines="0" showRowColHeaders="0" zoomScale="80" zoomScaleNormal="80" workbookViewId="0"/>
  </sheetViews>
  <sheetFormatPr defaultColWidth="9.140625" defaultRowHeight="14.25" x14ac:dyDescent="0.2"/>
  <cols>
    <col min="1" max="1" width="3.5703125" style="83" customWidth="1"/>
    <col min="2" max="2" width="3.7109375" style="83" customWidth="1"/>
    <col min="3" max="3" width="30.7109375" style="83" customWidth="1"/>
    <col min="4" max="5" width="25.5703125" style="84" customWidth="1"/>
    <col min="6" max="7" width="25.5703125" style="83" customWidth="1"/>
    <col min="8" max="8" width="3.7109375" style="83" customWidth="1"/>
    <col min="9" max="9" width="16.7109375" style="83" customWidth="1"/>
    <col min="10" max="10" width="25.7109375" style="83" customWidth="1"/>
    <col min="11" max="11" width="17.28515625" style="84" customWidth="1"/>
    <col min="12" max="25" width="9.140625" style="83" customWidth="1"/>
    <col min="26" max="16384" width="9.140625" style="83"/>
  </cols>
  <sheetData>
    <row r="1" spans="1:12" ht="13.5" customHeight="1" x14ac:dyDescent="0.2"/>
    <row r="2" spans="1:12" x14ac:dyDescent="0.2">
      <c r="B2" s="17"/>
      <c r="C2" s="17"/>
      <c r="D2" s="33"/>
      <c r="E2" s="33"/>
      <c r="F2" s="17"/>
      <c r="G2" s="17"/>
      <c r="H2" s="17"/>
    </row>
    <row r="3" spans="1:12" ht="19.5" x14ac:dyDescent="0.25">
      <c r="A3" s="141"/>
      <c r="B3" s="18"/>
      <c r="C3" s="123" t="str">
        <f>'Guidance Notes'!C3</f>
        <v>Salix Building Fabric Insulation Calculation Tool (V2.4)</v>
      </c>
      <c r="D3" s="33"/>
      <c r="E3" s="33"/>
      <c r="F3" s="17"/>
      <c r="G3" s="17"/>
      <c r="H3" s="18"/>
    </row>
    <row r="4" spans="1:12" x14ac:dyDescent="0.2">
      <c r="A4" s="142"/>
      <c r="B4" s="28"/>
      <c r="C4" s="78" t="s">
        <v>86</v>
      </c>
      <c r="D4" s="33"/>
      <c r="E4" s="33"/>
      <c r="F4" s="17"/>
      <c r="G4" s="17"/>
      <c r="H4" s="28"/>
    </row>
    <row r="5" spans="1:12" x14ac:dyDescent="0.2">
      <c r="A5" s="142"/>
      <c r="B5" s="28"/>
      <c r="C5" s="78"/>
      <c r="D5" s="33"/>
      <c r="E5" s="33"/>
      <c r="F5" s="17"/>
      <c r="G5" s="17"/>
      <c r="H5" s="28"/>
    </row>
    <row r="6" spans="1:12" ht="20.100000000000001" customHeight="1" x14ac:dyDescent="0.2">
      <c r="A6" s="142"/>
      <c r="B6" s="28"/>
      <c r="C6" s="120" t="s">
        <v>87</v>
      </c>
      <c r="D6" s="33"/>
      <c r="E6" s="33"/>
      <c r="F6" s="17"/>
      <c r="G6" s="17"/>
      <c r="H6" s="28"/>
    </row>
    <row r="7" spans="1:12" ht="30" customHeight="1" x14ac:dyDescent="0.2">
      <c r="B7" s="17"/>
      <c r="C7" s="79"/>
      <c r="D7" s="118" t="s">
        <v>88</v>
      </c>
      <c r="E7" s="81" t="s">
        <v>89</v>
      </c>
      <c r="F7" s="81" t="s">
        <v>90</v>
      </c>
      <c r="G7" s="81" t="s">
        <v>82</v>
      </c>
      <c r="H7" s="17"/>
      <c r="K7" s="83"/>
      <c r="L7" s="84"/>
    </row>
    <row r="8" spans="1:12" ht="30" customHeight="1" x14ac:dyDescent="0.2">
      <c r="B8" s="17"/>
      <c r="C8" s="82" t="s">
        <v>91</v>
      </c>
      <c r="D8" s="135"/>
      <c r="E8" s="135"/>
      <c r="F8" s="135"/>
      <c r="G8" s="125" t="s">
        <v>92</v>
      </c>
      <c r="H8" s="143"/>
      <c r="K8" s="83"/>
      <c r="L8" s="84"/>
    </row>
    <row r="9" spans="1:12" ht="30" customHeight="1" x14ac:dyDescent="0.2">
      <c r="B9" s="17"/>
      <c r="C9" s="82" t="s">
        <v>93</v>
      </c>
      <c r="D9" s="126" t="str">
        <f>'Project 1'!Annual_Energy_Saving__kWh</f>
        <v/>
      </c>
      <c r="E9" s="126" t="str">
        <f>'Project 2'!Annual_Energy_Saving__kWh</f>
        <v/>
      </c>
      <c r="F9" s="126" t="str">
        <f>'Project 3'!Annual_Energy_Saving__kWh</f>
        <v/>
      </c>
      <c r="G9" s="126" t="str">
        <f>IF(Annual_Energy_Saving__kWh="","",SUM(D9:F9))</f>
        <v/>
      </c>
      <c r="H9" s="17"/>
      <c r="K9" s="83"/>
      <c r="L9" s="84"/>
    </row>
    <row r="10" spans="1:12" ht="30" customHeight="1" x14ac:dyDescent="0.2">
      <c r="B10" s="17"/>
      <c r="C10" s="82" t="s">
        <v>94</v>
      </c>
      <c r="D10" s="126" t="str">
        <f>'Project 1'!Annual_Fuel_Saving__kWh</f>
        <v/>
      </c>
      <c r="E10" s="126" t="str">
        <f>'Project 2'!Annual_Fuel_Saving__kWh</f>
        <v/>
      </c>
      <c r="F10" s="126" t="str">
        <f>'Project 3'!Annual_Fuel_Saving__kWh</f>
        <v/>
      </c>
      <c r="G10" s="126" t="str">
        <f>IF(Annual_Fuel_Saving__kWh="","",(SUM(D10:F10)))</f>
        <v/>
      </c>
      <c r="H10" s="17"/>
      <c r="K10" s="85"/>
      <c r="L10" s="85"/>
    </row>
    <row r="11" spans="1:12" ht="30" customHeight="1" x14ac:dyDescent="0.2">
      <c r="B11" s="17"/>
      <c r="C11" s="82" t="s">
        <v>95</v>
      </c>
      <c r="D11" s="127" t="str">
        <f>'Project 1'!Annual_Financial_Saving</f>
        <v/>
      </c>
      <c r="E11" s="127" t="str">
        <f>'Project 2'!Annual_Financial_Saving</f>
        <v/>
      </c>
      <c r="F11" s="127" t="str">
        <f>'Project 3'!Annual_Financial_Saving</f>
        <v/>
      </c>
      <c r="G11" s="128" t="str">
        <f>IF(Annual_Financial_Saving="","",SUM(D11:F11))</f>
        <v/>
      </c>
      <c r="H11" s="17"/>
      <c r="K11" s="83"/>
      <c r="L11" s="84"/>
    </row>
    <row r="12" spans="1:12" ht="30" customHeight="1" x14ac:dyDescent="0.2">
      <c r="B12" s="17"/>
      <c r="C12" s="82" t="s">
        <v>96</v>
      </c>
      <c r="D12" s="129" t="str">
        <f>'Project 1'!Payback_in_Years</f>
        <v/>
      </c>
      <c r="E12" s="129" t="str">
        <f>'Project 2'!Payback_in_Years</f>
        <v/>
      </c>
      <c r="F12" s="129" t="str">
        <f>'Project 3'!Payback_in_Years</f>
        <v/>
      </c>
      <c r="G12" s="130" t="s">
        <v>92</v>
      </c>
      <c r="H12" s="143"/>
      <c r="K12" s="83"/>
      <c r="L12" s="84"/>
    </row>
    <row r="13" spans="1:12" ht="20.100000000000001" customHeight="1" x14ac:dyDescent="0.2">
      <c r="B13" s="17"/>
      <c r="C13" s="17"/>
      <c r="D13" s="33"/>
      <c r="E13" s="33"/>
      <c r="F13" s="17"/>
      <c r="G13" s="17"/>
      <c r="H13" s="17"/>
    </row>
    <row r="14" spans="1:12" ht="15" customHeight="1" x14ac:dyDescent="0.2">
      <c r="B14" s="92"/>
      <c r="C14" s="77"/>
      <c r="D14" s="80"/>
      <c r="E14" s="80"/>
      <c r="F14" s="77"/>
      <c r="G14" s="77"/>
      <c r="H14" s="92"/>
    </row>
    <row r="15" spans="1:12" ht="39.950000000000003" customHeight="1" x14ac:dyDescent="0.2">
      <c r="G15" s="89"/>
      <c r="I15" s="86"/>
    </row>
    <row r="16" spans="1:12" ht="15" customHeight="1" x14ac:dyDescent="0.2">
      <c r="G16" s="87"/>
      <c r="I16" s="87"/>
    </row>
    <row r="17" spans="1:11" ht="39.950000000000003" customHeight="1" x14ac:dyDescent="0.2">
      <c r="G17" s="88"/>
      <c r="I17" s="88"/>
    </row>
    <row r="18" spans="1:11" ht="15" customHeight="1" x14ac:dyDescent="0.2">
      <c r="G18" s="87"/>
      <c r="I18" s="87"/>
    </row>
    <row r="19" spans="1:11" ht="39.950000000000003" customHeight="1" x14ac:dyDescent="0.2">
      <c r="G19" s="88"/>
      <c r="I19" s="88"/>
    </row>
    <row r="20" spans="1:11" ht="15" customHeight="1" x14ac:dyDescent="0.2">
      <c r="G20" s="88"/>
      <c r="I20" s="88"/>
    </row>
    <row r="21" spans="1:11" ht="39.950000000000003" customHeight="1" x14ac:dyDescent="0.2">
      <c r="G21" s="88"/>
      <c r="I21" s="88"/>
    </row>
    <row r="22" spans="1:11" ht="24.95" customHeight="1" x14ac:dyDescent="0.2">
      <c r="G22" s="88"/>
      <c r="I22" s="88"/>
    </row>
    <row r="23" spans="1:11" ht="39.950000000000003" customHeight="1" x14ac:dyDescent="0.2">
      <c r="A23" s="90"/>
      <c r="B23" s="90"/>
      <c r="G23" s="87"/>
      <c r="H23" s="90"/>
    </row>
    <row r="24" spans="1:11" ht="54.95" customHeight="1" x14ac:dyDescent="0.2">
      <c r="A24" s="91"/>
      <c r="B24" s="91"/>
      <c r="G24" s="88"/>
      <c r="H24" s="91"/>
      <c r="I24" s="87"/>
    </row>
    <row r="25" spans="1:11" ht="39.950000000000003" customHeight="1" x14ac:dyDescent="0.2">
      <c r="A25" s="91"/>
      <c r="B25" s="91"/>
      <c r="G25" s="88"/>
      <c r="H25" s="91"/>
      <c r="I25" s="88"/>
      <c r="K25" s="83"/>
    </row>
    <row r="26" spans="1:11" ht="62.45" customHeight="1" x14ac:dyDescent="0.2">
      <c r="A26" s="91"/>
      <c r="B26" s="91"/>
      <c r="G26" s="88"/>
      <c r="H26" s="91"/>
      <c r="I26" s="88"/>
      <c r="K26" s="83"/>
    </row>
    <row r="27" spans="1:11" ht="24.95" customHeight="1" x14ac:dyDescent="0.2">
      <c r="G27" s="88"/>
      <c r="I27" s="88"/>
      <c r="K27" s="83"/>
    </row>
    <row r="28" spans="1:11" ht="39.950000000000003" customHeight="1" x14ac:dyDescent="0.2">
      <c r="A28" s="91"/>
      <c r="B28" s="91"/>
      <c r="H28" s="91"/>
      <c r="I28" s="88"/>
    </row>
    <row r="29" spans="1:11" ht="39.950000000000003" customHeight="1" x14ac:dyDescent="0.2">
      <c r="A29" s="91"/>
      <c r="B29" s="91"/>
      <c r="H29" s="91"/>
    </row>
    <row r="30" spans="1:11" ht="24.95" customHeight="1" x14ac:dyDescent="0.2">
      <c r="A30" s="91"/>
      <c r="B30" s="91"/>
      <c r="H30" s="91"/>
    </row>
    <row r="31" spans="1:11" ht="39.950000000000003" customHeight="1" x14ac:dyDescent="0.2">
      <c r="A31" s="91"/>
      <c r="B31" s="91"/>
      <c r="H31" s="91"/>
    </row>
    <row r="32" spans="1:11" ht="39.950000000000003" customHeight="1" x14ac:dyDescent="0.2">
      <c r="A32" s="91"/>
      <c r="B32" s="91"/>
      <c r="H32" s="91"/>
    </row>
    <row r="33" spans="1:8" ht="39.950000000000003" customHeight="1" x14ac:dyDescent="0.2">
      <c r="A33" s="91"/>
      <c r="B33" s="91"/>
      <c r="H33" s="91"/>
    </row>
    <row r="34" spans="1:8" ht="39.950000000000003" customHeight="1" x14ac:dyDescent="0.2">
      <c r="A34" s="91"/>
      <c r="B34" s="91"/>
      <c r="H34" s="91"/>
    </row>
    <row r="35" spans="1:8" ht="15" customHeight="1" x14ac:dyDescent="0.2"/>
    <row r="36" spans="1:8" ht="15" customHeight="1" x14ac:dyDescent="0.2"/>
  </sheetData>
  <sheetProtection algorithmName="SHA-512" hashValue="aN1xUTrtQXiENDZsNTxHYeDVT5/Tr9EDFxUNfh08uyPUfy2wc+28Kqp2bL75PgbJFvpMBoqjTQQ4kQyPnl5yVQ==" saltValue="0Kw/KrJ8V9VCR0vJWNNVwg==" spinCount="100000" sheet="1" objects="1" scenarios="1"/>
  <dataConsolidate/>
  <phoneticPr fontId="35" type="noConversion"/>
  <pageMargins left="0.70866141732283472" right="0.70866141732283472" top="0.74803149606299213" bottom="0.74803149606299213" header="0.31496062992125984" footer="0.31496062992125984"/>
  <pageSetup paperSize="9" scale="69" orientation="portrait" horizontalDpi="4294967293" r:id="rId1"/>
  <customProperties>
    <customPr name="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D60EFA7-19A6-4751-8010-626A05936ED7}">
          <x14:formula1>
            <xm:f>'Project 1'!$Y$31:$Y$38</xm:f>
          </x14:formula1>
          <xm:sqref>D8:F8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1DFA-E295-4E69-8629-624F151C51D5}">
  <sheetPr>
    <tabColor rgb="FF2DAE76"/>
    <pageSetUpPr fitToPage="1"/>
  </sheetPr>
  <dimension ref="A1:AP38"/>
  <sheetViews>
    <sheetView showGridLines="0" showRowColHeaders="0" zoomScale="70" zoomScaleNormal="70" workbookViewId="0"/>
  </sheetViews>
  <sheetFormatPr defaultColWidth="9.140625" defaultRowHeight="14.25" x14ac:dyDescent="0.2"/>
  <cols>
    <col min="1" max="2" width="3.7109375" style="83" customWidth="1"/>
    <col min="3" max="3" width="30.7109375" style="83" customWidth="1"/>
    <col min="4" max="5" width="30.7109375" style="84" customWidth="1"/>
    <col min="6" max="6" width="30.7109375" style="83" customWidth="1"/>
    <col min="7" max="7" width="3.7109375" style="83" customWidth="1"/>
    <col min="8" max="8" width="13.28515625" style="83" customWidth="1"/>
    <col min="9" max="10" width="3.5703125" style="83" customWidth="1"/>
    <col min="11" max="11" width="3.5703125" style="84" customWidth="1"/>
    <col min="12" max="24" width="3.5703125" style="83" customWidth="1"/>
    <col min="25" max="25" width="47.140625" style="17" hidden="1" customWidth="1"/>
    <col min="26" max="26" width="15.42578125" style="17" hidden="1" customWidth="1"/>
    <col min="27" max="27" width="10.42578125" style="17" hidden="1" customWidth="1"/>
    <col min="28" max="28" width="20.28515625" style="17" hidden="1" customWidth="1"/>
    <col min="29" max="29" width="14.140625" style="17" hidden="1" customWidth="1"/>
    <col min="30" max="30" width="15.5703125" style="17" hidden="1" customWidth="1"/>
    <col min="31" max="31" width="15.42578125" style="17" hidden="1" customWidth="1"/>
    <col min="32" max="32" width="16.140625" style="17" hidden="1" customWidth="1"/>
    <col min="33" max="33" width="29.42578125" style="17" hidden="1" customWidth="1"/>
    <col min="34" max="34" width="15.85546875" style="17" hidden="1" customWidth="1"/>
    <col min="35" max="35" width="15.28515625" style="17" hidden="1" customWidth="1"/>
    <col min="36" max="36" width="12.85546875" style="17" hidden="1" customWidth="1"/>
    <col min="37" max="37" width="16.140625" style="17" hidden="1" customWidth="1"/>
    <col min="38" max="38" width="14.85546875" style="17" hidden="1" customWidth="1"/>
    <col min="39" max="39" width="20.7109375" style="17" hidden="1" customWidth="1"/>
    <col min="40" max="40" width="9.28515625" style="17" hidden="1" customWidth="1"/>
    <col min="41" max="41" width="18.28515625" style="17" hidden="1" customWidth="1"/>
    <col min="42" max="42" width="28.140625" style="17" hidden="1" customWidth="1"/>
    <col min="43" max="51" width="9.140625" style="83" customWidth="1"/>
    <col min="52" max="16384" width="9.140625" style="83"/>
  </cols>
  <sheetData>
    <row r="1" spans="1:42" x14ac:dyDescent="0.2">
      <c r="Y1" s="83"/>
      <c r="Z1" s="83"/>
      <c r="AA1" s="83"/>
      <c r="AB1" s="83"/>
      <c r="AC1" s="83"/>
      <c r="AD1" s="83"/>
      <c r="AE1" s="83"/>
      <c r="AF1" s="83"/>
      <c r="AG1" s="83"/>
      <c r="AH1" s="83"/>
      <c r="AI1" s="83"/>
      <c r="AJ1" s="83"/>
      <c r="AK1" s="83"/>
      <c r="AL1" s="83"/>
      <c r="AM1" s="83"/>
      <c r="AN1" s="83"/>
      <c r="AO1" s="83"/>
      <c r="AP1" s="83"/>
    </row>
    <row r="2" spans="1:42" x14ac:dyDescent="0.2">
      <c r="B2" s="93"/>
      <c r="C2" s="93"/>
      <c r="D2" s="95"/>
      <c r="E2" s="95"/>
      <c r="F2" s="93"/>
      <c r="G2" s="93"/>
      <c r="Y2" s="18" t="s">
        <v>97</v>
      </c>
    </row>
    <row r="3" spans="1:42" ht="19.5" x14ac:dyDescent="0.25">
      <c r="A3" s="141"/>
      <c r="B3" s="94"/>
      <c r="C3" s="124" t="str">
        <f>'Guidance Notes'!C3</f>
        <v>Salix Building Fabric Insulation Calculation Tool (V2.4)</v>
      </c>
      <c r="D3" s="95"/>
      <c r="E3" s="95"/>
      <c r="F3" s="93"/>
      <c r="G3" s="94"/>
      <c r="Y3" s="19" t="s">
        <v>98</v>
      </c>
    </row>
    <row r="4" spans="1:42" x14ac:dyDescent="0.2">
      <c r="A4" s="142"/>
      <c r="B4" s="28"/>
      <c r="C4" s="78" t="s">
        <v>86</v>
      </c>
      <c r="D4" s="33"/>
      <c r="E4" s="33"/>
      <c r="F4" s="17"/>
      <c r="G4" s="28"/>
      <c r="Y4" s="19" t="s">
        <v>64</v>
      </c>
      <c r="Z4" s="19" t="s">
        <v>65</v>
      </c>
      <c r="AA4" s="19" t="s">
        <v>66</v>
      </c>
      <c r="AB4" s="19" t="s">
        <v>67</v>
      </c>
      <c r="AC4" s="19" t="s">
        <v>46</v>
      </c>
      <c r="AD4" s="19" t="s">
        <v>47</v>
      </c>
      <c r="AE4" s="19" t="s">
        <v>48</v>
      </c>
      <c r="AF4" s="19" t="s">
        <v>68</v>
      </c>
      <c r="AG4" s="19" t="s">
        <v>50</v>
      </c>
      <c r="AH4" s="19" t="s">
        <v>69</v>
      </c>
      <c r="AI4" s="19" t="s">
        <v>52</v>
      </c>
      <c r="AJ4" s="19" t="s">
        <v>53</v>
      </c>
      <c r="AK4" s="19" t="s">
        <v>54</v>
      </c>
      <c r="AL4" s="19" t="s">
        <v>55</v>
      </c>
      <c r="AM4" s="19" t="s">
        <v>56</v>
      </c>
      <c r="AN4" s="19" t="s">
        <v>57</v>
      </c>
      <c r="AO4" s="19" t="s">
        <v>58</v>
      </c>
      <c r="AP4" s="19" t="s">
        <v>59</v>
      </c>
    </row>
    <row r="5" spans="1:42" ht="39.950000000000003" customHeight="1" x14ac:dyDescent="0.2">
      <c r="A5" s="142"/>
      <c r="B5" s="28"/>
      <c r="C5" s="199" t="s">
        <v>99</v>
      </c>
      <c r="D5" s="200"/>
      <c r="E5" s="200"/>
      <c r="F5" s="17"/>
      <c r="G5" s="28"/>
      <c r="Y5" s="20" t="s">
        <v>100</v>
      </c>
      <c r="Z5" s="20" t="s">
        <v>101</v>
      </c>
      <c r="AA5" s="20" t="s">
        <v>102</v>
      </c>
      <c r="AB5" s="20" t="s">
        <v>63</v>
      </c>
      <c r="AC5" s="20" t="s">
        <v>103</v>
      </c>
      <c r="AD5" s="21">
        <v>15.5</v>
      </c>
      <c r="AE5" s="21">
        <v>18.5</v>
      </c>
      <c r="AF5" s="22" t="s">
        <v>104</v>
      </c>
      <c r="AG5" s="23">
        <v>0.27729999999999999</v>
      </c>
    </row>
    <row r="6" spans="1:42" ht="39.950000000000003" customHeight="1" x14ac:dyDescent="0.2">
      <c r="B6" s="17"/>
      <c r="C6" s="81" t="s">
        <v>105</v>
      </c>
      <c r="D6" s="205"/>
      <c r="E6" s="206"/>
      <c r="F6" s="206"/>
      <c r="G6" s="17"/>
      <c r="Y6" s="24">
        <v>2</v>
      </c>
      <c r="Z6" s="24" t="s">
        <v>70</v>
      </c>
      <c r="AA6" s="24">
        <v>31</v>
      </c>
      <c r="AB6" s="24">
        <v>1</v>
      </c>
      <c r="AC6" s="24">
        <v>2019</v>
      </c>
      <c r="AD6" s="24" t="e">
        <f>HLOOKUP($D$9,Degree_Days_Table[[#All],[1. London (Thames Valley)]:[18. North West Scotland]],Y6,FALSE)</f>
        <v>#N/A</v>
      </c>
      <c r="AE6" s="24" t="e">
        <f>HLOOKUP($D$9,Degree_Days_Table3[[#Headers],[#Data],[1. London (Thames Valley)]:[18. North West Scotland]],Y6,FALSE)</f>
        <v>#N/A</v>
      </c>
      <c r="AF6" s="25" t="s">
        <v>106</v>
      </c>
      <c r="AG6" s="26">
        <v>0.18385000000000001</v>
      </c>
    </row>
    <row r="7" spans="1:42" ht="39.950000000000003" customHeight="1" x14ac:dyDescent="0.2">
      <c r="B7" s="17"/>
      <c r="C7" s="145" t="s">
        <v>107</v>
      </c>
      <c r="D7" s="146"/>
      <c r="E7" s="139"/>
      <c r="F7" s="147"/>
      <c r="G7" s="17"/>
      <c r="Y7" s="24">
        <v>3</v>
      </c>
      <c r="Z7" s="24" t="s">
        <v>71</v>
      </c>
      <c r="AA7" s="24">
        <v>28</v>
      </c>
      <c r="AB7" s="24">
        <v>2</v>
      </c>
      <c r="AC7" s="24">
        <v>2019</v>
      </c>
      <c r="AD7" s="24" t="e">
        <f>HLOOKUP($D$9,Degree_Days_Table[[#All],[1. London (Thames Valley)]:[18. North West Scotland]],Y7,FALSE)</f>
        <v>#N/A</v>
      </c>
      <c r="AE7" s="24" t="e">
        <f>HLOOKUP($D$9,Degree_Days_Table3[[#Headers],[#Data],[1. London (Thames Valley)]:[18. North West Scotland]],Y7,FALSE)</f>
        <v>#N/A</v>
      </c>
      <c r="AF7" s="27" t="s">
        <v>108</v>
      </c>
      <c r="AG7" s="26">
        <v>0.25675999999999999</v>
      </c>
    </row>
    <row r="8" spans="1:42" ht="39.950000000000003" customHeight="1" x14ac:dyDescent="0.2">
      <c r="B8" s="17"/>
      <c r="C8" s="81" t="s">
        <v>109</v>
      </c>
      <c r="D8" s="140"/>
      <c r="E8" s="148" t="s">
        <v>110</v>
      </c>
      <c r="F8" s="144"/>
      <c r="G8" s="17"/>
      <c r="J8" s="85"/>
      <c r="K8" s="85"/>
      <c r="Y8" s="24">
        <v>4</v>
      </c>
      <c r="Z8" s="24" t="s">
        <v>72</v>
      </c>
      <c r="AA8" s="24">
        <v>31</v>
      </c>
      <c r="AB8" s="24">
        <v>3</v>
      </c>
      <c r="AC8" s="24">
        <v>2019</v>
      </c>
      <c r="AD8" s="24" t="e">
        <f>HLOOKUP($D$9,Degree_Days_Table[[#All],[1. London (Thames Valley)]:[18. North West Scotland]],Y8,FALSE)</f>
        <v>#N/A</v>
      </c>
      <c r="AE8" s="24" t="e">
        <f>HLOOKUP($D$9,Degree_Days_Table3[[#Headers],[#Data],[1. London (Thames Valley)]:[18. North West Scotland]],Y8,FALSE)</f>
        <v>#N/A</v>
      </c>
      <c r="AF8" s="27" t="s">
        <v>111</v>
      </c>
      <c r="AG8" s="26">
        <v>0.26782</v>
      </c>
    </row>
    <row r="9" spans="1:42" ht="39.950000000000003" customHeight="1" x14ac:dyDescent="0.2">
      <c r="B9" s="17"/>
      <c r="C9" s="81" t="s">
        <v>112</v>
      </c>
      <c r="D9" s="140"/>
      <c r="E9" s="81" t="s">
        <v>113</v>
      </c>
      <c r="F9" s="149"/>
      <c r="G9" s="17"/>
      <c r="Y9" s="24">
        <v>5</v>
      </c>
      <c r="Z9" s="24" t="s">
        <v>73</v>
      </c>
      <c r="AA9" s="24">
        <v>30</v>
      </c>
      <c r="AB9" s="24">
        <v>4</v>
      </c>
      <c r="AC9" s="24">
        <v>2019</v>
      </c>
      <c r="AD9" s="24" t="e">
        <f>HLOOKUP($D$9,Degree_Days_Table[[#All],[1. London (Thames Valley)]:[18. North West Scotland]],Y9,FALSE)</f>
        <v>#N/A</v>
      </c>
      <c r="AE9" s="24" t="e">
        <f>HLOOKUP($D$9,Degree_Days_Table3[[#Headers],[#Data],[1. London (Thames Valley)]:[18. North West Scotland]],Y9,FALSE)</f>
        <v>#N/A</v>
      </c>
      <c r="AF9" s="27" t="s">
        <v>114</v>
      </c>
      <c r="AG9" s="26">
        <v>0.24675</v>
      </c>
    </row>
    <row r="10" spans="1:42" ht="39.950000000000003" customHeight="1" x14ac:dyDescent="0.2">
      <c r="B10" s="17"/>
      <c r="C10" s="81" t="s">
        <v>115</v>
      </c>
      <c r="D10" s="140"/>
      <c r="E10" s="206" t="s">
        <v>116</v>
      </c>
      <c r="F10" s="206"/>
      <c r="G10" s="17"/>
      <c r="Y10" s="24">
        <v>6</v>
      </c>
      <c r="Z10" s="24" t="s">
        <v>74</v>
      </c>
      <c r="AA10" s="24">
        <v>31</v>
      </c>
      <c r="AB10" s="24">
        <v>5</v>
      </c>
      <c r="AC10" s="24">
        <v>2019</v>
      </c>
      <c r="AD10" s="24" t="e">
        <f>HLOOKUP($D$9,Degree_Days_Table[[#All],[1. London (Thames Valley)]:[18. North West Scotland]],Y10,FALSE)</f>
        <v>#N/A</v>
      </c>
      <c r="AE10" s="24" t="e">
        <f>HLOOKUP($D$9,Degree_Days_Table3[[#Headers],[#Data],[1. London (Thames Valley)]:[18. North West Scotland]],Y10,FALSE)</f>
        <v>#N/A</v>
      </c>
      <c r="AF10" s="27" t="s">
        <v>117</v>
      </c>
      <c r="AG10" s="26">
        <v>0.33183000000000001</v>
      </c>
    </row>
    <row r="11" spans="1:42" ht="39.950000000000003" customHeight="1" x14ac:dyDescent="0.2">
      <c r="B11" s="17"/>
      <c r="C11" s="150" t="s">
        <v>118</v>
      </c>
      <c r="D11" s="151"/>
      <c r="E11" s="206"/>
      <c r="F11" s="210"/>
      <c r="G11" s="17"/>
      <c r="H11" s="136"/>
      <c r="Y11" s="24">
        <v>7</v>
      </c>
      <c r="Z11" s="24" t="s">
        <v>75</v>
      </c>
      <c r="AA11" s="24">
        <v>30</v>
      </c>
      <c r="AB11" s="24">
        <v>6</v>
      </c>
      <c r="AC11" s="24">
        <v>2019</v>
      </c>
      <c r="AD11" s="24" t="e">
        <f>HLOOKUP($D$9,Degree_Days_Table[[#All],[1. London (Thames Valley)]:[18. North West Scotland]],Y11,FALSE)</f>
        <v>#N/A</v>
      </c>
      <c r="AE11" s="24" t="e">
        <f>HLOOKUP($D$9,Degree_Days_Table3[[#Headers],[#Data],[1. London (Thames Valley)]:[18. North West Scotland]],Y11,FALSE)</f>
        <v>#N/A</v>
      </c>
      <c r="AF11" s="27" t="s">
        <v>119</v>
      </c>
      <c r="AG11" s="26">
        <v>0.21446999999999999</v>
      </c>
    </row>
    <row r="12" spans="1:42" ht="15" customHeight="1" x14ac:dyDescent="0.2">
      <c r="B12" s="17"/>
      <c r="C12" s="152"/>
      <c r="D12" s="33"/>
      <c r="E12" s="33"/>
      <c r="F12" s="153"/>
      <c r="G12" s="17"/>
      <c r="Y12" s="24">
        <v>8</v>
      </c>
      <c r="Z12" s="24" t="s">
        <v>76</v>
      </c>
      <c r="AA12" s="24">
        <v>31</v>
      </c>
      <c r="AB12" s="24">
        <v>7</v>
      </c>
      <c r="AC12" s="24">
        <v>2019</v>
      </c>
      <c r="AD12" s="24" t="e">
        <f>HLOOKUP($D$9,Degree_Days_Table[[#All],[1. London (Thames Valley)]:[18. North West Scotland]],Y12,FALSE)</f>
        <v>#N/A</v>
      </c>
      <c r="AE12" s="24" t="e">
        <f>HLOOKUP($D$9,Degree_Days_Table3[[#Headers],[#Data],[1. London (Thames Valley)]:[18. North West Scotland]],Y12,FALSE)</f>
        <v>#N/A</v>
      </c>
      <c r="AF12" s="27" t="s">
        <v>120</v>
      </c>
      <c r="AG12" s="26">
        <v>3.7440000000000001E-2</v>
      </c>
    </row>
    <row r="13" spans="1:42" ht="39.950000000000003" customHeight="1" x14ac:dyDescent="0.2">
      <c r="B13" s="17"/>
      <c r="C13" s="145" t="s">
        <v>121</v>
      </c>
      <c r="D13" s="154" t="str">
        <f>IFERROR(IF(D9="","",IF(F9="","",IF(F9=15.5,AE23,IF(F9=18.5,AE24))))," ")</f>
        <v/>
      </c>
      <c r="E13" s="81" t="s">
        <v>122</v>
      </c>
      <c r="F13" s="155" t="str">
        <f>IFERROR(IF(F8="","",(IF(D8="","",AG23)))," ")</f>
        <v/>
      </c>
      <c r="G13" s="17"/>
      <c r="H13" s="89"/>
      <c r="I13" s="86"/>
      <c r="Y13" s="24">
        <v>9</v>
      </c>
      <c r="Z13" s="24" t="s">
        <v>77</v>
      </c>
      <c r="AA13" s="24">
        <v>31</v>
      </c>
      <c r="AB13" s="24">
        <v>8</v>
      </c>
      <c r="AC13" s="24">
        <v>2019</v>
      </c>
      <c r="AD13" s="24" t="e">
        <f>HLOOKUP($D$9,Degree_Days_Table[[#All],[1. London (Thames Valley)]:[18. North West Scotland]],Y13,FALSE)</f>
        <v>#N/A</v>
      </c>
      <c r="AE13" s="24" t="e">
        <f>HLOOKUP($D$9,Degree_Days_Table3[[#Headers],[#Data],[1. London (Thames Valley)]:[18. North West Scotland]],Y13,FALSE)</f>
        <v>#N/A</v>
      </c>
      <c r="AF13" s="27" t="s">
        <v>123</v>
      </c>
      <c r="AG13" s="26">
        <v>7.92E-3</v>
      </c>
    </row>
    <row r="14" spans="1:42" ht="15" customHeight="1" x14ac:dyDescent="0.2">
      <c r="B14" s="17"/>
      <c r="C14" s="156"/>
      <c r="D14" s="156"/>
      <c r="E14" s="156"/>
      <c r="F14" s="156"/>
      <c r="G14" s="17"/>
      <c r="H14" s="87"/>
      <c r="I14" s="87"/>
      <c r="Y14" s="24">
        <v>10</v>
      </c>
      <c r="Z14" s="24" t="s">
        <v>78</v>
      </c>
      <c r="AA14" s="24">
        <v>30</v>
      </c>
      <c r="AB14" s="24">
        <v>9</v>
      </c>
      <c r="AC14" s="24">
        <v>2019</v>
      </c>
      <c r="AD14" s="24" t="e">
        <f>HLOOKUP($D$9,Degree_Days_Table[[#All],[1. London (Thames Valley)]:[18. North West Scotland]],Y14,FALSE)</f>
        <v>#N/A</v>
      </c>
      <c r="AE14" s="24" t="e">
        <f>HLOOKUP($D$9,Degree_Days_Table3[[#Headers],[#Data],[1. London (Thames Valley)]:[18. North West Scotland]],Y14,FALSE)</f>
        <v>#N/A</v>
      </c>
      <c r="AF14" s="27" t="s">
        <v>124</v>
      </c>
      <c r="AG14" s="26">
        <v>2.4049999999999998E-2</v>
      </c>
    </row>
    <row r="15" spans="1:42" ht="39.950000000000003" customHeight="1" x14ac:dyDescent="0.2">
      <c r="B15" s="17"/>
      <c r="C15" s="81" t="s">
        <v>125</v>
      </c>
      <c r="D15" s="157"/>
      <c r="E15" s="81" t="s">
        <v>126</v>
      </c>
      <c r="F15" s="158"/>
      <c r="G15" s="17"/>
      <c r="H15" s="88"/>
      <c r="I15" s="88"/>
      <c r="Y15" s="24">
        <v>11</v>
      </c>
      <c r="Z15" s="24" t="s">
        <v>79</v>
      </c>
      <c r="AA15" s="24">
        <v>31</v>
      </c>
      <c r="AB15" s="24">
        <v>10</v>
      </c>
      <c r="AC15" s="24">
        <v>2019</v>
      </c>
      <c r="AD15" s="24" t="e">
        <f>HLOOKUP($D$9,Degree_Days_Table[[#All],[1. London (Thames Valley)]:[18. North West Scotland]],Y15,FALSE)</f>
        <v>#N/A</v>
      </c>
      <c r="AE15" s="24" t="e">
        <f>HLOOKUP($D$9,Degree_Days_Table3[[#Headers],[#Data],[1. London (Thames Valley)]:[18. North West Scotland]],Y15,FALSE)</f>
        <v>#N/A</v>
      </c>
      <c r="AG15" s="29"/>
    </row>
    <row r="16" spans="1:42" ht="15" customHeight="1" x14ac:dyDescent="0.2">
      <c r="B16" s="17"/>
      <c r="C16" s="156"/>
      <c r="D16" s="156"/>
      <c r="E16" s="156"/>
      <c r="F16" s="156"/>
      <c r="G16" s="17"/>
      <c r="H16" s="87"/>
      <c r="I16" s="87"/>
      <c r="Y16" s="24">
        <v>12</v>
      </c>
      <c r="Z16" s="24" t="s">
        <v>80</v>
      </c>
      <c r="AA16" s="24">
        <v>30</v>
      </c>
      <c r="AB16" s="24">
        <v>11</v>
      </c>
      <c r="AC16" s="24">
        <v>2019</v>
      </c>
      <c r="AD16" s="24" t="e">
        <f>HLOOKUP($D$9,Degree_Days_Table[[#All],[1. London (Thames Valley)]:[18. North West Scotland]],Y16,FALSE)</f>
        <v>#N/A</v>
      </c>
      <c r="AE16" s="24" t="e">
        <f>HLOOKUP($D$9,Degree_Days_Table3[[#Headers],[#Data],[1. London (Thames Valley)]:[18. North West Scotland]],Y16,FALSE)</f>
        <v>#N/A</v>
      </c>
      <c r="AG16" s="29"/>
    </row>
    <row r="17" spans="1:33" ht="39.950000000000003" customHeight="1" x14ac:dyDescent="0.2">
      <c r="B17" s="17"/>
      <c r="C17" s="81" t="s">
        <v>127</v>
      </c>
      <c r="D17" s="159"/>
      <c r="E17" s="81" t="s">
        <v>91</v>
      </c>
      <c r="F17" s="160"/>
      <c r="G17" s="17"/>
      <c r="H17" s="88"/>
      <c r="I17" s="88"/>
      <c r="Y17" s="24">
        <v>13</v>
      </c>
      <c r="Z17" s="24" t="s">
        <v>81</v>
      </c>
      <c r="AA17" s="24">
        <v>31</v>
      </c>
      <c r="AB17" s="24">
        <v>12</v>
      </c>
      <c r="AC17" s="24">
        <v>2019</v>
      </c>
      <c r="AD17" s="24" t="e">
        <f>HLOOKUP($D$9,Degree_Days_Table[[#All],[1. London (Thames Valley)]:[18. North West Scotland]],Y17,FALSE)</f>
        <v>#N/A</v>
      </c>
      <c r="AE17" s="24" t="e">
        <f>HLOOKUP($D$9,Degree_Days_Table3[[#Headers],[#Data],[1. London (Thames Valley)]:[18. North West Scotland]],Y17,FALSE)</f>
        <v>#N/A</v>
      </c>
    </row>
    <row r="18" spans="1:33" ht="15" customHeight="1" x14ac:dyDescent="0.2">
      <c r="B18" s="17"/>
      <c r="C18" s="148"/>
      <c r="D18" s="161"/>
      <c r="E18" s="148"/>
      <c r="F18" s="162"/>
      <c r="G18" s="17"/>
      <c r="H18" s="88"/>
      <c r="I18" s="88"/>
    </row>
    <row r="19" spans="1:33" ht="39.950000000000003" customHeight="1" x14ac:dyDescent="0.2">
      <c r="B19" s="17"/>
      <c r="C19" s="81" t="s">
        <v>128</v>
      </c>
      <c r="D19" s="133"/>
      <c r="E19" s="81" t="s">
        <v>129</v>
      </c>
      <c r="F19" s="158"/>
      <c r="G19" s="17"/>
      <c r="H19" s="88"/>
      <c r="I19" s="88"/>
    </row>
    <row r="20" spans="1:33" ht="24.95" customHeight="1" x14ac:dyDescent="0.2">
      <c r="B20" s="17"/>
      <c r="C20" s="209" t="s">
        <v>130</v>
      </c>
      <c r="D20" s="209"/>
      <c r="E20" s="209"/>
      <c r="F20" s="209"/>
      <c r="G20" s="17"/>
      <c r="H20" s="88"/>
      <c r="I20" s="88"/>
      <c r="Z20" s="138" t="s">
        <v>131</v>
      </c>
      <c r="AA20" s="19" t="s">
        <v>102</v>
      </c>
      <c r="AB20" s="19">
        <v>15.5</v>
      </c>
      <c r="AC20" s="19">
        <v>18.5</v>
      </c>
    </row>
    <row r="21" spans="1:33" ht="39.950000000000003" customHeight="1" x14ac:dyDescent="0.2">
      <c r="A21" s="90"/>
      <c r="B21" s="32"/>
      <c r="C21" s="207" t="s">
        <v>132</v>
      </c>
      <c r="D21" s="207"/>
      <c r="E21" s="207" t="s">
        <v>133</v>
      </c>
      <c r="F21" s="207"/>
      <c r="G21" s="32"/>
      <c r="H21" s="87"/>
      <c r="Z21" s="137" t="s">
        <v>134</v>
      </c>
      <c r="AA21" s="19">
        <f>SUM(AA16:AA17,AA6:AA7)</f>
        <v>120</v>
      </c>
      <c r="AB21" s="19" t="e">
        <f>SUM(AD16:AD17,AD6:AD7)</f>
        <v>#N/A</v>
      </c>
      <c r="AC21" s="19" t="e">
        <f>SUM(AE16:AE17,AE6:AE7)</f>
        <v>#N/A</v>
      </c>
    </row>
    <row r="22" spans="1:33" ht="54.95" customHeight="1" x14ac:dyDescent="0.2">
      <c r="A22" s="91"/>
      <c r="B22" s="30"/>
      <c r="C22" s="208" t="s">
        <v>135</v>
      </c>
      <c r="D22" s="208"/>
      <c r="E22" s="208" t="s">
        <v>135</v>
      </c>
      <c r="F22" s="208"/>
      <c r="G22" s="30"/>
      <c r="H22" s="88"/>
      <c r="I22" s="87"/>
      <c r="AE22" s="20" t="s">
        <v>136</v>
      </c>
      <c r="AF22" s="20"/>
      <c r="AG22" s="20" t="s">
        <v>137</v>
      </c>
    </row>
    <row r="23" spans="1:33" ht="39.950000000000003" customHeight="1" x14ac:dyDescent="0.2">
      <c r="A23" s="91"/>
      <c r="B23" s="30"/>
      <c r="C23" s="201" t="s">
        <v>138</v>
      </c>
      <c r="D23" s="201"/>
      <c r="E23" s="201" t="s">
        <v>139</v>
      </c>
      <c r="F23" s="201"/>
      <c r="G23" s="30"/>
      <c r="Z23" s="39">
        <f>D8</f>
        <v>0</v>
      </c>
      <c r="AA23" s="24"/>
      <c r="AB23" s="24" t="e">
        <f>VLOOKUP(Z23,Z6:AB17,3,FALSE)</f>
        <v>#N/A</v>
      </c>
      <c r="AC23" s="24"/>
      <c r="AD23" s="31">
        <v>15.5</v>
      </c>
      <c r="AE23" s="134" t="e">
        <f ca="1">IF((AB23-AB24)&lt;0,SUM(INDIRECT("Ad"&amp;(AB23+5)):INDIRECT("Ad"&amp;(AB24+5))),(SUM(INDIRECT("Ad"&amp;(AB23+5)):AD17)+SUM(AD6:INDIRECT("Ad"&amp;(AB24+5)))))</f>
        <v>#N/A</v>
      </c>
      <c r="AF23" s="24"/>
      <c r="AG23" s="24" t="e">
        <f ca="1">IF((AB23-AB24)&lt;0,SUM(INDIRECT("Aa"&amp;(AB23+5)):INDIRECT("Aa"&amp;(AB24+5))),(SUM(INDIRECT("Aa"&amp;(AB23+5)):AA17)+SUM(AA6:INDIRECT("Aa"&amp;(AB24+5)))))</f>
        <v>#N/A</v>
      </c>
    </row>
    <row r="24" spans="1:33" ht="62.45" customHeight="1" thickBot="1" x14ac:dyDescent="0.25">
      <c r="A24" s="91"/>
      <c r="B24" s="30"/>
      <c r="C24" s="203" t="s">
        <v>140</v>
      </c>
      <c r="D24" s="204"/>
      <c r="E24" s="204" t="s">
        <v>141</v>
      </c>
      <c r="F24" s="204"/>
      <c r="G24" s="30"/>
      <c r="H24" s="88"/>
      <c r="I24" s="88"/>
      <c r="K24" s="83"/>
      <c r="Z24" s="39">
        <f>F8</f>
        <v>0</v>
      </c>
      <c r="AA24" s="24"/>
      <c r="AB24" s="24" t="e">
        <f>VLOOKUP(Z24,Z6:AB17,3,FALSE)</f>
        <v>#N/A</v>
      </c>
      <c r="AC24" s="24"/>
      <c r="AD24" s="31">
        <v>18.5</v>
      </c>
      <c r="AE24" s="134" t="e">
        <f ca="1">IF((AB23-AB24)&lt;0,SUM(INDIRECT("Ae"&amp;(AB23+5)):INDIRECT("Ae"&amp;(AB24+5))),(SUM(INDIRECT("Ae"&amp;(AB23+5)):AE17)+SUM(AE6:INDIRECT("Ae"&amp;(AB24+5)))))</f>
        <v>#N/A</v>
      </c>
      <c r="AF24" s="24"/>
      <c r="AG24" s="24" t="e">
        <f ca="1">IF((AB23-AB24)&lt;0,SUM(INDIRECT("Aa"&amp;(AB23+5)):INDIRECT("aa"&amp;(AB24+5))),(SUM(INDIRECT("aa"&amp;(AB23+5)):AA17)+SUM(AA6:INDIRECT("Aa"&amp;(AB24+5)))))</f>
        <v>#N/A</v>
      </c>
    </row>
    <row r="25" spans="1:33" ht="24.95" customHeight="1" x14ac:dyDescent="0.2">
      <c r="B25" s="17"/>
      <c r="C25" s="202" t="s">
        <v>142</v>
      </c>
      <c r="D25" s="202"/>
      <c r="E25" s="202"/>
      <c r="F25" s="202"/>
      <c r="G25" s="17"/>
      <c r="H25" s="88"/>
      <c r="I25" s="88"/>
      <c r="K25" s="83"/>
      <c r="Y25" s="34" t="s">
        <v>143</v>
      </c>
      <c r="Z25" s="40" t="str">
        <f>IFERROR((IF(C23="","",(1/C23))),"")</f>
        <v/>
      </c>
    </row>
    <row r="26" spans="1:33" ht="39.950000000000003" customHeight="1" x14ac:dyDescent="0.2">
      <c r="A26" s="91"/>
      <c r="B26" s="30"/>
      <c r="C26" s="163" t="s">
        <v>144</v>
      </c>
      <c r="D26" s="164" t="str">
        <f>IFERROR(IF(OR(F15="",D17="",F19="",D13="",F13="",F17="",D19="",C23=""),"",(D13*F19*C23*D15*(F15/F13)/1000)),"")</f>
        <v/>
      </c>
      <c r="E26" s="163" t="s">
        <v>144</v>
      </c>
      <c r="F26" s="164" t="str">
        <f>IFERROR(IF(OR(D15="",F15="",D17="",F19="",D13="",F13="",F17="",D19="",E23="",C23=""),"",(D13*F19*Z28*D15*(F15/F13)/1000)),"")</f>
        <v/>
      </c>
      <c r="G26" s="30"/>
      <c r="I26" s="88"/>
      <c r="Y26" s="35" t="s">
        <v>145</v>
      </c>
      <c r="Z26" s="41" t="str">
        <f>IFERROR((IF(E23="","",(1/E23))),"")</f>
        <v/>
      </c>
      <c r="AG26" s="29"/>
    </row>
    <row r="27" spans="1:33" ht="39.950000000000003" customHeight="1" x14ac:dyDescent="0.2">
      <c r="A27" s="91"/>
      <c r="B27" s="30"/>
      <c r="C27" s="81" t="s">
        <v>146</v>
      </c>
      <c r="D27" s="126" t="str">
        <f>IFERROR(D26/D11,"")</f>
        <v/>
      </c>
      <c r="E27" s="81" t="s">
        <v>147</v>
      </c>
      <c r="F27" s="126" t="str">
        <f>IFERROR(F26/D11,"")</f>
        <v/>
      </c>
      <c r="G27" s="30"/>
      <c r="Y27" s="35" t="s">
        <v>148</v>
      </c>
      <c r="Z27" s="42" t="str">
        <f>IFERROR(IF(D19="Replacement",Z26,(Z25+Z26)),"")</f>
        <v/>
      </c>
    </row>
    <row r="28" spans="1:33" ht="24.95" customHeight="1" thickBot="1" x14ac:dyDescent="0.25">
      <c r="A28" s="91"/>
      <c r="B28" s="30"/>
      <c r="C28" s="79"/>
      <c r="D28" s="79"/>
      <c r="E28" s="79"/>
      <c r="F28" s="79"/>
      <c r="G28" s="30"/>
      <c r="Y28" s="36" t="s">
        <v>149</v>
      </c>
      <c r="Z28" s="43" t="str">
        <f>IFERROR(1/(Z27),"")</f>
        <v/>
      </c>
    </row>
    <row r="29" spans="1:33" ht="39.950000000000003" customHeight="1" thickBot="1" x14ac:dyDescent="0.25">
      <c r="A29" s="91"/>
      <c r="B29" s="30"/>
      <c r="C29" s="165"/>
      <c r="D29" s="81" t="s">
        <v>93</v>
      </c>
      <c r="E29" s="126" t="str">
        <f>IF(F26="","",D26-F26)</f>
        <v/>
      </c>
      <c r="F29" s="166"/>
      <c r="G29" s="30"/>
      <c r="Y29" s="37" t="s">
        <v>150</v>
      </c>
      <c r="Z29" s="38" t="s">
        <v>151</v>
      </c>
    </row>
    <row r="30" spans="1:33" ht="39.950000000000003" customHeight="1" x14ac:dyDescent="0.2">
      <c r="A30" s="91"/>
      <c r="B30" s="30"/>
      <c r="C30" s="165"/>
      <c r="D30" s="81" t="s">
        <v>94</v>
      </c>
      <c r="E30" s="126" t="str">
        <f>IF(OR(D11="",E29=""),"",E29/D11)</f>
        <v/>
      </c>
      <c r="F30" s="167"/>
      <c r="G30" s="30"/>
    </row>
    <row r="31" spans="1:33" ht="39.950000000000003" customHeight="1" x14ac:dyDescent="0.25">
      <c r="A31" s="91"/>
      <c r="B31" s="30"/>
      <c r="C31" s="17"/>
      <c r="D31" s="81" t="s">
        <v>95</v>
      </c>
      <c r="E31" s="127" t="str">
        <f>IF(OR(E30="",E29=""),"",E30*(D17/100))</f>
        <v/>
      </c>
      <c r="F31" s="167"/>
      <c r="G31" s="30"/>
      <c r="Y31" s="44" t="s">
        <v>152</v>
      </c>
    </row>
    <row r="32" spans="1:33" ht="39.950000000000003" customHeight="1" x14ac:dyDescent="0.25">
      <c r="A32" s="91"/>
      <c r="B32" s="30"/>
      <c r="C32" s="17"/>
      <c r="D32" s="81" t="s">
        <v>96</v>
      </c>
      <c r="E32" s="129" t="str">
        <f>IF(E29="","",(D7/E31))</f>
        <v/>
      </c>
      <c r="F32" s="17"/>
      <c r="G32" s="30"/>
      <c r="Y32" s="44" t="s">
        <v>153</v>
      </c>
    </row>
    <row r="33" spans="2:25" ht="15" customHeight="1" x14ac:dyDescent="0.25">
      <c r="B33" s="17"/>
      <c r="C33" s="17"/>
      <c r="D33" s="33"/>
      <c r="E33" s="33"/>
      <c r="F33" s="17"/>
      <c r="G33" s="17"/>
      <c r="Y33" s="44" t="s">
        <v>154</v>
      </c>
    </row>
    <row r="34" spans="2:25" ht="15" customHeight="1" x14ac:dyDescent="0.25">
      <c r="B34" s="92"/>
      <c r="C34" s="77"/>
      <c r="D34" s="80"/>
      <c r="E34" s="80"/>
      <c r="F34" s="77"/>
      <c r="G34" s="92"/>
      <c r="Y34" s="44" t="s">
        <v>155</v>
      </c>
    </row>
    <row r="35" spans="2:25" ht="15" x14ac:dyDescent="0.25">
      <c r="Y35" s="44" t="s">
        <v>156</v>
      </c>
    </row>
    <row r="36" spans="2:25" ht="15" x14ac:dyDescent="0.25">
      <c r="Y36" s="44" t="s">
        <v>157</v>
      </c>
    </row>
    <row r="37" spans="2:25" ht="15" x14ac:dyDescent="0.25">
      <c r="Y37" s="44" t="s">
        <v>158</v>
      </c>
    </row>
    <row r="38" spans="2:25" ht="15" x14ac:dyDescent="0.25">
      <c r="Y38" s="44" t="s">
        <v>159</v>
      </c>
    </row>
  </sheetData>
  <sheetProtection algorithmName="SHA-512" hashValue="faLdyDHIDVuOtB4vHNrOd8tVNOirQKtYGLLanjUlU0yL9EEzDLDd890wDeIWxMYgjOCkAbmL4xXAVGZiieVClQ==" saltValue="fikWspfddblkJ6asq89qOw==" spinCount="100000" sheet="1" objects="1" scenarios="1"/>
  <dataConsolidate/>
  <mergeCells count="13">
    <mergeCell ref="C5:E5"/>
    <mergeCell ref="C23:D23"/>
    <mergeCell ref="E23:F23"/>
    <mergeCell ref="C25:F25"/>
    <mergeCell ref="C24:D24"/>
    <mergeCell ref="E24:F24"/>
    <mergeCell ref="D6:F6"/>
    <mergeCell ref="C21:D21"/>
    <mergeCell ref="E21:F21"/>
    <mergeCell ref="C22:D22"/>
    <mergeCell ref="E22:F22"/>
    <mergeCell ref="C20:F20"/>
    <mergeCell ref="E10:F11"/>
  </mergeCells>
  <conditionalFormatting sqref="F15">
    <cfRule type="expression" dxfId="26" priority="15">
      <formula>$F$15&gt;$F$13</formula>
    </cfRule>
  </conditionalFormatting>
  <conditionalFormatting sqref="C22:F22">
    <cfRule type="containsText" dxfId="25" priority="14" operator="containsText" text="Description">
      <formula>NOT(ISERROR(SEARCH("Description",C22)))</formula>
    </cfRule>
  </conditionalFormatting>
  <conditionalFormatting sqref="C24">
    <cfRule type="containsText" dxfId="24" priority="12" operator="containsText" text="U-value of Current Building Fabric">
      <formula>NOT(ISERROR(SEARCH("U-value of Current Building Fabric",C24)))</formula>
    </cfRule>
    <cfRule type="containsText" dxfId="23" priority="13" operator="containsText" text="U-value of New Insulation">
      <formula>NOT(ISERROR(SEARCH("U-value of New Insulation",C24)))</formula>
    </cfRule>
  </conditionalFormatting>
  <conditionalFormatting sqref="E10">
    <cfRule type="containsText" dxfId="22" priority="9" operator="containsText" text="As applicable,">
      <formula>NOT(ISERROR(SEARCH("As applicable,",E10)))</formula>
    </cfRule>
  </conditionalFormatting>
  <conditionalFormatting sqref="E23:F23">
    <cfRule type="containsText" dxfId="21" priority="3" operator="containsText" text="U-value of Current Building Fabric">
      <formula>NOT(ISERROR(SEARCH("U-value of Current Building Fabric",E23)))</formula>
    </cfRule>
    <cfRule type="containsText" dxfId="20" priority="4" operator="containsText" text="U-value of New Insulation">
      <formula>NOT(ISERROR(SEARCH("U-value of New Insulation",E23)))</formula>
    </cfRule>
  </conditionalFormatting>
  <conditionalFormatting sqref="C23:D23">
    <cfRule type="containsText" dxfId="19" priority="1" operator="containsText" text="U-value of Current Building Fabric">
      <formula>NOT(ISERROR(SEARCH("U-value of Current Building Fabric",C23)))</formula>
    </cfRule>
    <cfRule type="containsText" dxfId="18" priority="2" operator="containsText" text="U-value of New Insulation">
      <formula>NOT(ISERROR(SEARCH("U-value of New Insulation",C23)))</formula>
    </cfRule>
  </conditionalFormatting>
  <dataValidations xWindow="468" yWindow="369" count="21">
    <dataValidation type="list" allowBlank="1" showInputMessage="1" showErrorMessage="1" prompt="Please consult the map from the 'Degree Day Regions' tab if you do not know your area." sqref="D9" xr:uid="{27907F74-8BD0-4BBE-A06D-5F2080833455}">
      <formula1>$Y$4:$AP$4</formula1>
    </dataValidation>
    <dataValidation allowBlank="1" showInputMessage="1" showErrorMessage="1" prompt="This is calculated using the region selected above and the 'Degree Day Data' tab." sqref="D13" xr:uid="{D9D385F0-76DB-4C96-ACBA-A72C38B9930D}"/>
    <dataValidation type="list" allowBlank="1" showInputMessage="1" showErrorMessage="1" prompt="Months selected are inclusive i.e. November 1st - April 30th." sqref="D8" xr:uid="{5E1E93B9-CBCA-4D7A-8A82-F8863A62DA2E}">
      <formula1>$Z$6:$Z$17</formula1>
    </dataValidation>
    <dataValidation type="list" allowBlank="1" showInputMessage="1" showErrorMessage="1" sqref="D10" xr:uid="{ED7B870E-1997-4AEA-90C3-AD9FD331AA80}">
      <formula1>$AF$5:$AF$14</formula1>
    </dataValidation>
    <dataValidation type="list" allowBlank="1" showInputMessage="1" showErrorMessage="1" sqref="F8" xr:uid="{2A4DDC86-26EC-461F-B5D0-300E3261DB14}">
      <formula1>$Z$6:$Z$17</formula1>
    </dataValidation>
    <dataValidation type="decimal" allowBlank="1" showInputMessage="1" showErrorMessage="1" errorTitle="Value Error" error="Please input area to be insulated (m2)." sqref="F19" xr:uid="{01B761D4-59F5-42FC-A1B5-6318A76EA91C}">
      <formula1>0</formula1>
      <formula2>9999999</formula2>
    </dataValidation>
    <dataValidation type="decimal" allowBlank="1" showInputMessage="1" showErrorMessage="1" errorTitle="Value Error" error="Please input average energy cost (p/kWh)." sqref="D17" xr:uid="{A0AD8CBD-503B-4B49-A66D-ECB7FFDB5E67}">
      <formula1>0</formula1>
      <formula2>99999999</formula2>
    </dataValidation>
    <dataValidation type="whole" allowBlank="1" showInputMessage="1" showErrorMessage="1" errorTitle="Please Update Number" error="Number of days heated during heating season cannot exceed total number of days in heating season." prompt="The total number of days the area will be heated during the heating season. This must not exceed the total number of days in the heating season." sqref="F15" xr:uid="{7B84C883-F7B4-4D77-9D86-FDE4B36CC92B}">
      <formula1>0</formula1>
      <formula2>F13</formula2>
    </dataValidation>
    <dataValidation type="decimal" allowBlank="1" showInputMessage="1" showErrorMessage="1" sqref="F18:F19" xr:uid="{E5F71A36-9461-494D-B059-3DF4B98D5CF8}">
      <formula1>0</formula1>
      <formula2>9999999</formula2>
    </dataValidation>
    <dataValidation type="textLength" allowBlank="1" showInputMessage="1" showErrorMessage="1" sqref="E22" xr:uid="{244E1126-A5B0-49B6-9F72-222048BC3007}">
      <formula1>0</formula1>
      <formula2>9999</formula2>
    </dataValidation>
    <dataValidation type="decimal" allowBlank="1" showInputMessage="1" showErrorMessage="1" sqref="D7" xr:uid="{CA7D609D-1C65-451F-A015-F322387F4859}">
      <formula1>0</formula1>
      <formula2>99999999999</formula2>
    </dataValidation>
    <dataValidation type="decimal" allowBlank="1" showInputMessage="1" showErrorMessage="1" errorTitle="Value Error" error="Please input hours of heating per day." prompt="Average number of hours the area will be heated per day during the heating season." sqref="D15" xr:uid="{39B832F8-28E5-48DC-B881-7C9F5EACC325}">
      <formula1>0</formula1>
      <formula2>24</formula2>
    </dataValidation>
    <dataValidation type="decimal" allowBlank="1" showInputMessage="1" showErrorMessage="1" sqref="D18" xr:uid="{C66B5033-8695-4496-9DE3-28CF0A041ACB}">
      <formula1>0</formula1>
      <formula2>99999999</formula2>
    </dataValidation>
    <dataValidation type="decimal" allowBlank="1" showInputMessage="1" showErrorMessage="1" errorTitle="Value Error" error="Boiler efficiency cannot exceed 100%." sqref="D11" xr:uid="{9C6C085F-9D73-4B5D-BED7-9CE579A76CA0}">
      <formula1>0</formula1>
      <formula2>1</formula2>
    </dataValidation>
    <dataValidation type="list" allowBlank="1" showInputMessage="1" showErrorMessage="1" prompt="15.5 degree base for general purpose buildings (e.g. offices)._x000a__x000a_18.5 degree base for specialist use buildings requiring a higher maintained internal temperature (e.g. hospital wards)." sqref="F9" xr:uid="{C3779FD1-1327-47C8-BFC3-F4C00CB8A0DD}">
      <formula1>$AD$5:$AE$5</formula1>
    </dataValidation>
    <dataValidation type="textLength" operator="lessThan" allowBlank="1" showInputMessage="1" showErrorMessage="1" errorTitle="Value Error" error="Boiler efficiency cannot exceed 100%." sqref="E10:F11" xr:uid="{D056942F-AAAA-40DB-B0B0-9F87D5516EAE}">
      <formula1>100</formula1>
    </dataValidation>
    <dataValidation type="list" allowBlank="1" showInputMessage="1" showErrorMessage="1" sqref="F17" xr:uid="{3FDF14DF-D02E-4F8C-B466-2FD8FDBB6213}">
      <formula1>$Y$31:$Y$38</formula1>
    </dataValidation>
    <dataValidation type="list" allowBlank="1" showInputMessage="1" showErrorMessage="1" errorTitle="Value Error" error="Boiler efficiency cannot exceed 100%." prompt="Please select whether the new insulation is, in addition to the current building fabric, or replacing current insulation." sqref="D19" xr:uid="{0F21E619-510D-4BA7-965E-E7A8AF53C039}">
      <formula1>$Y$29:$Z$29</formula1>
    </dataValidation>
    <dataValidation type="list" allowBlank="1" showInputMessage="1" prompt="Please select whether the new insulation is, in addition to the current building fabric, or replacing current insulation." sqref="D19" xr:uid="{1823B930-81A0-427C-AD53-FEECA1D7C8B7}">
      <formula1>$Z$29:$Z$29</formula1>
    </dataValidation>
    <dataValidation allowBlank="1" showInputMessage="1" showErrorMessage="1" prompt="U-value of current building fabric (W/m2.K)" sqref="C23:D23" xr:uid="{C672C70A-74A1-41E7-BAA3-A4E1B890E5EE}"/>
    <dataValidation allowBlank="1" showInputMessage="1" showErrorMessage="1" prompt="U-value of new insulation (W/m2.K)" sqref="E23:F23" xr:uid="{ABA3E714-D875-4164-9CB6-6188FDE541DF}"/>
  </dataValidations>
  <pageMargins left="0.70866141732283472" right="0.70866141732283472" top="0.74803149606299213" bottom="0.74803149606299213" header="0.31496062992125984" footer="0.31496062992125984"/>
  <pageSetup paperSize="9" scale="69" orientation="portrait" horizontalDpi="4294967293" r:id="rId1"/>
  <customProperties>
    <customPr name="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3B78-08CE-46B7-9A03-B1F5EC6DE9CD}">
  <sheetPr>
    <tabColor rgb="FF2DAE76"/>
    <pageSetUpPr fitToPage="1"/>
  </sheetPr>
  <dimension ref="A1:AP38"/>
  <sheetViews>
    <sheetView showGridLines="0" showRowColHeaders="0" zoomScale="70" zoomScaleNormal="70" workbookViewId="0"/>
  </sheetViews>
  <sheetFormatPr defaultColWidth="9.140625" defaultRowHeight="14.25" x14ac:dyDescent="0.2"/>
  <cols>
    <col min="1" max="2" width="3.7109375" style="83" customWidth="1"/>
    <col min="3" max="3" width="30.7109375" style="83" customWidth="1"/>
    <col min="4" max="5" width="30.7109375" style="84" customWidth="1"/>
    <col min="6" max="6" width="30.7109375" style="83" customWidth="1"/>
    <col min="7" max="7" width="3.7109375" style="83" customWidth="1"/>
    <col min="8" max="8" width="13.28515625" style="83" customWidth="1"/>
    <col min="9" max="10" width="3.5703125" style="83" customWidth="1"/>
    <col min="11" max="11" width="3.5703125" style="84" customWidth="1"/>
    <col min="12" max="24" width="3.5703125" style="83" customWidth="1"/>
    <col min="25" max="25" width="47.140625" style="17" hidden="1" customWidth="1"/>
    <col min="26" max="26" width="15.42578125" style="17" hidden="1" customWidth="1"/>
    <col min="27" max="27" width="10.42578125" style="17" hidden="1" customWidth="1"/>
    <col min="28" max="28" width="20.28515625" style="17" hidden="1" customWidth="1"/>
    <col min="29" max="29" width="14.140625" style="17" hidden="1" customWidth="1"/>
    <col min="30" max="30" width="15.5703125" style="17" hidden="1" customWidth="1"/>
    <col min="31" max="31" width="15.42578125" style="17" hidden="1" customWidth="1"/>
    <col min="32" max="32" width="16.140625" style="17" hidden="1" customWidth="1"/>
    <col min="33" max="33" width="29.42578125" style="17" hidden="1" customWidth="1"/>
    <col min="34" max="34" width="15.85546875" style="17" hidden="1" customWidth="1"/>
    <col min="35" max="35" width="15.28515625" style="17" hidden="1" customWidth="1"/>
    <col min="36" max="36" width="12.85546875" style="17" hidden="1" customWidth="1"/>
    <col min="37" max="37" width="16.140625" style="17" hidden="1" customWidth="1"/>
    <col min="38" max="38" width="14.85546875" style="17" hidden="1" customWidth="1"/>
    <col min="39" max="39" width="20.7109375" style="17" hidden="1" customWidth="1"/>
    <col min="40" max="40" width="9.28515625" style="17" hidden="1" customWidth="1"/>
    <col min="41" max="41" width="18.28515625" style="17" hidden="1" customWidth="1"/>
    <col min="42" max="42" width="28.140625" style="17" hidden="1" customWidth="1"/>
    <col min="43" max="51" width="9.140625" style="83" customWidth="1"/>
    <col min="52" max="16384" width="9.140625" style="83"/>
  </cols>
  <sheetData>
    <row r="1" spans="1:42" x14ac:dyDescent="0.2">
      <c r="Y1" s="83"/>
      <c r="Z1" s="83"/>
      <c r="AA1" s="83"/>
      <c r="AB1" s="83"/>
      <c r="AC1" s="83"/>
      <c r="AD1" s="83"/>
      <c r="AE1" s="83"/>
      <c r="AF1" s="83"/>
      <c r="AG1" s="83"/>
      <c r="AH1" s="83"/>
      <c r="AI1" s="83"/>
      <c r="AJ1" s="83"/>
      <c r="AK1" s="83"/>
      <c r="AL1" s="83"/>
      <c r="AM1" s="83"/>
      <c r="AN1" s="83"/>
      <c r="AO1" s="83"/>
      <c r="AP1" s="83"/>
    </row>
    <row r="2" spans="1:42" x14ac:dyDescent="0.2">
      <c r="B2" s="93"/>
      <c r="C2" s="93"/>
      <c r="D2" s="95"/>
      <c r="E2" s="95"/>
      <c r="F2" s="93"/>
      <c r="G2" s="93"/>
      <c r="Y2" s="18" t="s">
        <v>97</v>
      </c>
    </row>
    <row r="3" spans="1:42" ht="19.5" x14ac:dyDescent="0.25">
      <c r="A3" s="141"/>
      <c r="B3" s="94"/>
      <c r="C3" s="124" t="str">
        <f>'Guidance Notes'!C3</f>
        <v>Salix Building Fabric Insulation Calculation Tool (V2.4)</v>
      </c>
      <c r="D3" s="95"/>
      <c r="E3" s="95"/>
      <c r="F3" s="93"/>
      <c r="G3" s="94"/>
      <c r="Y3" s="19" t="s">
        <v>98</v>
      </c>
    </row>
    <row r="4" spans="1:42" x14ac:dyDescent="0.2">
      <c r="A4" s="142"/>
      <c r="B4" s="28"/>
      <c r="C4" s="78" t="s">
        <v>86</v>
      </c>
      <c r="D4" s="33"/>
      <c r="E4" s="33"/>
      <c r="F4" s="17"/>
      <c r="G4" s="28"/>
      <c r="Y4" s="19" t="s">
        <v>64</v>
      </c>
      <c r="Z4" s="19" t="s">
        <v>65</v>
      </c>
      <c r="AA4" s="19" t="s">
        <v>66</v>
      </c>
      <c r="AB4" s="19" t="s">
        <v>67</v>
      </c>
      <c r="AC4" s="19" t="s">
        <v>46</v>
      </c>
      <c r="AD4" s="19" t="s">
        <v>47</v>
      </c>
      <c r="AE4" s="19" t="s">
        <v>48</v>
      </c>
      <c r="AF4" s="19" t="s">
        <v>68</v>
      </c>
      <c r="AG4" s="19" t="s">
        <v>50</v>
      </c>
      <c r="AH4" s="19" t="s">
        <v>69</v>
      </c>
      <c r="AI4" s="19" t="s">
        <v>52</v>
      </c>
      <c r="AJ4" s="19" t="s">
        <v>53</v>
      </c>
      <c r="AK4" s="19" t="s">
        <v>54</v>
      </c>
      <c r="AL4" s="19" t="s">
        <v>55</v>
      </c>
      <c r="AM4" s="19" t="s">
        <v>56</v>
      </c>
      <c r="AN4" s="19" t="s">
        <v>57</v>
      </c>
      <c r="AO4" s="19" t="s">
        <v>58</v>
      </c>
      <c r="AP4" s="19" t="s">
        <v>59</v>
      </c>
    </row>
    <row r="5" spans="1:42" ht="39.950000000000003" customHeight="1" x14ac:dyDescent="0.2">
      <c r="A5" s="142"/>
      <c r="B5" s="28"/>
      <c r="C5" s="199" t="s">
        <v>99</v>
      </c>
      <c r="D5" s="200"/>
      <c r="E5" s="200"/>
      <c r="F5" s="17"/>
      <c r="G5" s="28"/>
      <c r="Y5" s="20" t="s">
        <v>100</v>
      </c>
      <c r="Z5" s="20" t="s">
        <v>101</v>
      </c>
      <c r="AA5" s="20" t="s">
        <v>102</v>
      </c>
      <c r="AB5" s="20" t="s">
        <v>63</v>
      </c>
      <c r="AC5" s="20" t="s">
        <v>103</v>
      </c>
      <c r="AD5" s="21">
        <v>15.5</v>
      </c>
      <c r="AE5" s="21">
        <v>18.5</v>
      </c>
      <c r="AF5" s="22" t="s">
        <v>104</v>
      </c>
      <c r="AG5" s="23">
        <v>0.27729999999999999</v>
      </c>
    </row>
    <row r="6" spans="1:42" ht="39.950000000000003" customHeight="1" x14ac:dyDescent="0.2">
      <c r="B6" s="17"/>
      <c r="C6" s="81" t="s">
        <v>105</v>
      </c>
      <c r="D6" s="205"/>
      <c r="E6" s="206"/>
      <c r="F6" s="206"/>
      <c r="G6" s="17"/>
      <c r="Y6" s="24">
        <v>2</v>
      </c>
      <c r="Z6" s="24" t="s">
        <v>70</v>
      </c>
      <c r="AA6" s="24">
        <v>31</v>
      </c>
      <c r="AB6" s="24">
        <v>1</v>
      </c>
      <c r="AC6" s="24">
        <v>2019</v>
      </c>
      <c r="AD6" s="24" t="e">
        <f>HLOOKUP($D$9,Degree_Days_Table[[#All],[1. London (Thames Valley)]:[18. North West Scotland]],Y6,FALSE)</f>
        <v>#N/A</v>
      </c>
      <c r="AE6" s="24" t="e">
        <f>HLOOKUP($D$9,Degree_Days_Table3[[#Headers],[#Data],[1. London (Thames Valley)]:[18. North West Scotland]],Y6,FALSE)</f>
        <v>#N/A</v>
      </c>
      <c r="AF6" s="25" t="s">
        <v>106</v>
      </c>
      <c r="AG6" s="26">
        <v>0.18385000000000001</v>
      </c>
    </row>
    <row r="7" spans="1:42" ht="39.950000000000003" customHeight="1" x14ac:dyDescent="0.2">
      <c r="B7" s="17"/>
      <c r="C7" s="145" t="s">
        <v>107</v>
      </c>
      <c r="D7" s="146"/>
      <c r="E7" s="139"/>
      <c r="F7" s="147"/>
      <c r="G7" s="17"/>
      <c r="Y7" s="24">
        <v>3</v>
      </c>
      <c r="Z7" s="24" t="s">
        <v>71</v>
      </c>
      <c r="AA7" s="24">
        <v>28</v>
      </c>
      <c r="AB7" s="24">
        <v>2</v>
      </c>
      <c r="AC7" s="24">
        <v>2019</v>
      </c>
      <c r="AD7" s="24" t="e">
        <f>HLOOKUP($D$9,Degree_Days_Table[[#All],[1. London (Thames Valley)]:[18. North West Scotland]],Y7,FALSE)</f>
        <v>#N/A</v>
      </c>
      <c r="AE7" s="24" t="e">
        <f>HLOOKUP($D$9,Degree_Days_Table3[[#Headers],[#Data],[1. London (Thames Valley)]:[18. North West Scotland]],Y7,FALSE)</f>
        <v>#N/A</v>
      </c>
      <c r="AF7" s="27" t="s">
        <v>108</v>
      </c>
      <c r="AG7" s="26">
        <v>0.25675999999999999</v>
      </c>
    </row>
    <row r="8" spans="1:42" ht="39.950000000000003" customHeight="1" x14ac:dyDescent="0.2">
      <c r="B8" s="17"/>
      <c r="C8" s="81" t="s">
        <v>109</v>
      </c>
      <c r="D8" s="140"/>
      <c r="E8" s="148" t="s">
        <v>110</v>
      </c>
      <c r="F8" s="144"/>
      <c r="G8" s="17"/>
      <c r="J8" s="85"/>
      <c r="K8" s="85"/>
      <c r="Y8" s="24">
        <v>4</v>
      </c>
      <c r="Z8" s="24" t="s">
        <v>72</v>
      </c>
      <c r="AA8" s="24">
        <v>31</v>
      </c>
      <c r="AB8" s="24">
        <v>3</v>
      </c>
      <c r="AC8" s="24">
        <v>2019</v>
      </c>
      <c r="AD8" s="24" t="e">
        <f>HLOOKUP($D$9,Degree_Days_Table[[#All],[1. London (Thames Valley)]:[18. North West Scotland]],Y8,FALSE)</f>
        <v>#N/A</v>
      </c>
      <c r="AE8" s="24" t="e">
        <f>HLOOKUP($D$9,Degree_Days_Table3[[#Headers],[#Data],[1. London (Thames Valley)]:[18. North West Scotland]],Y8,FALSE)</f>
        <v>#N/A</v>
      </c>
      <c r="AF8" s="27" t="s">
        <v>111</v>
      </c>
      <c r="AG8" s="26">
        <v>0.26782</v>
      </c>
    </row>
    <row r="9" spans="1:42" ht="39.950000000000003" customHeight="1" x14ac:dyDescent="0.2">
      <c r="B9" s="17"/>
      <c r="C9" s="81" t="s">
        <v>112</v>
      </c>
      <c r="D9" s="140"/>
      <c r="E9" s="81" t="s">
        <v>113</v>
      </c>
      <c r="F9" s="149"/>
      <c r="G9" s="17"/>
      <c r="Y9" s="24">
        <v>5</v>
      </c>
      <c r="Z9" s="24" t="s">
        <v>73</v>
      </c>
      <c r="AA9" s="24">
        <v>30</v>
      </c>
      <c r="AB9" s="24">
        <v>4</v>
      </c>
      <c r="AC9" s="24">
        <v>2019</v>
      </c>
      <c r="AD9" s="24" t="e">
        <f>HLOOKUP($D$9,Degree_Days_Table[[#All],[1. London (Thames Valley)]:[18. North West Scotland]],Y9,FALSE)</f>
        <v>#N/A</v>
      </c>
      <c r="AE9" s="24" t="e">
        <f>HLOOKUP($D$9,Degree_Days_Table3[[#Headers],[#Data],[1. London (Thames Valley)]:[18. North West Scotland]],Y9,FALSE)</f>
        <v>#N/A</v>
      </c>
      <c r="AF9" s="27" t="s">
        <v>114</v>
      </c>
      <c r="AG9" s="26">
        <v>0.24675</v>
      </c>
    </row>
    <row r="10" spans="1:42" ht="39.950000000000003" customHeight="1" x14ac:dyDescent="0.2">
      <c r="B10" s="17"/>
      <c r="C10" s="81" t="s">
        <v>115</v>
      </c>
      <c r="D10" s="140"/>
      <c r="E10" s="206" t="s">
        <v>116</v>
      </c>
      <c r="F10" s="206"/>
      <c r="G10" s="17"/>
      <c r="Y10" s="24">
        <v>6</v>
      </c>
      <c r="Z10" s="24" t="s">
        <v>74</v>
      </c>
      <c r="AA10" s="24">
        <v>31</v>
      </c>
      <c r="AB10" s="24">
        <v>5</v>
      </c>
      <c r="AC10" s="24">
        <v>2019</v>
      </c>
      <c r="AD10" s="24" t="e">
        <f>HLOOKUP($D$9,Degree_Days_Table[[#All],[1. London (Thames Valley)]:[18. North West Scotland]],Y10,FALSE)</f>
        <v>#N/A</v>
      </c>
      <c r="AE10" s="24" t="e">
        <f>HLOOKUP($D$9,Degree_Days_Table3[[#Headers],[#Data],[1. London (Thames Valley)]:[18. North West Scotland]],Y10,FALSE)</f>
        <v>#N/A</v>
      </c>
      <c r="AF10" s="27" t="s">
        <v>117</v>
      </c>
      <c r="AG10" s="26">
        <v>0.33183000000000001</v>
      </c>
    </row>
    <row r="11" spans="1:42" ht="39.950000000000003" customHeight="1" x14ac:dyDescent="0.2">
      <c r="B11" s="17"/>
      <c r="C11" s="150" t="s">
        <v>118</v>
      </c>
      <c r="D11" s="151"/>
      <c r="E11" s="206"/>
      <c r="F11" s="210"/>
      <c r="G11" s="17"/>
      <c r="H11" s="136"/>
      <c r="Y11" s="24">
        <v>7</v>
      </c>
      <c r="Z11" s="24" t="s">
        <v>75</v>
      </c>
      <c r="AA11" s="24">
        <v>30</v>
      </c>
      <c r="AB11" s="24">
        <v>6</v>
      </c>
      <c r="AC11" s="24">
        <v>2019</v>
      </c>
      <c r="AD11" s="24" t="e">
        <f>HLOOKUP($D$9,Degree_Days_Table[[#All],[1. London (Thames Valley)]:[18. North West Scotland]],Y11,FALSE)</f>
        <v>#N/A</v>
      </c>
      <c r="AE11" s="24" t="e">
        <f>HLOOKUP($D$9,Degree_Days_Table3[[#Headers],[#Data],[1. London (Thames Valley)]:[18. North West Scotland]],Y11,FALSE)</f>
        <v>#N/A</v>
      </c>
      <c r="AF11" s="27" t="s">
        <v>119</v>
      </c>
      <c r="AG11" s="26">
        <v>0.21446999999999999</v>
      </c>
    </row>
    <row r="12" spans="1:42" ht="15" customHeight="1" x14ac:dyDescent="0.2">
      <c r="B12" s="17"/>
      <c r="C12" s="152"/>
      <c r="D12" s="33"/>
      <c r="E12" s="33"/>
      <c r="F12" s="153"/>
      <c r="G12" s="17"/>
      <c r="Y12" s="24">
        <v>8</v>
      </c>
      <c r="Z12" s="24" t="s">
        <v>76</v>
      </c>
      <c r="AA12" s="24">
        <v>31</v>
      </c>
      <c r="AB12" s="24">
        <v>7</v>
      </c>
      <c r="AC12" s="24">
        <v>2019</v>
      </c>
      <c r="AD12" s="24" t="e">
        <f>HLOOKUP($D$9,Degree_Days_Table[[#All],[1. London (Thames Valley)]:[18. North West Scotland]],Y12,FALSE)</f>
        <v>#N/A</v>
      </c>
      <c r="AE12" s="24" t="e">
        <f>HLOOKUP($D$9,Degree_Days_Table3[[#Headers],[#Data],[1. London (Thames Valley)]:[18. North West Scotland]],Y12,FALSE)</f>
        <v>#N/A</v>
      </c>
      <c r="AF12" s="27" t="s">
        <v>120</v>
      </c>
      <c r="AG12" s="26">
        <v>3.7440000000000001E-2</v>
      </c>
    </row>
    <row r="13" spans="1:42" ht="39.950000000000003" customHeight="1" x14ac:dyDescent="0.2">
      <c r="B13" s="17"/>
      <c r="C13" s="145" t="s">
        <v>121</v>
      </c>
      <c r="D13" s="154" t="str">
        <f>IFERROR(IF(D9="","",IF(F9="","",IF(F9=15.5,AE23,IF(F9=18.5,AE24))))," ")</f>
        <v/>
      </c>
      <c r="E13" s="81" t="s">
        <v>122</v>
      </c>
      <c r="F13" s="155" t="str">
        <f>IFERROR(IF(F8="","",(IF(D8="","",AG23)))," ")</f>
        <v/>
      </c>
      <c r="G13" s="17"/>
      <c r="H13" s="89"/>
      <c r="I13" s="86"/>
      <c r="Y13" s="24">
        <v>9</v>
      </c>
      <c r="Z13" s="24" t="s">
        <v>77</v>
      </c>
      <c r="AA13" s="24">
        <v>31</v>
      </c>
      <c r="AB13" s="24">
        <v>8</v>
      </c>
      <c r="AC13" s="24">
        <v>2019</v>
      </c>
      <c r="AD13" s="24" t="e">
        <f>HLOOKUP($D$9,Degree_Days_Table[[#All],[1. London (Thames Valley)]:[18. North West Scotland]],Y13,FALSE)</f>
        <v>#N/A</v>
      </c>
      <c r="AE13" s="24" t="e">
        <f>HLOOKUP($D$9,Degree_Days_Table3[[#Headers],[#Data],[1. London (Thames Valley)]:[18. North West Scotland]],Y13,FALSE)</f>
        <v>#N/A</v>
      </c>
      <c r="AF13" s="27" t="s">
        <v>123</v>
      </c>
      <c r="AG13" s="26">
        <v>7.92E-3</v>
      </c>
    </row>
    <row r="14" spans="1:42" ht="15" customHeight="1" x14ac:dyDescent="0.2">
      <c r="B14" s="17"/>
      <c r="C14" s="156"/>
      <c r="D14" s="156"/>
      <c r="E14" s="156"/>
      <c r="F14" s="156"/>
      <c r="G14" s="17"/>
      <c r="H14" s="87"/>
      <c r="I14" s="87"/>
      <c r="Y14" s="24">
        <v>10</v>
      </c>
      <c r="Z14" s="24" t="s">
        <v>78</v>
      </c>
      <c r="AA14" s="24">
        <v>30</v>
      </c>
      <c r="AB14" s="24">
        <v>9</v>
      </c>
      <c r="AC14" s="24">
        <v>2019</v>
      </c>
      <c r="AD14" s="24" t="e">
        <f>HLOOKUP($D$9,Degree_Days_Table[[#All],[1. London (Thames Valley)]:[18. North West Scotland]],Y14,FALSE)</f>
        <v>#N/A</v>
      </c>
      <c r="AE14" s="24" t="e">
        <f>HLOOKUP($D$9,Degree_Days_Table3[[#Headers],[#Data],[1. London (Thames Valley)]:[18. North West Scotland]],Y14,FALSE)</f>
        <v>#N/A</v>
      </c>
      <c r="AF14" s="27" t="s">
        <v>124</v>
      </c>
      <c r="AG14" s="26">
        <v>2.4049999999999998E-2</v>
      </c>
    </row>
    <row r="15" spans="1:42" ht="39.950000000000003" customHeight="1" x14ac:dyDescent="0.2">
      <c r="B15" s="17"/>
      <c r="C15" s="81" t="s">
        <v>125</v>
      </c>
      <c r="D15" s="157"/>
      <c r="E15" s="81" t="s">
        <v>126</v>
      </c>
      <c r="F15" s="158"/>
      <c r="G15" s="17"/>
      <c r="H15" s="88"/>
      <c r="I15" s="88"/>
      <c r="Y15" s="24">
        <v>11</v>
      </c>
      <c r="Z15" s="24" t="s">
        <v>79</v>
      </c>
      <c r="AA15" s="24">
        <v>31</v>
      </c>
      <c r="AB15" s="24">
        <v>10</v>
      </c>
      <c r="AC15" s="24">
        <v>2019</v>
      </c>
      <c r="AD15" s="24" t="e">
        <f>HLOOKUP($D$9,Degree_Days_Table[[#All],[1. London (Thames Valley)]:[18. North West Scotland]],Y15,FALSE)</f>
        <v>#N/A</v>
      </c>
      <c r="AE15" s="24" t="e">
        <f>HLOOKUP($D$9,Degree_Days_Table3[[#Headers],[#Data],[1. London (Thames Valley)]:[18. North West Scotland]],Y15,FALSE)</f>
        <v>#N/A</v>
      </c>
      <c r="AG15" s="29"/>
    </row>
    <row r="16" spans="1:42" ht="15" customHeight="1" x14ac:dyDescent="0.2">
      <c r="B16" s="17"/>
      <c r="C16" s="156"/>
      <c r="D16" s="156"/>
      <c r="E16" s="156"/>
      <c r="F16" s="156"/>
      <c r="G16" s="17"/>
      <c r="H16" s="87"/>
      <c r="I16" s="87"/>
      <c r="Y16" s="24">
        <v>12</v>
      </c>
      <c r="Z16" s="24" t="s">
        <v>80</v>
      </c>
      <c r="AA16" s="24">
        <v>30</v>
      </c>
      <c r="AB16" s="24">
        <v>11</v>
      </c>
      <c r="AC16" s="24">
        <v>2019</v>
      </c>
      <c r="AD16" s="24" t="e">
        <f>HLOOKUP($D$9,Degree_Days_Table[[#All],[1. London (Thames Valley)]:[18. North West Scotland]],Y16,FALSE)</f>
        <v>#N/A</v>
      </c>
      <c r="AE16" s="24" t="e">
        <f>HLOOKUP($D$9,Degree_Days_Table3[[#Headers],[#Data],[1. London (Thames Valley)]:[18. North West Scotland]],Y16,FALSE)</f>
        <v>#N/A</v>
      </c>
      <c r="AG16" s="29"/>
    </row>
    <row r="17" spans="1:33" ht="39.950000000000003" customHeight="1" x14ac:dyDescent="0.2">
      <c r="B17" s="17"/>
      <c r="C17" s="81" t="s">
        <v>127</v>
      </c>
      <c r="D17" s="159"/>
      <c r="E17" s="81" t="s">
        <v>91</v>
      </c>
      <c r="F17" s="160"/>
      <c r="G17" s="17"/>
      <c r="H17" s="88"/>
      <c r="I17" s="88"/>
      <c r="Y17" s="24">
        <v>13</v>
      </c>
      <c r="Z17" s="24" t="s">
        <v>81</v>
      </c>
      <c r="AA17" s="24">
        <v>31</v>
      </c>
      <c r="AB17" s="24">
        <v>12</v>
      </c>
      <c r="AC17" s="24">
        <v>2019</v>
      </c>
      <c r="AD17" s="24" t="e">
        <f>HLOOKUP($D$9,Degree_Days_Table[[#All],[1. London (Thames Valley)]:[18. North West Scotland]],Y17,FALSE)</f>
        <v>#N/A</v>
      </c>
      <c r="AE17" s="24" t="e">
        <f>HLOOKUP($D$9,Degree_Days_Table3[[#Headers],[#Data],[1. London (Thames Valley)]:[18. North West Scotland]],Y17,FALSE)</f>
        <v>#N/A</v>
      </c>
    </row>
    <row r="18" spans="1:33" ht="15" customHeight="1" x14ac:dyDescent="0.2">
      <c r="B18" s="17"/>
      <c r="C18" s="148"/>
      <c r="D18" s="161"/>
      <c r="E18" s="148"/>
      <c r="F18" s="162"/>
      <c r="G18" s="17"/>
      <c r="H18" s="88"/>
      <c r="I18" s="88"/>
    </row>
    <row r="19" spans="1:33" ht="39.950000000000003" customHeight="1" x14ac:dyDescent="0.2">
      <c r="B19" s="17"/>
      <c r="C19" s="81" t="s">
        <v>128</v>
      </c>
      <c r="D19" s="133"/>
      <c r="E19" s="81" t="s">
        <v>129</v>
      </c>
      <c r="F19" s="158"/>
      <c r="G19" s="17"/>
      <c r="H19" s="88"/>
      <c r="I19" s="88"/>
    </row>
    <row r="20" spans="1:33" ht="24.95" customHeight="1" x14ac:dyDescent="0.2">
      <c r="B20" s="17"/>
      <c r="C20" s="209" t="s">
        <v>130</v>
      </c>
      <c r="D20" s="209"/>
      <c r="E20" s="209"/>
      <c r="F20" s="209"/>
      <c r="G20" s="17"/>
      <c r="H20" s="88"/>
      <c r="I20" s="88"/>
      <c r="Z20" s="138" t="s">
        <v>131</v>
      </c>
      <c r="AA20" s="19" t="s">
        <v>102</v>
      </c>
      <c r="AB20" s="19">
        <v>15.5</v>
      </c>
      <c r="AC20" s="19">
        <v>18.5</v>
      </c>
    </row>
    <row r="21" spans="1:33" ht="39.950000000000003" customHeight="1" x14ac:dyDescent="0.2">
      <c r="A21" s="90"/>
      <c r="B21" s="32"/>
      <c r="C21" s="207" t="s">
        <v>132</v>
      </c>
      <c r="D21" s="207"/>
      <c r="E21" s="207" t="s">
        <v>133</v>
      </c>
      <c r="F21" s="207"/>
      <c r="G21" s="32"/>
      <c r="H21" s="87"/>
      <c r="Z21" s="137" t="s">
        <v>134</v>
      </c>
      <c r="AA21" s="19">
        <f>SUM(AA16:AA17,AA6:AA7)</f>
        <v>120</v>
      </c>
      <c r="AB21" s="19" t="e">
        <f>SUM(AD16:AD17,AD6:AD7)</f>
        <v>#N/A</v>
      </c>
      <c r="AC21" s="19" t="e">
        <f>SUM(AE16:AE17,AE6:AE7)</f>
        <v>#N/A</v>
      </c>
    </row>
    <row r="22" spans="1:33" ht="54.95" customHeight="1" x14ac:dyDescent="0.2">
      <c r="A22" s="91"/>
      <c r="B22" s="30"/>
      <c r="C22" s="208" t="s">
        <v>135</v>
      </c>
      <c r="D22" s="208"/>
      <c r="E22" s="208" t="s">
        <v>135</v>
      </c>
      <c r="F22" s="208"/>
      <c r="G22" s="30"/>
      <c r="H22" s="88"/>
      <c r="I22" s="87"/>
      <c r="AE22" s="20" t="s">
        <v>136</v>
      </c>
      <c r="AF22" s="20"/>
      <c r="AG22" s="20" t="s">
        <v>137</v>
      </c>
    </row>
    <row r="23" spans="1:33" ht="39.950000000000003" customHeight="1" x14ac:dyDescent="0.2">
      <c r="A23" s="91"/>
      <c r="B23" s="30"/>
      <c r="C23" s="201" t="s">
        <v>138</v>
      </c>
      <c r="D23" s="201"/>
      <c r="E23" s="201" t="s">
        <v>139</v>
      </c>
      <c r="F23" s="201"/>
      <c r="G23" s="30"/>
      <c r="Z23" s="39">
        <f>D8</f>
        <v>0</v>
      </c>
      <c r="AA23" s="24"/>
      <c r="AB23" s="24" t="e">
        <f>VLOOKUP(Z23,Z6:AB17,3,FALSE)</f>
        <v>#N/A</v>
      </c>
      <c r="AC23" s="24"/>
      <c r="AD23" s="31">
        <v>15.5</v>
      </c>
      <c r="AE23" s="134" t="e">
        <f ca="1">IF((AB23-AB24)&lt;0,SUM(INDIRECT("Ad"&amp;(AB23+5)):INDIRECT("Ad"&amp;(AB24+5))),(SUM(INDIRECT("Ad"&amp;(AB23+5)):AD17)+SUM(AD6:INDIRECT("Ad"&amp;(AB24+5)))))</f>
        <v>#N/A</v>
      </c>
      <c r="AF23" s="24"/>
      <c r="AG23" s="24" t="e">
        <f ca="1">IF((AB23-AB24)&lt;0,SUM(INDIRECT("Aa"&amp;(AB23+5)):INDIRECT("Aa"&amp;(AB24+5))),(SUM(INDIRECT("Aa"&amp;(AB23+5)):AA17)+SUM(AA6:INDIRECT("Aa"&amp;(AB24+5)))))</f>
        <v>#N/A</v>
      </c>
    </row>
    <row r="24" spans="1:33" ht="62.45" customHeight="1" thickBot="1" x14ac:dyDescent="0.25">
      <c r="A24" s="91"/>
      <c r="B24" s="30"/>
      <c r="C24" s="203" t="s">
        <v>140</v>
      </c>
      <c r="D24" s="204"/>
      <c r="E24" s="204" t="s">
        <v>141</v>
      </c>
      <c r="F24" s="204"/>
      <c r="G24" s="30"/>
      <c r="H24" s="88"/>
      <c r="I24" s="88"/>
      <c r="K24" s="83"/>
      <c r="Z24" s="39">
        <f>F8</f>
        <v>0</v>
      </c>
      <c r="AA24" s="24"/>
      <c r="AB24" s="24" t="e">
        <f>VLOOKUP(Z24,Z6:AB17,3,FALSE)</f>
        <v>#N/A</v>
      </c>
      <c r="AC24" s="24"/>
      <c r="AD24" s="31">
        <v>18.5</v>
      </c>
      <c r="AE24" s="134" t="e">
        <f ca="1">IF((AB23-AB24)&lt;0,SUM(INDIRECT("Ae"&amp;(AB23+5)):INDIRECT("Ae"&amp;(AB24+5))),(SUM(INDIRECT("Ae"&amp;(AB23+5)):AE17)+SUM(AE6:INDIRECT("Ae"&amp;(AB24+5)))))</f>
        <v>#N/A</v>
      </c>
      <c r="AF24" s="24"/>
      <c r="AG24" s="24" t="e">
        <f ca="1">IF((AB23-AB24)&lt;0,SUM(INDIRECT("Aa"&amp;(AB23+5)):INDIRECT("aa"&amp;(AB24+5))),(SUM(INDIRECT("aa"&amp;(AB23+5)):AA17)+SUM(AA6:INDIRECT("Aa"&amp;(AB24+5)))))</f>
        <v>#N/A</v>
      </c>
    </row>
    <row r="25" spans="1:33" ht="24.95" customHeight="1" x14ac:dyDescent="0.2">
      <c r="B25" s="17"/>
      <c r="C25" s="202" t="s">
        <v>142</v>
      </c>
      <c r="D25" s="202"/>
      <c r="E25" s="202"/>
      <c r="F25" s="202"/>
      <c r="G25" s="17"/>
      <c r="H25" s="88"/>
      <c r="I25" s="88"/>
      <c r="K25" s="83"/>
      <c r="Y25" s="34" t="s">
        <v>143</v>
      </c>
      <c r="Z25" s="40" t="str">
        <f>IFERROR((IF(C23="","",(1/C23))),"")</f>
        <v/>
      </c>
    </row>
    <row r="26" spans="1:33" ht="39.950000000000003" customHeight="1" x14ac:dyDescent="0.2">
      <c r="A26" s="91"/>
      <c r="B26" s="30"/>
      <c r="C26" s="163" t="s">
        <v>144</v>
      </c>
      <c r="D26" s="164" t="str">
        <f>IFERROR(IF(OR(F15="",D17="",F19="",D13="",F13="",F17="",D19="",C23=""),"",(D13*F19*C23*D15*(F15/F13)/1000)),"")</f>
        <v/>
      </c>
      <c r="E26" s="163" t="s">
        <v>144</v>
      </c>
      <c r="F26" s="164" t="str">
        <f>IFERROR(IF(OR(D15="",F15="",D17="",F19="",D13="",F13="",F17="",D19="",E23="",C23=""),"",(D13*F19*Z28*D15*(F15/F13)/1000)),"")</f>
        <v/>
      </c>
      <c r="G26" s="30"/>
      <c r="I26" s="88"/>
      <c r="Y26" s="35" t="s">
        <v>145</v>
      </c>
      <c r="Z26" s="41" t="str">
        <f>IFERROR((IF(E23="","",(1/E23))),"")</f>
        <v/>
      </c>
      <c r="AG26" s="29"/>
    </row>
    <row r="27" spans="1:33" ht="39.950000000000003" customHeight="1" x14ac:dyDescent="0.2">
      <c r="A27" s="91"/>
      <c r="B27" s="30"/>
      <c r="C27" s="81" t="s">
        <v>146</v>
      </c>
      <c r="D27" s="126" t="str">
        <f>IFERROR(D26/D11,"")</f>
        <v/>
      </c>
      <c r="E27" s="81" t="s">
        <v>147</v>
      </c>
      <c r="F27" s="126" t="str">
        <f>IFERROR(F26/D11,"")</f>
        <v/>
      </c>
      <c r="G27" s="30"/>
      <c r="Y27" s="35" t="s">
        <v>148</v>
      </c>
      <c r="Z27" s="42" t="str">
        <f>IFERROR(IF(D19="Replacement",Z26,(Z25+Z26)),"")</f>
        <v/>
      </c>
    </row>
    <row r="28" spans="1:33" ht="24.95" customHeight="1" thickBot="1" x14ac:dyDescent="0.25">
      <c r="A28" s="91"/>
      <c r="B28" s="30"/>
      <c r="C28" s="79"/>
      <c r="D28" s="79"/>
      <c r="E28" s="79"/>
      <c r="F28" s="79"/>
      <c r="G28" s="30"/>
      <c r="Y28" s="36" t="s">
        <v>149</v>
      </c>
      <c r="Z28" s="43" t="str">
        <f>IFERROR(1/(Z27),"")</f>
        <v/>
      </c>
    </row>
    <row r="29" spans="1:33" ht="39.950000000000003" customHeight="1" thickBot="1" x14ac:dyDescent="0.25">
      <c r="A29" s="91"/>
      <c r="B29" s="30"/>
      <c r="C29" s="165"/>
      <c r="D29" s="81" t="s">
        <v>93</v>
      </c>
      <c r="E29" s="126" t="str">
        <f>IF(F26="","",D26-F26)</f>
        <v/>
      </c>
      <c r="F29" s="166"/>
      <c r="G29" s="30"/>
      <c r="Y29" s="37" t="s">
        <v>150</v>
      </c>
      <c r="Z29" s="38" t="s">
        <v>151</v>
      </c>
    </row>
    <row r="30" spans="1:33" ht="39.950000000000003" customHeight="1" x14ac:dyDescent="0.2">
      <c r="A30" s="91"/>
      <c r="B30" s="30"/>
      <c r="C30" s="165"/>
      <c r="D30" s="81" t="s">
        <v>94</v>
      </c>
      <c r="E30" s="126" t="str">
        <f>IF(OR(D11="",E29=""),"",E29/D11)</f>
        <v/>
      </c>
      <c r="F30" s="167"/>
      <c r="G30" s="30"/>
    </row>
    <row r="31" spans="1:33" ht="39.950000000000003" customHeight="1" x14ac:dyDescent="0.25">
      <c r="A31" s="91"/>
      <c r="B31" s="30"/>
      <c r="C31" s="17"/>
      <c r="D31" s="81" t="s">
        <v>95</v>
      </c>
      <c r="E31" s="127" t="str">
        <f>IF(OR(E30="",E29=""),"",E30*(D17/100))</f>
        <v/>
      </c>
      <c r="F31" s="167"/>
      <c r="G31" s="30"/>
      <c r="Y31" s="44" t="s">
        <v>152</v>
      </c>
    </row>
    <row r="32" spans="1:33" ht="39.950000000000003" customHeight="1" x14ac:dyDescent="0.25">
      <c r="A32" s="91"/>
      <c r="B32" s="30"/>
      <c r="C32" s="17"/>
      <c r="D32" s="81" t="s">
        <v>96</v>
      </c>
      <c r="E32" s="129" t="str">
        <f>IF(E29="","",(D7/E31))</f>
        <v/>
      </c>
      <c r="F32" s="17"/>
      <c r="G32" s="30"/>
      <c r="Y32" s="44" t="s">
        <v>153</v>
      </c>
    </row>
    <row r="33" spans="2:25" ht="15" customHeight="1" x14ac:dyDescent="0.25">
      <c r="B33" s="17"/>
      <c r="C33" s="17"/>
      <c r="D33" s="33"/>
      <c r="E33" s="33"/>
      <c r="F33" s="17"/>
      <c r="G33" s="17"/>
      <c r="Y33" s="44" t="s">
        <v>154</v>
      </c>
    </row>
    <row r="34" spans="2:25" ht="15" customHeight="1" x14ac:dyDescent="0.25">
      <c r="B34" s="92"/>
      <c r="C34" s="77"/>
      <c r="D34" s="80"/>
      <c r="E34" s="80"/>
      <c r="F34" s="77"/>
      <c r="G34" s="92"/>
      <c r="Y34" s="44" t="s">
        <v>155</v>
      </c>
    </row>
    <row r="35" spans="2:25" ht="15" x14ac:dyDescent="0.25">
      <c r="Y35" s="44" t="s">
        <v>156</v>
      </c>
    </row>
    <row r="36" spans="2:25" ht="15" x14ac:dyDescent="0.25">
      <c r="Y36" s="44" t="s">
        <v>157</v>
      </c>
    </row>
    <row r="37" spans="2:25" ht="15" x14ac:dyDescent="0.25">
      <c r="Y37" s="44" t="s">
        <v>158</v>
      </c>
    </row>
    <row r="38" spans="2:25" ht="15" x14ac:dyDescent="0.25">
      <c r="Y38" s="44" t="s">
        <v>159</v>
      </c>
    </row>
  </sheetData>
  <sheetProtection algorithmName="SHA-512" hashValue="xGudnjdgjRNrIaTI7XsSgxJ3o+v8qPxv+6P3GoVFZVE2Lev8VsK+nHJ0ScwYwh+3zGOO8TYqs7PT2fGfQb5kFw==" saltValue="JE+fID7NjNLnPylb+jI5/A==" spinCount="100000" sheet="1" objects="1" scenarios="1"/>
  <dataConsolidate/>
  <mergeCells count="13">
    <mergeCell ref="C25:F25"/>
    <mergeCell ref="C22:D22"/>
    <mergeCell ref="E22:F22"/>
    <mergeCell ref="C23:D23"/>
    <mergeCell ref="E23:F23"/>
    <mergeCell ref="C24:D24"/>
    <mergeCell ref="E24:F24"/>
    <mergeCell ref="C5:E5"/>
    <mergeCell ref="D6:F6"/>
    <mergeCell ref="E10:F11"/>
    <mergeCell ref="C20:F20"/>
    <mergeCell ref="C21:D21"/>
    <mergeCell ref="E21:F21"/>
  </mergeCells>
  <conditionalFormatting sqref="F15">
    <cfRule type="expression" dxfId="17" priority="9">
      <formula>$F$15&gt;$F$13</formula>
    </cfRule>
  </conditionalFormatting>
  <conditionalFormatting sqref="C22:F22">
    <cfRule type="containsText" dxfId="16" priority="8" operator="containsText" text="Description">
      <formula>NOT(ISERROR(SEARCH("Description",C22)))</formula>
    </cfRule>
  </conditionalFormatting>
  <conditionalFormatting sqref="C24">
    <cfRule type="containsText" dxfId="15" priority="6" operator="containsText" text="U-value of Current Building Fabric">
      <formula>NOT(ISERROR(SEARCH("U-value of Current Building Fabric",C24)))</formula>
    </cfRule>
    <cfRule type="containsText" dxfId="14" priority="7" operator="containsText" text="U-value of New Insulation">
      <formula>NOT(ISERROR(SEARCH("U-value of New Insulation",C24)))</formula>
    </cfRule>
  </conditionalFormatting>
  <conditionalFormatting sqref="E10">
    <cfRule type="containsText" dxfId="13" priority="5" operator="containsText" text="As applicable,">
      <formula>NOT(ISERROR(SEARCH("As applicable,",E10)))</formula>
    </cfRule>
  </conditionalFormatting>
  <conditionalFormatting sqref="E23:F23">
    <cfRule type="containsText" dxfId="12" priority="3" operator="containsText" text="U-value of Current Building Fabric">
      <formula>NOT(ISERROR(SEARCH("U-value of Current Building Fabric",E23)))</formula>
    </cfRule>
    <cfRule type="containsText" dxfId="11" priority="4" operator="containsText" text="U-value of New Insulation">
      <formula>NOT(ISERROR(SEARCH("U-value of New Insulation",E23)))</formula>
    </cfRule>
  </conditionalFormatting>
  <conditionalFormatting sqref="C23:D23">
    <cfRule type="containsText" dxfId="10" priority="1" operator="containsText" text="U-value of Current Building Fabric">
      <formula>NOT(ISERROR(SEARCH("U-value of Current Building Fabric",C23)))</formula>
    </cfRule>
    <cfRule type="containsText" dxfId="9" priority="2" operator="containsText" text="U-value of New Insulation">
      <formula>NOT(ISERROR(SEARCH("U-value of New Insulation",C23)))</formula>
    </cfRule>
  </conditionalFormatting>
  <dataValidations count="21">
    <dataValidation allowBlank="1" showInputMessage="1" showErrorMessage="1" prompt="U-value of new insulation (W/m2.K)" sqref="E23:F23" xr:uid="{00E371E2-1F53-4841-A127-4E9C09820272}"/>
    <dataValidation allowBlank="1" showInputMessage="1" showErrorMessage="1" prompt="U-value of current building fabric (W/m2.K)" sqref="C23:D23" xr:uid="{F507C5E5-73BB-4B43-BBB9-AAA0FE4AC5BC}"/>
    <dataValidation type="list" allowBlank="1" showInputMessage="1" prompt="Please select whether the new insulation is, in addition to the current building fabric, or replacing current insulation." sqref="D19" xr:uid="{2840B08B-3F41-474B-89BA-2922E8C0BC95}">
      <formula1>$Z$29:$Z$29</formula1>
    </dataValidation>
    <dataValidation type="list" allowBlank="1" showInputMessage="1" showErrorMessage="1" errorTitle="Value Error" error="Boiler efficiency cannot exceed 100%." prompt="Please select whether the new insulation is, in addition to the current building fabric, or replacing current insulation." sqref="D19" xr:uid="{54690067-64D9-43A9-B3D0-13B23FA31EA1}">
      <formula1>$Y$29:$Z$29</formula1>
    </dataValidation>
    <dataValidation type="list" allowBlank="1" showInputMessage="1" showErrorMessage="1" sqref="F17" xr:uid="{DB8B6065-5F21-46C6-8AED-6059327E8117}">
      <formula1>$Y$31:$Y$38</formula1>
    </dataValidation>
    <dataValidation type="textLength" operator="lessThan" allowBlank="1" showInputMessage="1" showErrorMessage="1" errorTitle="Value Error" error="Boiler efficiency cannot exceed 100%." sqref="E10:F11" xr:uid="{395C349D-F5D6-4366-90DA-44A7BE01974F}">
      <formula1>100</formula1>
    </dataValidation>
    <dataValidation type="list" allowBlank="1" showInputMessage="1" showErrorMessage="1" prompt="15.5 degree base for general purpose buildings (e.g. offices)._x000a__x000a_18.5 degree base for specialist use buildings requiring a higher maintained internal temperature (e.g. hospital wards)." sqref="F9" xr:uid="{F6B9B5BF-B3F2-4163-97C7-687B3347EAAB}">
      <formula1>$AD$5:$AE$5</formula1>
    </dataValidation>
    <dataValidation type="decimal" allowBlank="1" showInputMessage="1" showErrorMessage="1" errorTitle="Value Error" error="Boiler efficiency cannot exceed 100%." sqref="D11" xr:uid="{00D4E2BD-0836-409A-866D-07F04E4AA125}">
      <formula1>0</formula1>
      <formula2>1</formula2>
    </dataValidation>
    <dataValidation type="decimal" allowBlank="1" showInputMessage="1" showErrorMessage="1" sqref="D18" xr:uid="{3F0AF7AE-631F-4680-8BCD-473F0AD47D8B}">
      <formula1>0</formula1>
      <formula2>99999999</formula2>
    </dataValidation>
    <dataValidation type="decimal" allowBlank="1" showInputMessage="1" showErrorMessage="1" errorTitle="Value Error" error="Please input hours of heating per day." prompt="Average number of hours the area will be heated per day during the heating season." sqref="D15" xr:uid="{A334AB1C-2921-4928-B55E-1C8F8F854A06}">
      <formula1>0</formula1>
      <formula2>24</formula2>
    </dataValidation>
    <dataValidation type="decimal" allowBlank="1" showInputMessage="1" showErrorMessage="1" sqref="D7" xr:uid="{7466246C-EE07-4377-8BD8-C30CA91F50CF}">
      <formula1>0</formula1>
      <formula2>99999999999</formula2>
    </dataValidation>
    <dataValidation type="textLength" allowBlank="1" showInputMessage="1" showErrorMessage="1" sqref="E22" xr:uid="{D176D834-BFFA-4ACC-9420-93B61BA3E498}">
      <formula1>0</formula1>
      <formula2>9999</formula2>
    </dataValidation>
    <dataValidation type="decimal" allowBlank="1" showInputMessage="1" showErrorMessage="1" sqref="F18:F19" xr:uid="{A263C260-8F8E-41A9-A1EF-FFA0A7D2B49A}">
      <formula1>0</formula1>
      <formula2>9999999</formula2>
    </dataValidation>
    <dataValidation type="whole" allowBlank="1" showInputMessage="1" showErrorMessage="1" errorTitle="Please Update Number" error="Number of days heated during heating season cannot exceed total number of days in heating season." prompt="The total number of days the area will be heated during the heating season. This must not exceed the total number of days in the heating season." sqref="F15" xr:uid="{AA906F4B-DDCD-4B32-A149-DA00F17D81C8}">
      <formula1>0</formula1>
      <formula2>F13</formula2>
    </dataValidation>
    <dataValidation type="decimal" allowBlank="1" showInputMessage="1" showErrorMessage="1" errorTitle="Value Error" error="Please input average energy cost (p/kWh)." sqref="D17" xr:uid="{8BCA80CD-98D0-49D8-BF5A-11FA7890143D}">
      <formula1>0</formula1>
      <formula2>99999999</formula2>
    </dataValidation>
    <dataValidation type="decimal" allowBlank="1" showInputMessage="1" showErrorMessage="1" errorTitle="Value Error" error="Please input area to be insulated (m2)." sqref="F19" xr:uid="{DEFFC7F6-021E-4632-9F4A-AADC831ED764}">
      <formula1>0</formula1>
      <formula2>9999999</formula2>
    </dataValidation>
    <dataValidation type="list" allowBlank="1" showInputMessage="1" showErrorMessage="1" sqref="F8" xr:uid="{CBCF5706-62BF-4D85-8743-B29BAA1A546B}">
      <formula1>$Z$6:$Z$17</formula1>
    </dataValidation>
    <dataValidation type="list" allowBlank="1" showInputMessage="1" showErrorMessage="1" sqref="D10" xr:uid="{672090CF-BE69-4CD5-BB4D-A5A30119FF18}">
      <formula1>$AF$5:$AF$14</formula1>
    </dataValidation>
    <dataValidation type="list" allowBlank="1" showInputMessage="1" showErrorMessage="1" prompt="Months selected are inclusive i.e. November 1st - April 30th." sqref="D8" xr:uid="{715E0C51-B37D-4C7C-863A-F56A0A60038E}">
      <formula1>$Z$6:$Z$17</formula1>
    </dataValidation>
    <dataValidation allowBlank="1" showInputMessage="1" showErrorMessage="1" prompt="This is calculated using the region selected above and the 'Degree Day Data' tab." sqref="D13" xr:uid="{2F1D723D-B72A-4E80-8CD9-A3F18B95AD80}"/>
    <dataValidation type="list" allowBlank="1" showInputMessage="1" showErrorMessage="1" prompt="Please consult the map from the 'Degree Day Regions' tab if you do not know your area." sqref="D9" xr:uid="{2C9F9857-C65D-4FFE-8E61-80CD81776C0D}">
      <formula1>$Y$4:$AP$4</formula1>
    </dataValidation>
  </dataValidations>
  <pageMargins left="0.70866141732283472" right="0.70866141732283472" top="0.74803149606299213" bottom="0.74803149606299213" header="0.31496062992125984" footer="0.31496062992125984"/>
  <pageSetup paperSize="9" scale="6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CA64-2500-45DE-AB09-6362C799850D}">
  <sheetPr>
    <tabColor rgb="FF2DAE76"/>
    <pageSetUpPr fitToPage="1"/>
  </sheetPr>
  <dimension ref="A1:AP38"/>
  <sheetViews>
    <sheetView showGridLines="0" showRowColHeaders="0" zoomScale="70" zoomScaleNormal="70" workbookViewId="0"/>
  </sheetViews>
  <sheetFormatPr defaultColWidth="9.140625" defaultRowHeight="14.25" x14ac:dyDescent="0.2"/>
  <cols>
    <col min="1" max="2" width="3.7109375" style="83" customWidth="1"/>
    <col min="3" max="3" width="30.7109375" style="83" customWidth="1"/>
    <col min="4" max="5" width="30.7109375" style="84" customWidth="1"/>
    <col min="6" max="6" width="30.7109375" style="83" customWidth="1"/>
    <col min="7" max="7" width="3.7109375" style="83" customWidth="1"/>
    <col min="8" max="8" width="13.28515625" style="83" customWidth="1"/>
    <col min="9" max="10" width="3.5703125" style="83" customWidth="1"/>
    <col min="11" max="11" width="3.5703125" style="84" customWidth="1"/>
    <col min="12" max="24" width="3.5703125" style="83" customWidth="1"/>
    <col min="25" max="25" width="47.140625" style="17" hidden="1" customWidth="1"/>
    <col min="26" max="26" width="15.42578125" style="17" hidden="1" customWidth="1"/>
    <col min="27" max="27" width="10.42578125" style="17" hidden="1" customWidth="1"/>
    <col min="28" max="28" width="20.28515625" style="17" hidden="1" customWidth="1"/>
    <col min="29" max="29" width="14.140625" style="17" hidden="1" customWidth="1"/>
    <col min="30" max="30" width="15.5703125" style="17" hidden="1" customWidth="1"/>
    <col min="31" max="31" width="15.42578125" style="17" hidden="1" customWidth="1"/>
    <col min="32" max="32" width="16.140625" style="17" hidden="1" customWidth="1"/>
    <col min="33" max="33" width="29.42578125" style="17" hidden="1" customWidth="1"/>
    <col min="34" max="34" width="15.85546875" style="17" hidden="1" customWidth="1"/>
    <col min="35" max="35" width="15.28515625" style="17" hidden="1" customWidth="1"/>
    <col min="36" max="36" width="12.85546875" style="17" hidden="1" customWidth="1"/>
    <col min="37" max="37" width="16.140625" style="17" hidden="1" customWidth="1"/>
    <col min="38" max="38" width="14.85546875" style="17" hidden="1" customWidth="1"/>
    <col min="39" max="39" width="20.7109375" style="17" hidden="1" customWidth="1"/>
    <col min="40" max="40" width="9.28515625" style="17" hidden="1" customWidth="1"/>
    <col min="41" max="41" width="18.28515625" style="17" hidden="1" customWidth="1"/>
    <col min="42" max="42" width="28.140625" style="17" hidden="1" customWidth="1"/>
    <col min="43" max="51" width="9.140625" style="83" customWidth="1"/>
    <col min="52" max="16384" width="9.140625" style="83"/>
  </cols>
  <sheetData>
    <row r="1" spans="1:42" x14ac:dyDescent="0.2">
      <c r="Y1" s="83"/>
      <c r="Z1" s="83"/>
      <c r="AA1" s="83"/>
      <c r="AB1" s="83"/>
      <c r="AC1" s="83"/>
      <c r="AD1" s="83"/>
      <c r="AE1" s="83"/>
      <c r="AF1" s="83"/>
      <c r="AG1" s="83"/>
      <c r="AH1" s="83"/>
      <c r="AI1" s="83"/>
      <c r="AJ1" s="83"/>
      <c r="AK1" s="83"/>
      <c r="AL1" s="83"/>
      <c r="AM1" s="83"/>
      <c r="AN1" s="83"/>
      <c r="AO1" s="83"/>
      <c r="AP1" s="83"/>
    </row>
    <row r="2" spans="1:42" x14ac:dyDescent="0.2">
      <c r="B2" s="93"/>
      <c r="C2" s="93"/>
      <c r="D2" s="95"/>
      <c r="E2" s="95"/>
      <c r="F2" s="93"/>
      <c r="G2" s="93"/>
      <c r="Y2" s="18" t="s">
        <v>97</v>
      </c>
    </row>
    <row r="3" spans="1:42" ht="19.5" x14ac:dyDescent="0.25">
      <c r="A3" s="141"/>
      <c r="B3" s="94"/>
      <c r="C3" s="124" t="str">
        <f>'Guidance Notes'!C3</f>
        <v>Salix Building Fabric Insulation Calculation Tool (V2.4)</v>
      </c>
      <c r="D3" s="95"/>
      <c r="E3" s="95"/>
      <c r="F3" s="93"/>
      <c r="G3" s="94"/>
      <c r="Y3" s="19" t="s">
        <v>98</v>
      </c>
    </row>
    <row r="4" spans="1:42" x14ac:dyDescent="0.2">
      <c r="A4" s="142"/>
      <c r="B4" s="28"/>
      <c r="C4" s="78" t="s">
        <v>86</v>
      </c>
      <c r="D4" s="33"/>
      <c r="E4" s="33"/>
      <c r="F4" s="17"/>
      <c r="G4" s="28"/>
      <c r="Y4" s="19" t="s">
        <v>64</v>
      </c>
      <c r="Z4" s="19" t="s">
        <v>65</v>
      </c>
      <c r="AA4" s="19" t="s">
        <v>66</v>
      </c>
      <c r="AB4" s="19" t="s">
        <v>67</v>
      </c>
      <c r="AC4" s="19" t="s">
        <v>46</v>
      </c>
      <c r="AD4" s="19" t="s">
        <v>47</v>
      </c>
      <c r="AE4" s="19" t="s">
        <v>48</v>
      </c>
      <c r="AF4" s="19" t="s">
        <v>68</v>
      </c>
      <c r="AG4" s="19" t="s">
        <v>50</v>
      </c>
      <c r="AH4" s="19" t="s">
        <v>69</v>
      </c>
      <c r="AI4" s="19" t="s">
        <v>52</v>
      </c>
      <c r="AJ4" s="19" t="s">
        <v>53</v>
      </c>
      <c r="AK4" s="19" t="s">
        <v>54</v>
      </c>
      <c r="AL4" s="19" t="s">
        <v>55</v>
      </c>
      <c r="AM4" s="19" t="s">
        <v>56</v>
      </c>
      <c r="AN4" s="19" t="s">
        <v>57</v>
      </c>
      <c r="AO4" s="19" t="s">
        <v>58</v>
      </c>
      <c r="AP4" s="19" t="s">
        <v>59</v>
      </c>
    </row>
    <row r="5" spans="1:42" ht="39.950000000000003" customHeight="1" x14ac:dyDescent="0.2">
      <c r="A5" s="142"/>
      <c r="B5" s="28"/>
      <c r="C5" s="199" t="s">
        <v>99</v>
      </c>
      <c r="D5" s="200"/>
      <c r="E5" s="200"/>
      <c r="F5" s="17"/>
      <c r="G5" s="28"/>
      <c r="Y5" s="20" t="s">
        <v>100</v>
      </c>
      <c r="Z5" s="20" t="s">
        <v>101</v>
      </c>
      <c r="AA5" s="20" t="s">
        <v>102</v>
      </c>
      <c r="AB5" s="20" t="s">
        <v>63</v>
      </c>
      <c r="AC5" s="20" t="s">
        <v>103</v>
      </c>
      <c r="AD5" s="21">
        <v>15.5</v>
      </c>
      <c r="AE5" s="21">
        <v>18.5</v>
      </c>
      <c r="AF5" s="22" t="s">
        <v>104</v>
      </c>
      <c r="AG5" s="23">
        <v>0.27729999999999999</v>
      </c>
    </row>
    <row r="6" spans="1:42" ht="39.950000000000003" customHeight="1" x14ac:dyDescent="0.2">
      <c r="B6" s="17"/>
      <c r="C6" s="81" t="s">
        <v>105</v>
      </c>
      <c r="D6" s="205"/>
      <c r="E6" s="206"/>
      <c r="F6" s="206"/>
      <c r="G6" s="17"/>
      <c r="Y6" s="24">
        <v>2</v>
      </c>
      <c r="Z6" s="24" t="s">
        <v>70</v>
      </c>
      <c r="AA6" s="24">
        <v>31</v>
      </c>
      <c r="AB6" s="24">
        <v>1</v>
      </c>
      <c r="AC6" s="24">
        <v>2019</v>
      </c>
      <c r="AD6" s="24" t="e">
        <f>HLOOKUP($D$9,Degree_Days_Table[[#All],[1. London (Thames Valley)]:[18. North West Scotland]],Y6,FALSE)</f>
        <v>#N/A</v>
      </c>
      <c r="AE6" s="24" t="e">
        <f>HLOOKUP($D$9,Degree_Days_Table3[[#Headers],[#Data],[1. London (Thames Valley)]:[18. North West Scotland]],Y6,FALSE)</f>
        <v>#N/A</v>
      </c>
      <c r="AF6" s="25" t="s">
        <v>106</v>
      </c>
      <c r="AG6" s="26">
        <v>0.18385000000000001</v>
      </c>
    </row>
    <row r="7" spans="1:42" ht="39.950000000000003" customHeight="1" x14ac:dyDescent="0.2">
      <c r="B7" s="17"/>
      <c r="C7" s="145" t="s">
        <v>107</v>
      </c>
      <c r="D7" s="146"/>
      <c r="E7" s="139"/>
      <c r="F7" s="147"/>
      <c r="G7" s="17"/>
      <c r="Y7" s="24">
        <v>3</v>
      </c>
      <c r="Z7" s="24" t="s">
        <v>71</v>
      </c>
      <c r="AA7" s="24">
        <v>28</v>
      </c>
      <c r="AB7" s="24">
        <v>2</v>
      </c>
      <c r="AC7" s="24">
        <v>2019</v>
      </c>
      <c r="AD7" s="24" t="e">
        <f>HLOOKUP($D$9,Degree_Days_Table[[#All],[1. London (Thames Valley)]:[18. North West Scotland]],Y7,FALSE)</f>
        <v>#N/A</v>
      </c>
      <c r="AE7" s="24" t="e">
        <f>HLOOKUP($D$9,Degree_Days_Table3[[#Headers],[#Data],[1. London (Thames Valley)]:[18. North West Scotland]],Y7,FALSE)</f>
        <v>#N/A</v>
      </c>
      <c r="AF7" s="27" t="s">
        <v>108</v>
      </c>
      <c r="AG7" s="26">
        <v>0.25675999999999999</v>
      </c>
    </row>
    <row r="8" spans="1:42" ht="39.950000000000003" customHeight="1" x14ac:dyDescent="0.2">
      <c r="B8" s="17"/>
      <c r="C8" s="81" t="s">
        <v>109</v>
      </c>
      <c r="D8" s="140"/>
      <c r="E8" s="148" t="s">
        <v>110</v>
      </c>
      <c r="F8" s="144"/>
      <c r="G8" s="17"/>
      <c r="J8" s="85"/>
      <c r="K8" s="85"/>
      <c r="Y8" s="24">
        <v>4</v>
      </c>
      <c r="Z8" s="24" t="s">
        <v>72</v>
      </c>
      <c r="AA8" s="24">
        <v>31</v>
      </c>
      <c r="AB8" s="24">
        <v>3</v>
      </c>
      <c r="AC8" s="24">
        <v>2019</v>
      </c>
      <c r="AD8" s="24" t="e">
        <f>HLOOKUP($D$9,Degree_Days_Table[[#All],[1. London (Thames Valley)]:[18. North West Scotland]],Y8,FALSE)</f>
        <v>#N/A</v>
      </c>
      <c r="AE8" s="24" t="e">
        <f>HLOOKUP($D$9,Degree_Days_Table3[[#Headers],[#Data],[1. London (Thames Valley)]:[18. North West Scotland]],Y8,FALSE)</f>
        <v>#N/A</v>
      </c>
      <c r="AF8" s="27" t="s">
        <v>111</v>
      </c>
      <c r="AG8" s="26">
        <v>0.26782</v>
      </c>
    </row>
    <row r="9" spans="1:42" ht="39.950000000000003" customHeight="1" x14ac:dyDescent="0.2">
      <c r="B9" s="17"/>
      <c r="C9" s="81" t="s">
        <v>112</v>
      </c>
      <c r="D9" s="140"/>
      <c r="E9" s="81" t="s">
        <v>113</v>
      </c>
      <c r="F9" s="149"/>
      <c r="G9" s="17"/>
      <c r="Y9" s="24">
        <v>5</v>
      </c>
      <c r="Z9" s="24" t="s">
        <v>73</v>
      </c>
      <c r="AA9" s="24">
        <v>30</v>
      </c>
      <c r="AB9" s="24">
        <v>4</v>
      </c>
      <c r="AC9" s="24">
        <v>2019</v>
      </c>
      <c r="AD9" s="24" t="e">
        <f>HLOOKUP($D$9,Degree_Days_Table[[#All],[1. London (Thames Valley)]:[18. North West Scotland]],Y9,FALSE)</f>
        <v>#N/A</v>
      </c>
      <c r="AE9" s="24" t="e">
        <f>HLOOKUP($D$9,Degree_Days_Table3[[#Headers],[#Data],[1. London (Thames Valley)]:[18. North West Scotland]],Y9,FALSE)</f>
        <v>#N/A</v>
      </c>
      <c r="AF9" s="27" t="s">
        <v>114</v>
      </c>
      <c r="AG9" s="26">
        <v>0.24675</v>
      </c>
    </row>
    <row r="10" spans="1:42" ht="39.950000000000003" customHeight="1" x14ac:dyDescent="0.2">
      <c r="B10" s="17"/>
      <c r="C10" s="81" t="s">
        <v>115</v>
      </c>
      <c r="D10" s="140"/>
      <c r="E10" s="206" t="s">
        <v>116</v>
      </c>
      <c r="F10" s="206"/>
      <c r="G10" s="17"/>
      <c r="Y10" s="24">
        <v>6</v>
      </c>
      <c r="Z10" s="24" t="s">
        <v>74</v>
      </c>
      <c r="AA10" s="24">
        <v>31</v>
      </c>
      <c r="AB10" s="24">
        <v>5</v>
      </c>
      <c r="AC10" s="24">
        <v>2019</v>
      </c>
      <c r="AD10" s="24" t="e">
        <f>HLOOKUP($D$9,Degree_Days_Table[[#All],[1. London (Thames Valley)]:[18. North West Scotland]],Y10,FALSE)</f>
        <v>#N/A</v>
      </c>
      <c r="AE10" s="24" t="e">
        <f>HLOOKUP($D$9,Degree_Days_Table3[[#Headers],[#Data],[1. London (Thames Valley)]:[18. North West Scotland]],Y10,FALSE)</f>
        <v>#N/A</v>
      </c>
      <c r="AF10" s="27" t="s">
        <v>117</v>
      </c>
      <c r="AG10" s="26">
        <v>0.33183000000000001</v>
      </c>
    </row>
    <row r="11" spans="1:42" ht="39.950000000000003" customHeight="1" x14ac:dyDescent="0.2">
      <c r="B11" s="17"/>
      <c r="C11" s="150" t="s">
        <v>118</v>
      </c>
      <c r="D11" s="151"/>
      <c r="E11" s="206"/>
      <c r="F11" s="210"/>
      <c r="G11" s="17"/>
      <c r="H11" s="136"/>
      <c r="Y11" s="24">
        <v>7</v>
      </c>
      <c r="Z11" s="24" t="s">
        <v>75</v>
      </c>
      <c r="AA11" s="24">
        <v>30</v>
      </c>
      <c r="AB11" s="24">
        <v>6</v>
      </c>
      <c r="AC11" s="24">
        <v>2019</v>
      </c>
      <c r="AD11" s="24" t="e">
        <f>HLOOKUP($D$9,Degree_Days_Table[[#All],[1. London (Thames Valley)]:[18. North West Scotland]],Y11,FALSE)</f>
        <v>#N/A</v>
      </c>
      <c r="AE11" s="24" t="e">
        <f>HLOOKUP($D$9,Degree_Days_Table3[[#Headers],[#Data],[1. London (Thames Valley)]:[18. North West Scotland]],Y11,FALSE)</f>
        <v>#N/A</v>
      </c>
      <c r="AF11" s="27" t="s">
        <v>119</v>
      </c>
      <c r="AG11" s="26">
        <v>0.21446999999999999</v>
      </c>
    </row>
    <row r="12" spans="1:42" ht="15" customHeight="1" x14ac:dyDescent="0.2">
      <c r="B12" s="17"/>
      <c r="C12" s="152"/>
      <c r="D12" s="33"/>
      <c r="E12" s="33"/>
      <c r="F12" s="153"/>
      <c r="G12" s="17"/>
      <c r="Y12" s="24">
        <v>8</v>
      </c>
      <c r="Z12" s="24" t="s">
        <v>76</v>
      </c>
      <c r="AA12" s="24">
        <v>31</v>
      </c>
      <c r="AB12" s="24">
        <v>7</v>
      </c>
      <c r="AC12" s="24">
        <v>2019</v>
      </c>
      <c r="AD12" s="24" t="e">
        <f>HLOOKUP($D$9,Degree_Days_Table[[#All],[1. London (Thames Valley)]:[18. North West Scotland]],Y12,FALSE)</f>
        <v>#N/A</v>
      </c>
      <c r="AE12" s="24" t="e">
        <f>HLOOKUP($D$9,Degree_Days_Table3[[#Headers],[#Data],[1. London (Thames Valley)]:[18. North West Scotland]],Y12,FALSE)</f>
        <v>#N/A</v>
      </c>
      <c r="AF12" s="27" t="s">
        <v>120</v>
      </c>
      <c r="AG12" s="26">
        <v>3.7440000000000001E-2</v>
      </c>
    </row>
    <row r="13" spans="1:42" ht="39.950000000000003" customHeight="1" x14ac:dyDescent="0.2">
      <c r="B13" s="17"/>
      <c r="C13" s="145" t="s">
        <v>121</v>
      </c>
      <c r="D13" s="154" t="str">
        <f>IFERROR(IF(D9="","",IF(F9="","",IF(F9=15.5,AE23,IF(F9=18.5,AE24))))," ")</f>
        <v/>
      </c>
      <c r="E13" s="81" t="s">
        <v>122</v>
      </c>
      <c r="F13" s="155" t="str">
        <f>IFERROR(IF(F8="","",(IF(D8="","",AG23)))," ")</f>
        <v/>
      </c>
      <c r="G13" s="17"/>
      <c r="H13" s="89"/>
      <c r="I13" s="86"/>
      <c r="Y13" s="24">
        <v>9</v>
      </c>
      <c r="Z13" s="24" t="s">
        <v>77</v>
      </c>
      <c r="AA13" s="24">
        <v>31</v>
      </c>
      <c r="AB13" s="24">
        <v>8</v>
      </c>
      <c r="AC13" s="24">
        <v>2019</v>
      </c>
      <c r="AD13" s="24" t="e">
        <f>HLOOKUP($D$9,Degree_Days_Table[[#All],[1. London (Thames Valley)]:[18. North West Scotland]],Y13,FALSE)</f>
        <v>#N/A</v>
      </c>
      <c r="AE13" s="24" t="e">
        <f>HLOOKUP($D$9,Degree_Days_Table3[[#Headers],[#Data],[1. London (Thames Valley)]:[18. North West Scotland]],Y13,FALSE)</f>
        <v>#N/A</v>
      </c>
      <c r="AF13" s="27" t="s">
        <v>123</v>
      </c>
      <c r="AG13" s="26">
        <v>7.92E-3</v>
      </c>
    </row>
    <row r="14" spans="1:42" ht="15" customHeight="1" x14ac:dyDescent="0.2">
      <c r="B14" s="17"/>
      <c r="C14" s="156"/>
      <c r="D14" s="156"/>
      <c r="E14" s="156"/>
      <c r="F14" s="156"/>
      <c r="G14" s="17"/>
      <c r="H14" s="87"/>
      <c r="I14" s="87"/>
      <c r="Y14" s="24">
        <v>10</v>
      </c>
      <c r="Z14" s="24" t="s">
        <v>78</v>
      </c>
      <c r="AA14" s="24">
        <v>30</v>
      </c>
      <c r="AB14" s="24">
        <v>9</v>
      </c>
      <c r="AC14" s="24">
        <v>2019</v>
      </c>
      <c r="AD14" s="24" t="e">
        <f>HLOOKUP($D$9,Degree_Days_Table[[#All],[1. London (Thames Valley)]:[18. North West Scotland]],Y14,FALSE)</f>
        <v>#N/A</v>
      </c>
      <c r="AE14" s="24" t="e">
        <f>HLOOKUP($D$9,Degree_Days_Table3[[#Headers],[#Data],[1. London (Thames Valley)]:[18. North West Scotland]],Y14,FALSE)</f>
        <v>#N/A</v>
      </c>
      <c r="AF14" s="27" t="s">
        <v>124</v>
      </c>
      <c r="AG14" s="26">
        <v>2.4049999999999998E-2</v>
      </c>
    </row>
    <row r="15" spans="1:42" ht="39.950000000000003" customHeight="1" x14ac:dyDescent="0.2">
      <c r="B15" s="17"/>
      <c r="C15" s="81" t="s">
        <v>125</v>
      </c>
      <c r="D15" s="157"/>
      <c r="E15" s="81" t="s">
        <v>126</v>
      </c>
      <c r="F15" s="158"/>
      <c r="G15" s="17"/>
      <c r="H15" s="88"/>
      <c r="I15" s="88"/>
      <c r="Y15" s="24">
        <v>11</v>
      </c>
      <c r="Z15" s="24" t="s">
        <v>79</v>
      </c>
      <c r="AA15" s="24">
        <v>31</v>
      </c>
      <c r="AB15" s="24">
        <v>10</v>
      </c>
      <c r="AC15" s="24">
        <v>2019</v>
      </c>
      <c r="AD15" s="24" t="e">
        <f>HLOOKUP($D$9,Degree_Days_Table[[#All],[1. London (Thames Valley)]:[18. North West Scotland]],Y15,FALSE)</f>
        <v>#N/A</v>
      </c>
      <c r="AE15" s="24" t="e">
        <f>HLOOKUP($D$9,Degree_Days_Table3[[#Headers],[#Data],[1. London (Thames Valley)]:[18. North West Scotland]],Y15,FALSE)</f>
        <v>#N/A</v>
      </c>
      <c r="AG15" s="29"/>
    </row>
    <row r="16" spans="1:42" ht="15" customHeight="1" x14ac:dyDescent="0.2">
      <c r="B16" s="17"/>
      <c r="C16" s="156"/>
      <c r="D16" s="156"/>
      <c r="E16" s="156"/>
      <c r="F16" s="156"/>
      <c r="G16" s="17"/>
      <c r="H16" s="87"/>
      <c r="I16" s="87"/>
      <c r="Y16" s="24">
        <v>12</v>
      </c>
      <c r="Z16" s="24" t="s">
        <v>80</v>
      </c>
      <c r="AA16" s="24">
        <v>30</v>
      </c>
      <c r="AB16" s="24">
        <v>11</v>
      </c>
      <c r="AC16" s="24">
        <v>2019</v>
      </c>
      <c r="AD16" s="24" t="e">
        <f>HLOOKUP($D$9,Degree_Days_Table[[#All],[1. London (Thames Valley)]:[18. North West Scotland]],Y16,FALSE)</f>
        <v>#N/A</v>
      </c>
      <c r="AE16" s="24" t="e">
        <f>HLOOKUP($D$9,Degree_Days_Table3[[#Headers],[#Data],[1. London (Thames Valley)]:[18. North West Scotland]],Y16,FALSE)</f>
        <v>#N/A</v>
      </c>
      <c r="AG16" s="29"/>
    </row>
    <row r="17" spans="1:33" ht="39.950000000000003" customHeight="1" x14ac:dyDescent="0.2">
      <c r="B17" s="17"/>
      <c r="C17" s="81" t="s">
        <v>127</v>
      </c>
      <c r="D17" s="159"/>
      <c r="E17" s="81" t="s">
        <v>91</v>
      </c>
      <c r="F17" s="160"/>
      <c r="G17" s="17"/>
      <c r="H17" s="88"/>
      <c r="I17" s="88"/>
      <c r="Y17" s="24">
        <v>13</v>
      </c>
      <c r="Z17" s="24" t="s">
        <v>81</v>
      </c>
      <c r="AA17" s="24">
        <v>31</v>
      </c>
      <c r="AB17" s="24">
        <v>12</v>
      </c>
      <c r="AC17" s="24">
        <v>2019</v>
      </c>
      <c r="AD17" s="24" t="e">
        <f>HLOOKUP($D$9,Degree_Days_Table[[#All],[1. London (Thames Valley)]:[18. North West Scotland]],Y17,FALSE)</f>
        <v>#N/A</v>
      </c>
      <c r="AE17" s="24" t="e">
        <f>HLOOKUP($D$9,Degree_Days_Table3[[#Headers],[#Data],[1. London (Thames Valley)]:[18. North West Scotland]],Y17,FALSE)</f>
        <v>#N/A</v>
      </c>
    </row>
    <row r="18" spans="1:33" ht="15" customHeight="1" x14ac:dyDescent="0.2">
      <c r="B18" s="17"/>
      <c r="C18" s="148"/>
      <c r="D18" s="161"/>
      <c r="E18" s="148"/>
      <c r="F18" s="162"/>
      <c r="G18" s="17"/>
      <c r="H18" s="88"/>
      <c r="I18" s="88"/>
    </row>
    <row r="19" spans="1:33" ht="39.950000000000003" customHeight="1" x14ac:dyDescent="0.2">
      <c r="B19" s="17"/>
      <c r="C19" s="81" t="s">
        <v>128</v>
      </c>
      <c r="D19" s="133"/>
      <c r="E19" s="81" t="s">
        <v>129</v>
      </c>
      <c r="F19" s="158"/>
      <c r="G19" s="17"/>
      <c r="H19" s="88"/>
      <c r="I19" s="88"/>
    </row>
    <row r="20" spans="1:33" ht="24.95" customHeight="1" x14ac:dyDescent="0.2">
      <c r="B20" s="17"/>
      <c r="C20" s="209" t="s">
        <v>130</v>
      </c>
      <c r="D20" s="209"/>
      <c r="E20" s="209"/>
      <c r="F20" s="209"/>
      <c r="G20" s="17"/>
      <c r="H20" s="88"/>
      <c r="I20" s="88"/>
      <c r="Z20" s="138" t="s">
        <v>131</v>
      </c>
      <c r="AA20" s="19" t="s">
        <v>102</v>
      </c>
      <c r="AB20" s="19">
        <v>15.5</v>
      </c>
      <c r="AC20" s="19">
        <v>18.5</v>
      </c>
    </row>
    <row r="21" spans="1:33" ht="39.950000000000003" customHeight="1" x14ac:dyDescent="0.2">
      <c r="A21" s="90"/>
      <c r="B21" s="32"/>
      <c r="C21" s="207" t="s">
        <v>132</v>
      </c>
      <c r="D21" s="207"/>
      <c r="E21" s="207" t="s">
        <v>133</v>
      </c>
      <c r="F21" s="207"/>
      <c r="G21" s="32"/>
      <c r="H21" s="87"/>
      <c r="Z21" s="137" t="s">
        <v>134</v>
      </c>
      <c r="AA21" s="19">
        <f>SUM(AA16:AA17,AA6:AA7)</f>
        <v>120</v>
      </c>
      <c r="AB21" s="19" t="e">
        <f>SUM(AD16:AD17,AD6:AD7)</f>
        <v>#N/A</v>
      </c>
      <c r="AC21" s="19" t="e">
        <f>SUM(AE16:AE17,AE6:AE7)</f>
        <v>#N/A</v>
      </c>
    </row>
    <row r="22" spans="1:33" ht="54.95" customHeight="1" x14ac:dyDescent="0.2">
      <c r="A22" s="91"/>
      <c r="B22" s="30"/>
      <c r="C22" s="208" t="s">
        <v>135</v>
      </c>
      <c r="D22" s="208"/>
      <c r="E22" s="208" t="s">
        <v>135</v>
      </c>
      <c r="F22" s="208"/>
      <c r="G22" s="30"/>
      <c r="H22" s="88"/>
      <c r="I22" s="87"/>
      <c r="AE22" s="20" t="s">
        <v>136</v>
      </c>
      <c r="AF22" s="20"/>
      <c r="AG22" s="20" t="s">
        <v>137</v>
      </c>
    </row>
    <row r="23" spans="1:33" ht="39.950000000000003" customHeight="1" x14ac:dyDescent="0.2">
      <c r="A23" s="91"/>
      <c r="B23" s="30"/>
      <c r="C23" s="201" t="s">
        <v>138</v>
      </c>
      <c r="D23" s="201"/>
      <c r="E23" s="201" t="s">
        <v>139</v>
      </c>
      <c r="F23" s="201"/>
      <c r="G23" s="30"/>
      <c r="Z23" s="39">
        <f>D8</f>
        <v>0</v>
      </c>
      <c r="AA23" s="24"/>
      <c r="AB23" s="24" t="e">
        <f>VLOOKUP(Z23,Z6:AB17,3,FALSE)</f>
        <v>#N/A</v>
      </c>
      <c r="AC23" s="24"/>
      <c r="AD23" s="31">
        <v>15.5</v>
      </c>
      <c r="AE23" s="134" t="e">
        <f ca="1">IF((AB23-AB24)&lt;0,SUM(INDIRECT("Ad"&amp;(AB23+5)):INDIRECT("Ad"&amp;(AB24+5))),(SUM(INDIRECT("Ad"&amp;(AB23+5)):AD17)+SUM(AD6:INDIRECT("Ad"&amp;(AB24+5)))))</f>
        <v>#N/A</v>
      </c>
      <c r="AF23" s="24"/>
      <c r="AG23" s="24" t="e">
        <f ca="1">IF((AB23-AB24)&lt;0,SUM(INDIRECT("Aa"&amp;(AB23+5)):INDIRECT("Aa"&amp;(AB24+5))),(SUM(INDIRECT("Aa"&amp;(AB23+5)):AA17)+SUM(AA6:INDIRECT("Aa"&amp;(AB24+5)))))</f>
        <v>#N/A</v>
      </c>
    </row>
    <row r="24" spans="1:33" ht="62.45" customHeight="1" thickBot="1" x14ac:dyDescent="0.25">
      <c r="A24" s="91"/>
      <c r="B24" s="30"/>
      <c r="C24" s="203" t="s">
        <v>140</v>
      </c>
      <c r="D24" s="204"/>
      <c r="E24" s="204" t="s">
        <v>141</v>
      </c>
      <c r="F24" s="204"/>
      <c r="G24" s="30"/>
      <c r="H24" s="88"/>
      <c r="I24" s="88"/>
      <c r="K24" s="83"/>
      <c r="Z24" s="39">
        <f>F8</f>
        <v>0</v>
      </c>
      <c r="AA24" s="24"/>
      <c r="AB24" s="24" t="e">
        <f>VLOOKUP(Z24,Z6:AB17,3,FALSE)</f>
        <v>#N/A</v>
      </c>
      <c r="AC24" s="24"/>
      <c r="AD24" s="31">
        <v>18.5</v>
      </c>
      <c r="AE24" s="134" t="e">
        <f ca="1">IF((AB23-AB24)&lt;0,SUM(INDIRECT("Ae"&amp;(AB23+5)):INDIRECT("Ae"&amp;(AB24+5))),(SUM(INDIRECT("Ae"&amp;(AB23+5)):AE17)+SUM(AE6:INDIRECT("Ae"&amp;(AB24+5)))))</f>
        <v>#N/A</v>
      </c>
      <c r="AF24" s="24"/>
      <c r="AG24" s="24" t="e">
        <f ca="1">IF((AB23-AB24)&lt;0,SUM(INDIRECT("Aa"&amp;(AB23+5)):INDIRECT("aa"&amp;(AB24+5))),(SUM(INDIRECT("aa"&amp;(AB23+5)):AA17)+SUM(AA6:INDIRECT("Aa"&amp;(AB24+5)))))</f>
        <v>#N/A</v>
      </c>
    </row>
    <row r="25" spans="1:33" ht="24.95" customHeight="1" x14ac:dyDescent="0.2">
      <c r="B25" s="17"/>
      <c r="C25" s="202" t="s">
        <v>142</v>
      </c>
      <c r="D25" s="202"/>
      <c r="E25" s="202"/>
      <c r="F25" s="202"/>
      <c r="G25" s="17"/>
      <c r="H25" s="88"/>
      <c r="I25" s="88"/>
      <c r="K25" s="83"/>
      <c r="Y25" s="34" t="s">
        <v>143</v>
      </c>
      <c r="Z25" s="40" t="str">
        <f>IFERROR((IF(C23="","",(1/C23))),"")</f>
        <v/>
      </c>
    </row>
    <row r="26" spans="1:33" ht="39.950000000000003" customHeight="1" x14ac:dyDescent="0.2">
      <c r="A26" s="91"/>
      <c r="B26" s="30"/>
      <c r="C26" s="163" t="s">
        <v>144</v>
      </c>
      <c r="D26" s="164" t="str">
        <f>IFERROR(IF(OR(F15="",D17="",F19="",D13="",F13="",F17="",D19="",C23=""),"",(D13*F19*C23*D15*(F15/F13)/1000)),"")</f>
        <v/>
      </c>
      <c r="E26" s="163" t="s">
        <v>144</v>
      </c>
      <c r="F26" s="164" t="str">
        <f>IFERROR(IF(OR(D15="",F15="",D17="",F19="",D13="",F13="",F17="",D19="",E23="",C23=""),"",(D13*F19*Z28*D15*(F15/F13)/1000)),"")</f>
        <v/>
      </c>
      <c r="G26" s="30"/>
      <c r="I26" s="88"/>
      <c r="Y26" s="35" t="s">
        <v>145</v>
      </c>
      <c r="Z26" s="41" t="str">
        <f>IFERROR((IF(E23="","",(1/E23))),"")</f>
        <v/>
      </c>
      <c r="AG26" s="29"/>
    </row>
    <row r="27" spans="1:33" ht="39.950000000000003" customHeight="1" x14ac:dyDescent="0.2">
      <c r="A27" s="91"/>
      <c r="B27" s="30"/>
      <c r="C27" s="81" t="s">
        <v>146</v>
      </c>
      <c r="D27" s="126" t="str">
        <f>IFERROR(D26/D11,"")</f>
        <v/>
      </c>
      <c r="E27" s="81" t="s">
        <v>147</v>
      </c>
      <c r="F27" s="126" t="str">
        <f>IFERROR(F26/D11,"")</f>
        <v/>
      </c>
      <c r="G27" s="30"/>
      <c r="Y27" s="35" t="s">
        <v>148</v>
      </c>
      <c r="Z27" s="42" t="str">
        <f>IFERROR(IF(D19="Replacement",Z26,(Z25+Z26)),"")</f>
        <v/>
      </c>
    </row>
    <row r="28" spans="1:33" ht="24.95" customHeight="1" thickBot="1" x14ac:dyDescent="0.25">
      <c r="A28" s="91"/>
      <c r="B28" s="30"/>
      <c r="C28" s="79"/>
      <c r="D28" s="79"/>
      <c r="E28" s="79"/>
      <c r="F28" s="79"/>
      <c r="G28" s="30"/>
      <c r="Y28" s="36" t="s">
        <v>149</v>
      </c>
      <c r="Z28" s="43" t="str">
        <f>IFERROR(1/(Z27),"")</f>
        <v/>
      </c>
    </row>
    <row r="29" spans="1:33" ht="39.950000000000003" customHeight="1" thickBot="1" x14ac:dyDescent="0.25">
      <c r="A29" s="91"/>
      <c r="B29" s="30"/>
      <c r="C29" s="165"/>
      <c r="D29" s="81" t="s">
        <v>93</v>
      </c>
      <c r="E29" s="126" t="str">
        <f>IF(F26="","",D26-F26)</f>
        <v/>
      </c>
      <c r="F29" s="166"/>
      <c r="G29" s="30"/>
      <c r="Y29" s="37" t="s">
        <v>150</v>
      </c>
      <c r="Z29" s="38" t="s">
        <v>151</v>
      </c>
    </row>
    <row r="30" spans="1:33" ht="39.950000000000003" customHeight="1" x14ac:dyDescent="0.2">
      <c r="A30" s="91"/>
      <c r="B30" s="30"/>
      <c r="C30" s="165"/>
      <c r="D30" s="81" t="s">
        <v>94</v>
      </c>
      <c r="E30" s="126" t="str">
        <f>IF(OR(D11="",E29=""),"",E29/D11)</f>
        <v/>
      </c>
      <c r="F30" s="167"/>
      <c r="G30" s="30"/>
    </row>
    <row r="31" spans="1:33" ht="39.950000000000003" customHeight="1" x14ac:dyDescent="0.25">
      <c r="A31" s="91"/>
      <c r="B31" s="30"/>
      <c r="C31" s="17"/>
      <c r="D31" s="81" t="s">
        <v>95</v>
      </c>
      <c r="E31" s="127" t="str">
        <f>IF(OR(E30="",E29=""),"",E30*(D17/100))</f>
        <v/>
      </c>
      <c r="F31" s="167"/>
      <c r="G31" s="30"/>
      <c r="Y31" s="44" t="s">
        <v>152</v>
      </c>
    </row>
    <row r="32" spans="1:33" ht="39.950000000000003" customHeight="1" x14ac:dyDescent="0.25">
      <c r="A32" s="91"/>
      <c r="B32" s="30"/>
      <c r="C32" s="17"/>
      <c r="D32" s="81" t="s">
        <v>96</v>
      </c>
      <c r="E32" s="129" t="str">
        <f>IF(E29="","",(D7/E31))</f>
        <v/>
      </c>
      <c r="F32" s="17"/>
      <c r="G32" s="30"/>
      <c r="Y32" s="44" t="s">
        <v>153</v>
      </c>
    </row>
    <row r="33" spans="2:25" ht="15" customHeight="1" x14ac:dyDescent="0.25">
      <c r="B33" s="17"/>
      <c r="C33" s="17"/>
      <c r="D33" s="33"/>
      <c r="E33" s="33"/>
      <c r="F33" s="17"/>
      <c r="G33" s="17"/>
      <c r="Y33" s="44" t="s">
        <v>154</v>
      </c>
    </row>
    <row r="34" spans="2:25" ht="15" customHeight="1" x14ac:dyDescent="0.25">
      <c r="B34" s="92"/>
      <c r="C34" s="77"/>
      <c r="D34" s="80"/>
      <c r="E34" s="80"/>
      <c r="F34" s="77"/>
      <c r="G34" s="92"/>
      <c r="Y34" s="44" t="s">
        <v>155</v>
      </c>
    </row>
    <row r="35" spans="2:25" ht="15" x14ac:dyDescent="0.25">
      <c r="Y35" s="44" t="s">
        <v>156</v>
      </c>
    </row>
    <row r="36" spans="2:25" ht="15" x14ac:dyDescent="0.25">
      <c r="Y36" s="44" t="s">
        <v>157</v>
      </c>
    </row>
    <row r="37" spans="2:25" ht="15" x14ac:dyDescent="0.25">
      <c r="Y37" s="44" t="s">
        <v>158</v>
      </c>
    </row>
    <row r="38" spans="2:25" ht="15" x14ac:dyDescent="0.25">
      <c r="Y38" s="44" t="s">
        <v>159</v>
      </c>
    </row>
  </sheetData>
  <sheetProtection algorithmName="SHA-512" hashValue="2BGrH6AhOuBXXzQPmx5mxBG52VHvYipmwuv8SkxplJSpbqpHgNqKQxOVUmkU/T2X82N+vUuEJ6ue1v5EaztQQg==" saltValue="WCFuA4awc3mPN1aFzvCGVg==" spinCount="100000" sheet="1" objects="1" scenarios="1"/>
  <dataConsolidate/>
  <mergeCells count="13">
    <mergeCell ref="C25:F25"/>
    <mergeCell ref="C22:D22"/>
    <mergeCell ref="E22:F22"/>
    <mergeCell ref="C23:D23"/>
    <mergeCell ref="E23:F23"/>
    <mergeCell ref="C24:D24"/>
    <mergeCell ref="E24:F24"/>
    <mergeCell ref="C5:E5"/>
    <mergeCell ref="D6:F6"/>
    <mergeCell ref="E10:F11"/>
    <mergeCell ref="C20:F20"/>
    <mergeCell ref="C21:D21"/>
    <mergeCell ref="E21:F21"/>
  </mergeCells>
  <conditionalFormatting sqref="F15">
    <cfRule type="expression" dxfId="8" priority="9">
      <formula>$F$15&gt;$F$13</formula>
    </cfRule>
  </conditionalFormatting>
  <conditionalFormatting sqref="C22:F22">
    <cfRule type="containsText" dxfId="7" priority="8" operator="containsText" text="Description">
      <formula>NOT(ISERROR(SEARCH("Description",C22)))</formula>
    </cfRule>
  </conditionalFormatting>
  <conditionalFormatting sqref="C24">
    <cfRule type="containsText" dxfId="6" priority="6" operator="containsText" text="U-value of Current Building Fabric">
      <formula>NOT(ISERROR(SEARCH("U-value of Current Building Fabric",C24)))</formula>
    </cfRule>
    <cfRule type="containsText" dxfId="5" priority="7" operator="containsText" text="U-value of New Insulation">
      <formula>NOT(ISERROR(SEARCH("U-value of New Insulation",C24)))</formula>
    </cfRule>
  </conditionalFormatting>
  <conditionalFormatting sqref="E10">
    <cfRule type="containsText" dxfId="4" priority="5" operator="containsText" text="As applicable,">
      <formula>NOT(ISERROR(SEARCH("As applicable,",E10)))</formula>
    </cfRule>
  </conditionalFormatting>
  <conditionalFormatting sqref="E23:F23">
    <cfRule type="containsText" dxfId="3" priority="3" operator="containsText" text="U-value of Current Building Fabric">
      <formula>NOT(ISERROR(SEARCH("U-value of Current Building Fabric",E23)))</formula>
    </cfRule>
    <cfRule type="containsText" dxfId="2" priority="4" operator="containsText" text="U-value of New Insulation">
      <formula>NOT(ISERROR(SEARCH("U-value of New Insulation",E23)))</formula>
    </cfRule>
  </conditionalFormatting>
  <conditionalFormatting sqref="C23:D23">
    <cfRule type="containsText" dxfId="1" priority="1" operator="containsText" text="U-value of Current Building Fabric">
      <formula>NOT(ISERROR(SEARCH("U-value of Current Building Fabric",C23)))</formula>
    </cfRule>
    <cfRule type="containsText" dxfId="0" priority="2" operator="containsText" text="U-value of New Insulation">
      <formula>NOT(ISERROR(SEARCH("U-value of New Insulation",C23)))</formula>
    </cfRule>
  </conditionalFormatting>
  <dataValidations count="21">
    <dataValidation type="list" allowBlank="1" showInputMessage="1" showErrorMessage="1" prompt="Please consult the map from the 'Degree Day Regions' tab if you do not know your area." sqref="D9" xr:uid="{D2D67BF7-E0A3-4CBC-B4E7-BA269B76BBA4}">
      <formula1>$Y$4:$AP$4</formula1>
    </dataValidation>
    <dataValidation allowBlank="1" showInputMessage="1" showErrorMessage="1" prompt="This is calculated using the region selected above and the 'Degree Day Data' tab." sqref="D13" xr:uid="{246C90EA-1F1A-4EE4-AC5A-40EF51FD3A9B}"/>
    <dataValidation type="list" allowBlank="1" showInputMessage="1" showErrorMessage="1" prompt="Months selected are inclusive i.e. November 1st - April 30th." sqref="D8" xr:uid="{638AF8D1-B874-4171-BF87-8E918DA41C6D}">
      <formula1>$Z$6:$Z$17</formula1>
    </dataValidation>
    <dataValidation type="list" allowBlank="1" showInputMessage="1" showErrorMessage="1" sqref="D10" xr:uid="{B7905D7C-9FD6-4745-A97E-359A036E796E}">
      <formula1>$AF$5:$AF$14</formula1>
    </dataValidation>
    <dataValidation type="list" allowBlank="1" showInputMessage="1" showErrorMessage="1" sqref="F8" xr:uid="{9E304F98-D2AB-41B2-AFEE-2DE28E688D55}">
      <formula1>$Z$6:$Z$17</formula1>
    </dataValidation>
    <dataValidation type="decimal" allowBlank="1" showInputMessage="1" showErrorMessage="1" errorTitle="Value Error" error="Please input area to be insulated (m2)." sqref="F19" xr:uid="{D0B79431-666C-4255-B487-0DD86614F074}">
      <formula1>0</formula1>
      <formula2>9999999</formula2>
    </dataValidation>
    <dataValidation type="decimal" allowBlank="1" showInputMessage="1" showErrorMessage="1" errorTitle="Value Error" error="Please input average energy cost (p/kWh)." sqref="D17" xr:uid="{2D33FCD4-18EF-4F26-9B8B-E94139C61910}">
      <formula1>0</formula1>
      <formula2>99999999</formula2>
    </dataValidation>
    <dataValidation type="whole" allowBlank="1" showInputMessage="1" showErrorMessage="1" errorTitle="Please Update Number" error="Number of days heated during heating season cannot exceed total number of days in heating season." prompt="The total number of days the area will be heated during the heating season. This must not exceed the total number of days in the heating season." sqref="F15" xr:uid="{2FBA1A99-B94C-463B-A686-A7311D0F99FB}">
      <formula1>0</formula1>
      <formula2>F13</formula2>
    </dataValidation>
    <dataValidation type="decimal" allowBlank="1" showInputMessage="1" showErrorMessage="1" sqref="F18:F19" xr:uid="{676EABA1-4F8E-4919-AFBA-09EEC96DC649}">
      <formula1>0</formula1>
      <formula2>9999999</formula2>
    </dataValidation>
    <dataValidation type="textLength" allowBlank="1" showInputMessage="1" showErrorMessage="1" sqref="E22" xr:uid="{5BF8D5CD-815D-411C-9302-A5435FFB0498}">
      <formula1>0</formula1>
      <formula2>9999</formula2>
    </dataValidation>
    <dataValidation type="decimal" allowBlank="1" showInputMessage="1" showErrorMessage="1" sqref="D7" xr:uid="{3A8C3B7C-C356-4563-B8B0-AE42E6A048D5}">
      <formula1>0</formula1>
      <formula2>99999999999</formula2>
    </dataValidation>
    <dataValidation type="decimal" allowBlank="1" showInputMessage="1" showErrorMessage="1" errorTitle="Value Error" error="Please input hours of heating per day." prompt="Average number of hours the area will be heated per day during the heating season." sqref="D15" xr:uid="{C9B3DA06-B3D3-438B-887F-53B03FEF31AC}">
      <formula1>0</formula1>
      <formula2>24</formula2>
    </dataValidation>
    <dataValidation type="decimal" allowBlank="1" showInputMessage="1" showErrorMessage="1" sqref="D18" xr:uid="{DE7D8446-FF82-4B34-B010-95DBCEF68C56}">
      <formula1>0</formula1>
      <formula2>99999999</formula2>
    </dataValidation>
    <dataValidation type="decimal" allowBlank="1" showInputMessage="1" showErrorMessage="1" errorTitle="Value Error" error="Boiler efficiency cannot exceed 100%." sqref="D11" xr:uid="{E383BEE1-BC73-46BA-8180-17A538AC8B21}">
      <formula1>0</formula1>
      <formula2>1</formula2>
    </dataValidation>
    <dataValidation type="list" allowBlank="1" showInputMessage="1" showErrorMessage="1" prompt="15.5 degree base for general purpose buildings (e.g. offices)._x000a__x000a_18.5 degree base for specialist use buildings requiring a higher maintained internal temperature (e.g. hospital wards)." sqref="F9" xr:uid="{7BAFCB7B-71BF-4D42-8AD1-8C42634B38E2}">
      <formula1>$AD$5:$AE$5</formula1>
    </dataValidation>
    <dataValidation type="textLength" operator="lessThan" allowBlank="1" showInputMessage="1" showErrorMessage="1" errorTitle="Value Error" error="Boiler efficiency cannot exceed 100%." sqref="E10:F11" xr:uid="{F6068EA4-959B-46F4-B127-11EBAF532EF4}">
      <formula1>100</formula1>
    </dataValidation>
    <dataValidation type="list" allowBlank="1" showInputMessage="1" showErrorMessage="1" sqref="F17" xr:uid="{B9FA057B-2384-4F7E-B798-796DB382B7A2}">
      <formula1>$Y$31:$Y$38</formula1>
    </dataValidation>
    <dataValidation type="list" allowBlank="1" showInputMessage="1" showErrorMessage="1" errorTitle="Value Error" error="Boiler efficiency cannot exceed 100%." prompt="Please select whether the new insulation is, in addition to the current building fabric, or replacing current insulation." sqref="D19" xr:uid="{078EBDB1-504B-4E9D-A298-763C66F6C117}">
      <formula1>$Y$29:$Z$29</formula1>
    </dataValidation>
    <dataValidation type="list" allowBlank="1" showInputMessage="1" prompt="Please select whether the new insulation is, in addition to the current building fabric, or replacing current insulation." sqref="D19" xr:uid="{5873812D-D92B-46AE-924E-B9740E53F783}">
      <formula1>$Z$29:$Z$29</formula1>
    </dataValidation>
    <dataValidation allowBlank="1" showInputMessage="1" showErrorMessage="1" prompt="U-value of current building fabric (W/m2.K)" sqref="C23:D23" xr:uid="{16EDA4D4-978E-4FC6-ACE5-0997E0D2054D}"/>
    <dataValidation allowBlank="1" showInputMessage="1" showErrorMessage="1" prompt="U-value of new insulation (W/m2.K)" sqref="E23:F23" xr:uid="{6DEA88F6-5D5C-49F4-877C-7DEF76DF5CE3}"/>
  </dataValidations>
  <pageMargins left="0.70866141732283472" right="0.70866141732283472" top="0.74803149606299213" bottom="0.74803149606299213" header="0.31496062992125984" footer="0.31496062992125984"/>
  <pageSetup paperSize="9" scale="69"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3FFF1"/>
    <pageSetUpPr fitToPage="1"/>
  </sheetPr>
  <dimension ref="A2:K15"/>
  <sheetViews>
    <sheetView showGridLines="0" showRowColHeaders="0" zoomScale="80" zoomScaleNormal="80" workbookViewId="0"/>
  </sheetViews>
  <sheetFormatPr defaultColWidth="9.140625" defaultRowHeight="19.5" x14ac:dyDescent="0.4"/>
  <cols>
    <col min="1" max="1" width="4.7109375" style="96" customWidth="1"/>
    <col min="2" max="2" width="5.28515625" style="96" customWidth="1"/>
    <col min="3" max="3" width="12.5703125" style="96" customWidth="1"/>
    <col min="4" max="4" width="12.7109375" style="96" customWidth="1"/>
    <col min="5" max="5" width="76.7109375" style="96" customWidth="1"/>
    <col min="6" max="6" width="10.5703125" style="96" customWidth="1"/>
    <col min="7" max="7" width="5.42578125" style="96" customWidth="1"/>
    <col min="8" max="16384" width="9.140625" style="96"/>
  </cols>
  <sheetData>
    <row r="2" spans="1:11" s="98" customFormat="1" ht="21.75" x14ac:dyDescent="0.4">
      <c r="B2" s="101"/>
      <c r="C2" s="124" t="str">
        <f>'Guidance Notes'!C3</f>
        <v>Salix Building Fabric Insulation Calculation Tool (V2.4)</v>
      </c>
      <c r="D2" s="99"/>
      <c r="E2" s="99"/>
      <c r="F2" s="100"/>
      <c r="G2" s="101"/>
      <c r="K2" s="116"/>
    </row>
    <row r="3" spans="1:11" s="98" customFormat="1" x14ac:dyDescent="0.4">
      <c r="B3" s="101"/>
      <c r="C3" s="131" t="s">
        <v>160</v>
      </c>
      <c r="D3" s="99"/>
      <c r="E3" s="99"/>
      <c r="F3" s="100"/>
      <c r="G3" s="101"/>
      <c r="K3" s="116"/>
    </row>
    <row r="4" spans="1:11" s="98" customFormat="1" x14ac:dyDescent="0.4">
      <c r="B4" s="101"/>
      <c r="C4" s="102" t="str">
        <f ca="1">'Guidance Notes'!C4</f>
        <v>© Salix Finance 2023</v>
      </c>
      <c r="D4" s="99"/>
      <c r="E4" s="99"/>
      <c r="F4" s="100"/>
      <c r="G4" s="101"/>
      <c r="K4" s="116"/>
    </row>
    <row r="5" spans="1:11" x14ac:dyDescent="0.4">
      <c r="A5" s="97"/>
      <c r="B5" s="103"/>
      <c r="C5" s="103"/>
      <c r="D5" s="103"/>
      <c r="E5" s="103"/>
      <c r="F5" s="103"/>
      <c r="G5" s="104"/>
    </row>
    <row r="6" spans="1:11" x14ac:dyDescent="0.4">
      <c r="A6" s="97"/>
      <c r="B6" s="103"/>
      <c r="C6" s="113" t="s">
        <v>101</v>
      </c>
      <c r="D6" s="114" t="s">
        <v>161</v>
      </c>
      <c r="E6" s="115" t="s">
        <v>162</v>
      </c>
      <c r="F6" s="115" t="s">
        <v>163</v>
      </c>
      <c r="G6" s="104"/>
    </row>
    <row r="7" spans="1:11" ht="25.5" x14ac:dyDescent="0.4">
      <c r="A7" s="97"/>
      <c r="B7" s="103"/>
      <c r="C7" s="105">
        <v>44447</v>
      </c>
      <c r="D7" s="106">
        <v>2.5</v>
      </c>
      <c r="E7" s="117" t="s">
        <v>164</v>
      </c>
      <c r="F7" s="108" t="s">
        <v>165</v>
      </c>
      <c r="G7" s="104"/>
    </row>
    <row r="8" spans="1:11" ht="20.100000000000001" customHeight="1" x14ac:dyDescent="0.4">
      <c r="A8" s="97"/>
      <c r="B8" s="103"/>
      <c r="C8" s="105">
        <v>43952</v>
      </c>
      <c r="D8" s="106">
        <v>2.2999999999999998</v>
      </c>
      <c r="E8" s="107" t="s">
        <v>166</v>
      </c>
      <c r="F8" s="108" t="s">
        <v>167</v>
      </c>
      <c r="G8" s="104"/>
    </row>
    <row r="9" spans="1:11" ht="20.100000000000001" customHeight="1" x14ac:dyDescent="0.4">
      <c r="A9" s="97"/>
      <c r="B9" s="103"/>
      <c r="C9" s="109">
        <v>42309</v>
      </c>
      <c r="D9" s="110">
        <v>2.2000000000000002</v>
      </c>
      <c r="E9" s="111" t="s">
        <v>168</v>
      </c>
      <c r="F9" s="112" t="s">
        <v>169</v>
      </c>
      <c r="G9" s="104"/>
    </row>
    <row r="10" spans="1:11" ht="20.100000000000001" customHeight="1" x14ac:dyDescent="0.4">
      <c r="A10" s="97"/>
      <c r="B10" s="103"/>
      <c r="C10" s="109">
        <v>41944</v>
      </c>
      <c r="D10" s="110">
        <v>2.1</v>
      </c>
      <c r="E10" s="111" t="s">
        <v>170</v>
      </c>
      <c r="F10" s="112" t="s">
        <v>171</v>
      </c>
      <c r="G10" s="104"/>
    </row>
    <row r="11" spans="1:11" ht="54.95" customHeight="1" x14ac:dyDescent="0.4">
      <c r="A11" s="97"/>
      <c r="B11" s="103"/>
      <c r="C11" s="109">
        <v>41883</v>
      </c>
      <c r="D11" s="110">
        <v>2</v>
      </c>
      <c r="E11" s="111" t="s">
        <v>172</v>
      </c>
      <c r="F11" s="112" t="s">
        <v>171</v>
      </c>
      <c r="G11" s="104"/>
    </row>
    <row r="12" spans="1:11" ht="20.100000000000001" customHeight="1" x14ac:dyDescent="0.4">
      <c r="A12" s="97"/>
      <c r="B12" s="103"/>
      <c r="C12" s="109">
        <v>40949</v>
      </c>
      <c r="D12" s="110">
        <v>1.2</v>
      </c>
      <c r="E12" s="111" t="s">
        <v>173</v>
      </c>
      <c r="F12" s="112" t="s">
        <v>171</v>
      </c>
      <c r="G12" s="104"/>
    </row>
    <row r="13" spans="1:11" ht="27.95" customHeight="1" x14ac:dyDescent="0.4">
      <c r="A13" s="97"/>
      <c r="B13" s="103"/>
      <c r="C13" s="109">
        <v>40949</v>
      </c>
      <c r="D13" s="110">
        <v>1.1000000000000001</v>
      </c>
      <c r="E13" s="111" t="s">
        <v>174</v>
      </c>
      <c r="F13" s="112" t="s">
        <v>171</v>
      </c>
      <c r="G13" s="104"/>
    </row>
    <row r="14" spans="1:11" ht="20.100000000000001" customHeight="1" x14ac:dyDescent="0.4">
      <c r="A14" s="97"/>
      <c r="B14" s="103"/>
      <c r="C14" s="109">
        <v>40940</v>
      </c>
      <c r="D14" s="110">
        <v>1</v>
      </c>
      <c r="E14" s="111" t="s">
        <v>175</v>
      </c>
      <c r="F14" s="112" t="s">
        <v>176</v>
      </c>
      <c r="G14" s="104"/>
    </row>
    <row r="15" spans="1:11" x14ac:dyDescent="0.4">
      <c r="B15" s="104"/>
      <c r="C15" s="104"/>
      <c r="D15" s="104"/>
      <c r="E15" s="104"/>
      <c r="F15" s="104"/>
      <c r="G15" s="104"/>
    </row>
  </sheetData>
  <sheetProtection algorithmName="SHA-512" hashValue="v37M3KVw/NajViA55ZKvxKqsyfvHhV8N4H4B8laWfl/0T7+CFiLwi2c9TUxvQ6NLDZV71LobMehOwl1fDEiulg==" saltValue="UQ5xe/qzRrjpZMmJ5to+7Q==" spinCount="100000" sheet="1" objects="1" scenarios="1"/>
  <pageMargins left="0.70866141732283472" right="0.70866141732283472" top="0.74803149606299213" bottom="0.74803149606299213" header="0.31496062992125984" footer="0.31496062992125984"/>
  <pageSetup paperSize="9" scale="79" orientation="portrait"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5" ma:contentTypeDescription="Create a new document." ma:contentTypeScope="" ma:versionID="45437605ca975eef1e8743c62f181ccf">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a6c8ea1d254cd2f3b6865d2d0b814ff2"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1E281-FA01-4540-8069-3A8F1DD19F71}">
  <ds:schemaRefs>
    <ds:schemaRef ds:uri="http://schemas.microsoft.com/office/2006/metadata/properties"/>
    <ds:schemaRef ds:uri="http://schemas.microsoft.com/office/infopath/2007/PartnerControls"/>
    <ds:schemaRef ds:uri="35b6a7de-9e1a-4b3d-8e58-e2a3da2946eb"/>
    <ds:schemaRef ds:uri="8db9bdd8-629b-441c-9eb6-e46a2e9dae03"/>
  </ds:schemaRefs>
</ds:datastoreItem>
</file>

<file path=customXml/itemProps2.xml><?xml version="1.0" encoding="utf-8"?>
<ds:datastoreItem xmlns:ds="http://schemas.openxmlformats.org/officeDocument/2006/customXml" ds:itemID="{E4B2AFDE-B794-4F7B-8227-48C4BA88AB95}">
  <ds:schemaRefs>
    <ds:schemaRef ds:uri="http://schemas.microsoft.com/sharepoint/v3/contenttype/forms"/>
  </ds:schemaRefs>
</ds:datastoreItem>
</file>

<file path=customXml/itemProps3.xml><?xml version="1.0" encoding="utf-8"?>
<ds:datastoreItem xmlns:ds="http://schemas.openxmlformats.org/officeDocument/2006/customXml" ds:itemID="{56600A13-07E7-4974-8F13-37AF01A68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75</vt:i4>
      </vt:variant>
    </vt:vector>
  </HeadingPairs>
  <TitlesOfParts>
    <vt:vector size="84" baseType="lpstr">
      <vt:lpstr>Terms and Conditions</vt:lpstr>
      <vt:lpstr>Guidance Notes</vt:lpstr>
      <vt:lpstr>Degree Day Regions</vt:lpstr>
      <vt:lpstr>Degree Day Data</vt:lpstr>
      <vt:lpstr>Summary</vt:lpstr>
      <vt:lpstr>Project 1</vt:lpstr>
      <vt:lpstr>Project 2</vt:lpstr>
      <vt:lpstr>Project 3</vt:lpstr>
      <vt:lpstr>Change Log</vt:lpstr>
      <vt:lpstr>'Project 1'!Annual_Energy_Saving__kWh</vt:lpstr>
      <vt:lpstr>'Project 2'!Annual_Energy_Saving__kWh</vt:lpstr>
      <vt:lpstr>'Project 3'!Annual_Energy_Saving__kWh</vt:lpstr>
      <vt:lpstr>Summary!Annual_Energy_Saving__kWh</vt:lpstr>
      <vt:lpstr>'Project 1'!Annual_Energy_Saving_percent</vt:lpstr>
      <vt:lpstr>'Project 2'!Annual_Energy_Saving_percent</vt:lpstr>
      <vt:lpstr>'Project 3'!Annual_Energy_Saving_percent</vt:lpstr>
      <vt:lpstr>Summary!Annual_Energy_Saving_percent</vt:lpstr>
      <vt:lpstr>'Project 1'!Annual_Financial_Saving</vt:lpstr>
      <vt:lpstr>'Project 2'!Annual_Financial_Saving</vt:lpstr>
      <vt:lpstr>'Project 3'!Annual_Financial_Saving</vt:lpstr>
      <vt:lpstr>Summary!Annual_Financial_Saving</vt:lpstr>
      <vt:lpstr>'Project 1'!Annual_Fuel_Saving__kWh</vt:lpstr>
      <vt:lpstr>'Project 2'!Annual_Fuel_Saving__kWh</vt:lpstr>
      <vt:lpstr>'Project 3'!Annual_Fuel_Saving__kWh</vt:lpstr>
      <vt:lpstr>Summary!Annual_Fuel_Saving__kWh</vt:lpstr>
      <vt:lpstr>'Project 1'!Area_Ins</vt:lpstr>
      <vt:lpstr>'Project 2'!Area_Ins</vt:lpstr>
      <vt:lpstr>'Project 3'!Area_Ins</vt:lpstr>
      <vt:lpstr>'Project 1'!Av_Energy_Cost</vt:lpstr>
      <vt:lpstr>'Project 2'!Av_Energy_Cost</vt:lpstr>
      <vt:lpstr>'Project 3'!Av_Energy_Cost</vt:lpstr>
      <vt:lpstr>'Project 1'!Boiler_Efficieny</vt:lpstr>
      <vt:lpstr>'Project 2'!Boiler_Efficieny</vt:lpstr>
      <vt:lpstr>'Project 3'!Boiler_Efficieny</vt:lpstr>
      <vt:lpstr>Degree_Day_Regions_Table</vt:lpstr>
      <vt:lpstr>'Project 1'!Heating_Season</vt:lpstr>
      <vt:lpstr>'Project 2'!Heating_Season</vt:lpstr>
      <vt:lpstr>'Project 3'!Heating_Season</vt:lpstr>
      <vt:lpstr>'Project 1'!Heating_Use</vt:lpstr>
      <vt:lpstr>'Project 2'!Heating_Use</vt:lpstr>
      <vt:lpstr>'Project 3'!Heating_Use</vt:lpstr>
      <vt:lpstr>'Project 1'!Insulation_Fabric_Type</vt:lpstr>
      <vt:lpstr>'Project 2'!Insulation_Fabric_Type</vt:lpstr>
      <vt:lpstr>'Project 3'!Insulation_Fabric_Type</vt:lpstr>
      <vt:lpstr>'Project 1'!Insulation_Type</vt:lpstr>
      <vt:lpstr>'Project 2'!Insulation_Type</vt:lpstr>
      <vt:lpstr>'Project 3'!Insulation_Type</vt:lpstr>
      <vt:lpstr>'Project 1'!Number_days_heated_during_heating_season</vt:lpstr>
      <vt:lpstr>'Project 2'!Number_days_heated_during_heating_season</vt:lpstr>
      <vt:lpstr>'Project 3'!Number_days_heated_during_heating_season</vt:lpstr>
      <vt:lpstr>'Project 1'!Number_Degree_Days_during_heating_season</vt:lpstr>
      <vt:lpstr>'Project 2'!Number_Degree_Days_during_heating_season</vt:lpstr>
      <vt:lpstr>'Project 3'!Number_Degree_Days_during_heating_season</vt:lpstr>
      <vt:lpstr>'Project 1'!Payback_in_Years</vt:lpstr>
      <vt:lpstr>'Project 2'!Payback_in_Years</vt:lpstr>
      <vt:lpstr>'Project 3'!Payback_in_Years</vt:lpstr>
      <vt:lpstr>Summary!Payback_in_Years</vt:lpstr>
      <vt:lpstr>'Change Log'!Print_Area</vt:lpstr>
      <vt:lpstr>'Degree Day Data'!Print_Area</vt:lpstr>
      <vt:lpstr>'Degree Day Regions'!Print_Area</vt:lpstr>
      <vt:lpstr>'Guidance Notes'!Print_Area</vt:lpstr>
      <vt:lpstr>'Project 1'!Print_Area</vt:lpstr>
      <vt:lpstr>'Project 2'!Print_Area</vt:lpstr>
      <vt:lpstr>'Project 3'!Print_Area</vt:lpstr>
      <vt:lpstr>Summary!Print_Area</vt:lpstr>
      <vt:lpstr>'Project 1'!Region</vt:lpstr>
      <vt:lpstr>'Project 2'!Region</vt:lpstr>
      <vt:lpstr>'Project 3'!Region</vt:lpstr>
      <vt:lpstr>Summary!Region</vt:lpstr>
      <vt:lpstr>'Project 1'!Site_Name</vt:lpstr>
      <vt:lpstr>'Project 2'!Site_Name</vt:lpstr>
      <vt:lpstr>'Project 3'!Site_Name</vt:lpstr>
      <vt:lpstr>'Project 1'!TOTAL_HEAT_LOSS__kWh</vt:lpstr>
      <vt:lpstr>'Project 2'!TOTAL_HEAT_LOSS__kWh</vt:lpstr>
      <vt:lpstr>'Project 3'!TOTAL_HEAT_LOSS__kWh</vt:lpstr>
      <vt:lpstr>'Project 1'!Total_number_of_days_heating_season</vt:lpstr>
      <vt:lpstr>'Project 2'!Total_number_of_days_heating_season</vt:lpstr>
      <vt:lpstr>'Project 3'!Total_number_of_days_heating_season</vt:lpstr>
      <vt:lpstr>'Project 1'!Total_Project_Cost</vt:lpstr>
      <vt:lpstr>'Project 2'!Total_Project_Cost</vt:lpstr>
      <vt:lpstr>'Project 3'!Total_Project_Cost</vt:lpstr>
      <vt:lpstr>'Project 1'!u_value</vt:lpstr>
      <vt:lpstr>'Project 2'!u_value</vt:lpstr>
      <vt:lpstr>'Project 3'!u_value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dc:creator>
  <cp:keywords/>
  <dc:description/>
  <cp:lastModifiedBy>Seema_Chandel</cp:lastModifiedBy>
  <cp:revision/>
  <dcterms:created xsi:type="dcterms:W3CDTF">2011-11-21T09:12:11Z</dcterms:created>
  <dcterms:modified xsi:type="dcterms:W3CDTF">2023-02-28T13:56:46Z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