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salix365.sharepoint.com/Tec/Docs/ZE. Loan Schemes/K. Project Compliance tools &amp; Business case template/1. Project compliance tools/29. V37 Development/"/>
    </mc:Choice>
  </mc:AlternateContent>
  <xr:revisionPtr revIDLastSave="761" documentId="8_{CB89C2FC-98D3-4F1E-830B-68B4874A01B2}" xr6:coauthVersionLast="47" xr6:coauthVersionMax="47" xr10:uidLastSave="{35C48495-D2D9-4C1E-8A44-C6A291010FBF}"/>
  <bookViews>
    <workbookView xWindow="-8500" yWindow="-21710" windowWidth="38620" windowHeight="21220" tabRatio="872" firstSheet="1" activeTab="3" xr2:uid="{00000000-000D-0000-FFFF-FFFF00000000}"/>
  </bookViews>
  <sheets>
    <sheet name="CRYSTAL_PERSIST" sheetId="4" state="veryHidden" r:id="rId1"/>
    <sheet name="Terms and Conditions" sheetId="28" r:id="rId2"/>
    <sheet name="Guidance Notes" sheetId="22" r:id="rId3"/>
    <sheet name="Project Compliance Tool" sheetId="2" r:id="rId4"/>
    <sheet name="Business Case" sheetId="26" r:id="rId5"/>
    <sheet name="Eligible Technologies" sheetId="35" r:id="rId6"/>
    <sheet name="Assessment Form" sheetId="32" state="hidden" r:id="rId7"/>
    <sheet name="Additionality Criteria" sheetId="19" r:id="rId8"/>
    <sheet name="Definitions" sheetId="21" r:id="rId9"/>
    <sheet name="Revision History" sheetId="7" r:id="rId10"/>
    <sheet name="Extra look-up" sheetId="11" state="hidden" r:id="rId11"/>
    <sheet name="PETREAD" sheetId="23"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5" hidden="1">'Eligible Technologies'!$C$6:$G$69</definedName>
    <definedName name="_xlnm._FilterDatabase" localSheetId="11" hidden="1">PETREAD!$T$12:$U$22</definedName>
    <definedName name="Blank">'Extra look-up'!$B$30:$B$30</definedName>
    <definedName name="BMS" localSheetId="5">'Eligible Technologies'!$D$17:$D$18</definedName>
    <definedName name="BMS">'Eligible Technologies'!$D$17:$D$18</definedName>
    <definedName name="Boilers">#REF!</definedName>
    <definedName name="CHP">#REF!</definedName>
    <definedName name="CO2_factors">'Eligible Technologies'!$J$17:$K$26</definedName>
    <definedName name="Compressor">#REF!</definedName>
    <definedName name="Cooling">'Eligible Technologies'!$D$19:$D$23</definedName>
    <definedName name="DRange" localSheetId="5">'[1]Backing Sheet Buildings'!$D$2:INDEX('[1]Backing Sheet Buildings'!$D$2:$D$101,COUNTIF('[1]Backing Sheet Buildings'!$D$2:$D$101,"?*"))</definedName>
    <definedName name="DRangeSystems" localSheetId="5">'[1]Backing Sheet Buildings'!$L$2:INDEX('[1]Backing Sheet Buildings'!$L$2:$L$101,COUNTIF('[1]Backing Sheet Buildings'!$L$2:$L$101,"?*"))</definedName>
    <definedName name="EfW">'Eligible Technologies'!$D$24:$D$25</definedName>
    <definedName name="Emergency_Services">'Project Compliance Tool'!$AG$20:$AG$30</definedName>
    <definedName name="Energy_Types">'Eligible Technologies'!$J$17:$J$26</definedName>
    <definedName name="FPrice">'[2]Lookup Table'!$G$15:$G$87</definedName>
    <definedName name="FRange" localSheetId="5">'[1]Backing Sheet Buildings'!$K$2:INDEX('[1]Backing Sheet Buildings'!XFC1:XFC50,COUNTIF('[1]Backing Sheet Buildings'!$K$2:$K$51,"*?"))</definedName>
    <definedName name="Fuel_type">'[3]Technology List &amp; Con. Factors'!$F$5:$F$14</definedName>
    <definedName name="Further_Education_Institute">'Project Compliance Tool'!$AH$20:$AH$37</definedName>
    <definedName name="Hand_dryers">#REF!</definedName>
    <definedName name="Heating">'Eligible Technologies'!$D$26:$D$32</definedName>
    <definedName name="Higher_Education_Institute">'Project Compliance Tool'!$AI$20:$AI$37</definedName>
    <definedName name="Hot_water">'Eligible Technologies'!$D$33:$D$35</definedName>
    <definedName name="Insulation_building_fabric">'Eligible Technologies'!$D$36:$D$43</definedName>
    <definedName name="Insulation_draught_proofing">'Eligible Technologies'!$D$44</definedName>
    <definedName name="Insulation_other">'Eligible Technologies'!$D$45:$D$49</definedName>
    <definedName name="Insulation_pipework">'Eligible Technologies'!$D$50:$D$51</definedName>
    <definedName name="IT">#REF!</definedName>
    <definedName name="Kitchen">#REF!</definedName>
    <definedName name="Lab">#REF!</definedName>
    <definedName name="LCH">'Eligible Technologies'!$D$7:$D$15</definedName>
    <definedName name="LEDs">'Eligible Technologies'!$D$52:$D$53</definedName>
    <definedName name="Lighting_controls">'Eligible Technologies'!$D$54:$D$55</definedName>
    <definedName name="Lighting_upgrades">'[4]Technology List &amp; Con. Factors'!#REF!</definedName>
    <definedName name="Local_Authority">'Project Compliance Tool'!$AJ$20:$AJ$33</definedName>
    <definedName name="Motor_controls">'Eligible Technologies'!$D$56:$D$58</definedName>
    <definedName name="Motor_replacement">'Eligible Technologies'!$D$59</definedName>
    <definedName name="NHS">'Project Compliance Tool'!$AK$20:$AK$29</definedName>
    <definedName name="Office">#REF!</definedName>
    <definedName name="Operation_hours">[5]Dashboard!$D$28</definedName>
    <definedName name="Primary_School">'Project Compliance Tool'!$AL$20:$AL$30</definedName>
    <definedName name="_xlnm.Print_Area" localSheetId="7">'Additionality Criteria'!$A$2:$M$8</definedName>
    <definedName name="_xlnm.Print_Area" localSheetId="6">'Assessment Form'!$B$4:$H$84</definedName>
    <definedName name="_xlnm.Print_Area" localSheetId="4">'Business Case'!$B$2:$H$99</definedName>
    <definedName name="_xlnm.Print_Area" localSheetId="8">Definitions!$A$2:$M$8</definedName>
    <definedName name="_xlnm.Print_Area" localSheetId="5">'Eligible Technologies'!$C$3:$G$69</definedName>
    <definedName name="_xlnm.Print_Area" localSheetId="2">'Guidance Notes'!$A$1:$S$50</definedName>
    <definedName name="_xlnm.Print_Area" localSheetId="9">'Revision History'!$B$1:$E$27</definedName>
    <definedName name="_xlnm.Print_Area" localSheetId="1">'Terms and Conditions'!$B$1:$B$12</definedName>
    <definedName name="Project_type" localSheetId="5">'[1]Extra look-up'!$A$3:$A$19</definedName>
    <definedName name="Project_type">'Extra look-up'!$A$3:$A$20</definedName>
    <definedName name="Recycling_Fund_England">'Extra look-up'!$G$85:$G$90</definedName>
    <definedName name="Recycling_Fund_England_HEI">'Extra look-up'!$G$84</definedName>
    <definedName name="Recycling_Fund_Scotland">'Extra look-up'!$G$98:$G$101</definedName>
    <definedName name="Recycling_Fund_Wales">'Extra look-up'!$G$107:$G$110</definedName>
    <definedName name="Renewables">'Eligible Technologies'!$D$60:$D$62</definedName>
    <definedName name="Salix_Decarbonisation_Fund">'Extra look-up'!$G$118:$G$123</definedName>
    <definedName name="Secondary_School">'Project Compliance Tool'!$AM$20:$AM$30</definedName>
    <definedName name="SEELS_England">'Extra look-up'!$G$91:$G$95</definedName>
    <definedName name="SEELS_Schools">'Extra look-up'!$G$96:$G$97</definedName>
    <definedName name="SEELS_Scotland">'Extra look-up'!$G$102:$G$106</definedName>
    <definedName name="SEELS_Wales">'Extra look-up'!$G$111:$G$117</definedName>
    <definedName name="Site_consumption">[6]Example!$C$19</definedName>
    <definedName name="Street_lighting">#REF!</definedName>
    <definedName name="Swimming">#REF!</definedName>
    <definedName name="Time_switches">'Eligible Technologies'!$D$63</definedName>
    <definedName name="Traffic_lights">#REF!</definedName>
    <definedName name="Transformers">'Eligible Technologies'!#REF!</definedName>
    <definedName name="Unit_cost">[5]Dashboard!$D$27</definedName>
    <definedName name="Ventilation">'Eligible Technologies'!$D$64:$D$69</definedName>
    <definedName name="Voltage_reduction">'[7]Lookup Table'!#REF!</definedName>
    <definedName name="Work_types">'Eligible Technologies'!$D$7:$D$15,'Eligible Technologies'!$D$7:$D$15,'Eligible Technologies'!$D$17:$D$69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2" l="1"/>
  <c r="AC14" i="2" s="1"/>
  <c r="AD14" i="2"/>
  <c r="C11" i="26" l="1"/>
  <c r="G80" i="11"/>
  <c r="G15" i="11" l="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E15" i="11"/>
  <c r="F15" i="11" s="1"/>
  <c r="E16" i="11"/>
  <c r="F16" i="11" s="1"/>
  <c r="E17" i="11"/>
  <c r="F17" i="11" s="1"/>
  <c r="Z23" i="2" s="1"/>
  <c r="E18" i="11"/>
  <c r="F18" i="11" s="1"/>
  <c r="E19" i="11"/>
  <c r="F19" i="11" s="1"/>
  <c r="Z25" i="2" s="1"/>
  <c r="E20" i="11"/>
  <c r="F20" i="11" s="1"/>
  <c r="E21" i="11"/>
  <c r="F21" i="11" s="1"/>
  <c r="E22" i="11"/>
  <c r="F22" i="11" s="1"/>
  <c r="E23" i="11"/>
  <c r="F23" i="11" s="1"/>
  <c r="E24" i="11"/>
  <c r="F24" i="11" s="1"/>
  <c r="E25" i="11"/>
  <c r="F25" i="11" s="1"/>
  <c r="Z31" i="2" s="1"/>
  <c r="E26" i="11"/>
  <c r="F26" i="11" s="1"/>
  <c r="E27" i="11"/>
  <c r="F27" i="11" s="1"/>
  <c r="Z33" i="2" s="1"/>
  <c r="E28" i="11"/>
  <c r="F28" i="11" s="1"/>
  <c r="E29" i="11"/>
  <c r="F29" i="11" s="1"/>
  <c r="Z35" i="2" s="1"/>
  <c r="E30" i="11"/>
  <c r="F30" i="11" s="1"/>
  <c r="E31" i="11"/>
  <c r="F31" i="11" s="1"/>
  <c r="E32" i="11"/>
  <c r="F32" i="11" s="1"/>
  <c r="E33" i="11"/>
  <c r="F33" i="11" s="1"/>
  <c r="Z39" i="2" s="1"/>
  <c r="E34" i="11"/>
  <c r="F34" i="11" s="1"/>
  <c r="E35" i="11"/>
  <c r="F35" i="11" s="1"/>
  <c r="Z41" i="2" s="1"/>
  <c r="E36" i="11"/>
  <c r="F36" i="11" s="1"/>
  <c r="E37" i="11"/>
  <c r="F37" i="11" s="1"/>
  <c r="Z43" i="2" s="1"/>
  <c r="E38" i="11"/>
  <c r="F38" i="11" s="1"/>
  <c r="E39" i="11"/>
  <c r="F39" i="11" s="1"/>
  <c r="E40" i="11"/>
  <c r="F40" i="11" s="1"/>
  <c r="E41" i="11"/>
  <c r="F41" i="11" s="1"/>
  <c r="Z47" i="2" s="1"/>
  <c r="E42" i="11"/>
  <c r="F42" i="11" s="1"/>
  <c r="E43" i="11"/>
  <c r="F43" i="11" s="1"/>
  <c r="Z49" i="2" s="1"/>
  <c r="E44" i="11"/>
  <c r="F44" i="11" s="1"/>
  <c r="E45" i="11"/>
  <c r="F45" i="11" s="1"/>
  <c r="E46" i="11"/>
  <c r="F46" i="11" s="1"/>
  <c r="E47" i="11"/>
  <c r="F47" i="11" s="1"/>
  <c r="E48" i="11"/>
  <c r="F48" i="11" s="1"/>
  <c r="E49" i="11"/>
  <c r="F49" i="11" s="1"/>
  <c r="Z55" i="2" s="1"/>
  <c r="E50" i="11"/>
  <c r="F50" i="11" s="1"/>
  <c r="E51" i="11"/>
  <c r="F51" i="11" s="1"/>
  <c r="Z57" i="2" s="1"/>
  <c r="E52" i="11"/>
  <c r="F52" i="11" s="1"/>
  <c r="E53" i="11"/>
  <c r="F53" i="11" s="1"/>
  <c r="E54" i="11"/>
  <c r="F54" i="11" s="1"/>
  <c r="E55" i="11"/>
  <c r="F55" i="11" s="1"/>
  <c r="D50" i="11"/>
  <c r="D51" i="11"/>
  <c r="D52" i="11"/>
  <c r="D53" i="11"/>
  <c r="D54" i="11"/>
  <c r="D55" i="11"/>
  <c r="D28" i="11"/>
  <c r="D29" i="11"/>
  <c r="D30" i="11"/>
  <c r="D31" i="11"/>
  <c r="D32" i="11"/>
  <c r="D33" i="11"/>
  <c r="D34" i="11"/>
  <c r="D35" i="11"/>
  <c r="D36" i="11"/>
  <c r="D37" i="11"/>
  <c r="D38" i="11"/>
  <c r="D39" i="11"/>
  <c r="D40" i="11"/>
  <c r="D41" i="11"/>
  <c r="D42" i="11"/>
  <c r="D43" i="11"/>
  <c r="D44" i="11"/>
  <c r="D45" i="11"/>
  <c r="D46" i="11"/>
  <c r="D47" i="11"/>
  <c r="D48" i="11"/>
  <c r="D49" i="11"/>
  <c r="D15" i="11"/>
  <c r="D16" i="11"/>
  <c r="D17" i="11"/>
  <c r="D18" i="11"/>
  <c r="D19" i="11"/>
  <c r="D20" i="11"/>
  <c r="D21" i="11"/>
  <c r="D22" i="11"/>
  <c r="D23" i="11"/>
  <c r="D24" i="11"/>
  <c r="D25" i="11"/>
  <c r="D26" i="11"/>
  <c r="D27" i="11"/>
  <c r="W21" i="2"/>
  <c r="AC21" i="2" s="1"/>
  <c r="W22" i="2"/>
  <c r="AC22" i="2" s="1"/>
  <c r="W23" i="2"/>
  <c r="AC23" i="2" s="1"/>
  <c r="W24" i="2"/>
  <c r="AC24" i="2" s="1"/>
  <c r="W25" i="2"/>
  <c r="AC25" i="2" s="1"/>
  <c r="W26" i="2"/>
  <c r="AC26" i="2" s="1"/>
  <c r="W27" i="2"/>
  <c r="AC27" i="2" s="1"/>
  <c r="W28" i="2"/>
  <c r="AC28" i="2" s="1"/>
  <c r="W29" i="2"/>
  <c r="AC29" i="2" s="1"/>
  <c r="W30" i="2"/>
  <c r="AC30" i="2" s="1"/>
  <c r="W31" i="2"/>
  <c r="AC31" i="2" s="1"/>
  <c r="W32" i="2"/>
  <c r="AC32" i="2" s="1"/>
  <c r="W33" i="2"/>
  <c r="AC33" i="2" s="1"/>
  <c r="W34" i="2"/>
  <c r="AC34" i="2" s="1"/>
  <c r="W35" i="2"/>
  <c r="AC35" i="2" s="1"/>
  <c r="W36" i="2"/>
  <c r="AC36" i="2" s="1"/>
  <c r="W37" i="2"/>
  <c r="AC37" i="2" s="1"/>
  <c r="W38" i="2"/>
  <c r="AC38" i="2" s="1"/>
  <c r="W39" i="2"/>
  <c r="AC39" i="2" s="1"/>
  <c r="W40" i="2"/>
  <c r="AC40" i="2" s="1"/>
  <c r="W41" i="2"/>
  <c r="AC41" i="2" s="1"/>
  <c r="W42" i="2"/>
  <c r="AC42" i="2" s="1"/>
  <c r="W43" i="2"/>
  <c r="AC43" i="2" s="1"/>
  <c r="W44" i="2"/>
  <c r="AC44" i="2" s="1"/>
  <c r="W45" i="2"/>
  <c r="AC45" i="2" s="1"/>
  <c r="W46" i="2"/>
  <c r="AC46" i="2" s="1"/>
  <c r="W47" i="2"/>
  <c r="AC47" i="2" s="1"/>
  <c r="W48" i="2"/>
  <c r="AC48" i="2" s="1"/>
  <c r="W49" i="2"/>
  <c r="AC49" i="2" s="1"/>
  <c r="W50" i="2"/>
  <c r="AC50" i="2" s="1"/>
  <c r="W51" i="2"/>
  <c r="AC51" i="2" s="1"/>
  <c r="W52" i="2"/>
  <c r="AC52" i="2" s="1"/>
  <c r="W53" i="2"/>
  <c r="AC53" i="2" s="1"/>
  <c r="W54" i="2"/>
  <c r="AC54" i="2" s="1"/>
  <c r="W55" i="2"/>
  <c r="AC55" i="2" s="1"/>
  <c r="W56" i="2"/>
  <c r="AC56" i="2" s="1"/>
  <c r="W57" i="2"/>
  <c r="AC57" i="2" s="1"/>
  <c r="W58" i="2"/>
  <c r="AC58" i="2" s="1"/>
  <c r="W59" i="2"/>
  <c r="AC59" i="2" s="1"/>
  <c r="W60" i="2"/>
  <c r="AC60" i="2" s="1"/>
  <c r="W61" i="2"/>
  <c r="AC61" i="2" s="1"/>
  <c r="M21" i="2"/>
  <c r="P21" i="2" s="1"/>
  <c r="Q21" i="2" s="1"/>
  <c r="X21" i="2" s="1"/>
  <c r="M22" i="2"/>
  <c r="P22" i="2" s="1"/>
  <c r="Q22" i="2" s="1"/>
  <c r="X22" i="2" s="1"/>
  <c r="G22" i="2" s="1"/>
  <c r="M23" i="2"/>
  <c r="P23" i="2" s="1"/>
  <c r="Q23" i="2" s="1"/>
  <c r="X23" i="2" s="1"/>
  <c r="G23" i="2" s="1"/>
  <c r="M24" i="2"/>
  <c r="M25" i="2"/>
  <c r="M26" i="2"/>
  <c r="M27" i="2"/>
  <c r="N27" i="2" s="1"/>
  <c r="M28" i="2"/>
  <c r="N28" i="2" s="1"/>
  <c r="M29" i="2"/>
  <c r="P29" i="2" s="1"/>
  <c r="Q29" i="2" s="1"/>
  <c r="X29" i="2" s="1"/>
  <c r="G29" i="2" s="1"/>
  <c r="M30" i="2"/>
  <c r="P30" i="2" s="1"/>
  <c r="Q30" i="2" s="1"/>
  <c r="X30" i="2" s="1"/>
  <c r="G30" i="2" s="1"/>
  <c r="M31" i="2"/>
  <c r="P31" i="2" s="1"/>
  <c r="Q31" i="2" s="1"/>
  <c r="X31" i="2" s="1"/>
  <c r="G31" i="2" s="1"/>
  <c r="M32" i="2"/>
  <c r="M33" i="2"/>
  <c r="M34" i="2"/>
  <c r="M35" i="2"/>
  <c r="M36" i="2"/>
  <c r="N36" i="2" s="1"/>
  <c r="M37" i="2"/>
  <c r="P37" i="2" s="1"/>
  <c r="Q37" i="2" s="1"/>
  <c r="X37" i="2" s="1"/>
  <c r="G37" i="2" s="1"/>
  <c r="M38" i="2"/>
  <c r="P38" i="2" s="1"/>
  <c r="Q38" i="2" s="1"/>
  <c r="X38" i="2" s="1"/>
  <c r="G38" i="2" s="1"/>
  <c r="M39" i="2"/>
  <c r="P39" i="2" s="1"/>
  <c r="Q39" i="2" s="1"/>
  <c r="X39" i="2" s="1"/>
  <c r="G39" i="2" s="1"/>
  <c r="M40" i="2"/>
  <c r="M41" i="2"/>
  <c r="M42" i="2"/>
  <c r="M43" i="2"/>
  <c r="M44" i="2"/>
  <c r="N44" i="2" s="1"/>
  <c r="M45" i="2"/>
  <c r="P45" i="2" s="1"/>
  <c r="Q45" i="2" s="1"/>
  <c r="X45" i="2" s="1"/>
  <c r="G45" i="2" s="1"/>
  <c r="M46" i="2"/>
  <c r="P46" i="2" s="1"/>
  <c r="Q46" i="2" s="1"/>
  <c r="X46" i="2" s="1"/>
  <c r="G46" i="2" s="1"/>
  <c r="M47" i="2"/>
  <c r="P47" i="2" s="1"/>
  <c r="Q47" i="2" s="1"/>
  <c r="X47" i="2" s="1"/>
  <c r="G47" i="2" s="1"/>
  <c r="M48" i="2"/>
  <c r="V48" i="2" s="1"/>
  <c r="Y48" i="2" s="1"/>
  <c r="M49" i="2"/>
  <c r="M50" i="2"/>
  <c r="M51" i="2"/>
  <c r="M52" i="2"/>
  <c r="N52" i="2" s="1"/>
  <c r="M53" i="2"/>
  <c r="P53" i="2" s="1"/>
  <c r="Q53" i="2" s="1"/>
  <c r="X53" i="2" s="1"/>
  <c r="G53" i="2" s="1"/>
  <c r="M54" i="2"/>
  <c r="P54" i="2" s="1"/>
  <c r="Q54" i="2" s="1"/>
  <c r="X54" i="2" s="1"/>
  <c r="G54" i="2" s="1"/>
  <c r="M55" i="2"/>
  <c r="P55" i="2" s="1"/>
  <c r="Q55" i="2" s="1"/>
  <c r="X55" i="2" s="1"/>
  <c r="G55" i="2" s="1"/>
  <c r="M56" i="2"/>
  <c r="V56" i="2" s="1"/>
  <c r="Y56" i="2" s="1"/>
  <c r="M57" i="2"/>
  <c r="M58" i="2"/>
  <c r="M59" i="2"/>
  <c r="M60" i="2"/>
  <c r="N60" i="2" s="1"/>
  <c r="M61" i="2"/>
  <c r="P61" i="2" s="1"/>
  <c r="Q61" i="2" s="1"/>
  <c r="X61" i="2" s="1"/>
  <c r="G61" i="2" s="1"/>
  <c r="W12" i="2"/>
  <c r="AC12" i="2" s="1"/>
  <c r="AO102" i="2"/>
  <c r="AO103" i="2"/>
  <c r="AO104" i="2"/>
  <c r="AO105" i="2"/>
  <c r="AO106" i="2"/>
  <c r="AO107" i="2"/>
  <c r="AO108" i="2"/>
  <c r="AO109" i="2"/>
  <c r="AO110"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135" i="2"/>
  <c r="AO136" i="2"/>
  <c r="AO137" i="2"/>
  <c r="AO138" i="2"/>
  <c r="AO139" i="2"/>
  <c r="AO140" i="2"/>
  <c r="AO101" i="2"/>
  <c r="L9" i="2"/>
  <c r="O65" i="2" s="1"/>
  <c r="H15" i="11"/>
  <c r="H23" i="11"/>
  <c r="H31" i="11"/>
  <c r="H39" i="11"/>
  <c r="H47" i="11"/>
  <c r="H55" i="11"/>
  <c r="AD38" i="2"/>
  <c r="AD35" i="2"/>
  <c r="AD58" i="2"/>
  <c r="AD45" i="2"/>
  <c r="AD29" i="2"/>
  <c r="AD26" i="2"/>
  <c r="AD23" i="2"/>
  <c r="AD52" i="2"/>
  <c r="AD21" i="2"/>
  <c r="AD22" i="2"/>
  <c r="AD36" i="2"/>
  <c r="AD44" i="2"/>
  <c r="AD53" i="2"/>
  <c r="AD55" i="2"/>
  <c r="AD28" i="2"/>
  <c r="AD51" i="2"/>
  <c r="AD61" i="2"/>
  <c r="AD54" i="2"/>
  <c r="AD60" i="2"/>
  <c r="AD32" i="2"/>
  <c r="AD49" i="2"/>
  <c r="AD33" i="2"/>
  <c r="AD42" i="2"/>
  <c r="AD56" i="2"/>
  <c r="AD27" i="2"/>
  <c r="AD31" i="2"/>
  <c r="AD34" i="2"/>
  <c r="AD12" i="2"/>
  <c r="AD39" i="2"/>
  <c r="AD37" i="2"/>
  <c r="AD30" i="2"/>
  <c r="AD57" i="2"/>
  <c r="AD24" i="2"/>
  <c r="AD47" i="2"/>
  <c r="AD59" i="2"/>
  <c r="AD43" i="2"/>
  <c r="AD46" i="2"/>
  <c r="AD50" i="2"/>
  <c r="AD48" i="2"/>
  <c r="AD40" i="2"/>
  <c r="AD41" i="2"/>
  <c r="AD25" i="2"/>
  <c r="I55" i="11" l="1"/>
  <c r="I47" i="11"/>
  <c r="I39" i="11"/>
  <c r="AA37" i="2"/>
  <c r="AA29" i="2"/>
  <c r="I15" i="11"/>
  <c r="V59" i="2"/>
  <c r="Y59" i="2" s="1"/>
  <c r="V51" i="2"/>
  <c r="Y51" i="2" s="1"/>
  <c r="V43" i="2"/>
  <c r="Y43" i="2" s="1"/>
  <c r="V50" i="2"/>
  <c r="Y50" i="2" s="1"/>
  <c r="V57" i="2"/>
  <c r="Y57" i="2" s="1"/>
  <c r="V49" i="2"/>
  <c r="Y49" i="2" s="1"/>
  <c r="R32" i="2"/>
  <c r="S32" i="2" s="1"/>
  <c r="T32" i="2" s="1"/>
  <c r="U32" i="2" s="1"/>
  <c r="R38" i="2"/>
  <c r="S38" i="2" s="1"/>
  <c r="T38" i="2" s="1"/>
  <c r="U38" i="2" s="1"/>
  <c r="R22" i="2"/>
  <c r="S22" i="2" s="1"/>
  <c r="T22" i="2" s="1"/>
  <c r="U22" i="2" s="1"/>
  <c r="R30" i="2"/>
  <c r="S30" i="2" s="1"/>
  <c r="T30" i="2" s="1"/>
  <c r="U30" i="2" s="1"/>
  <c r="R52" i="2"/>
  <c r="S52" i="2" s="1"/>
  <c r="T52" i="2" s="1"/>
  <c r="U52" i="2" s="1"/>
  <c r="R25" i="2"/>
  <c r="S25" i="2" s="1"/>
  <c r="T25" i="2" s="1"/>
  <c r="U25" i="2" s="1"/>
  <c r="R60" i="2"/>
  <c r="S60" i="2" s="1"/>
  <c r="T60" i="2" s="1"/>
  <c r="U60" i="2" s="1"/>
  <c r="R21" i="2"/>
  <c r="S21" i="2" s="1"/>
  <c r="T21" i="2" s="1"/>
  <c r="U21" i="2" s="1"/>
  <c r="R40" i="2"/>
  <c r="S40" i="2" s="1"/>
  <c r="T40" i="2" s="1"/>
  <c r="U40" i="2" s="1"/>
  <c r="R28" i="2"/>
  <c r="S28" i="2" s="1"/>
  <c r="T28" i="2" s="1"/>
  <c r="U28" i="2" s="1"/>
  <c r="R27" i="2"/>
  <c r="S27" i="2" s="1"/>
  <c r="T27" i="2" s="1"/>
  <c r="U27" i="2" s="1"/>
  <c r="R29" i="2"/>
  <c r="S29" i="2" s="1"/>
  <c r="T29" i="2" s="1"/>
  <c r="U29" i="2" s="1"/>
  <c r="R34" i="2"/>
  <c r="S34" i="2" s="1"/>
  <c r="T34" i="2" s="1"/>
  <c r="U34" i="2" s="1"/>
  <c r="R31" i="2"/>
  <c r="S31" i="2" s="1"/>
  <c r="T31" i="2" s="1"/>
  <c r="U31" i="2" s="1"/>
  <c r="R41" i="2"/>
  <c r="S41" i="2" s="1"/>
  <c r="T41" i="2" s="1"/>
  <c r="U41" i="2" s="1"/>
  <c r="R58" i="2"/>
  <c r="S58" i="2" s="1"/>
  <c r="T58" i="2" s="1"/>
  <c r="U58" i="2" s="1"/>
  <c r="R55" i="2"/>
  <c r="S55" i="2" s="1"/>
  <c r="T55" i="2" s="1"/>
  <c r="U55" i="2" s="1"/>
  <c r="R43" i="2"/>
  <c r="S43" i="2" s="1"/>
  <c r="T43" i="2" s="1"/>
  <c r="U43" i="2" s="1"/>
  <c r="R35" i="2"/>
  <c r="S35" i="2" s="1"/>
  <c r="T35" i="2" s="1"/>
  <c r="U35" i="2" s="1"/>
  <c r="R54" i="2"/>
  <c r="S54" i="2" s="1"/>
  <c r="T54" i="2" s="1"/>
  <c r="U54" i="2" s="1"/>
  <c r="R50" i="2"/>
  <c r="S50" i="2" s="1"/>
  <c r="T50" i="2" s="1"/>
  <c r="U50" i="2" s="1"/>
  <c r="R46" i="2"/>
  <c r="S46" i="2" s="1"/>
  <c r="T46" i="2" s="1"/>
  <c r="U46" i="2" s="1"/>
  <c r="R33" i="2"/>
  <c r="S33" i="2" s="1"/>
  <c r="T33" i="2" s="1"/>
  <c r="U33" i="2" s="1"/>
  <c r="R24" i="2"/>
  <c r="S24" i="2" s="1"/>
  <c r="T24" i="2" s="1"/>
  <c r="U24" i="2" s="1"/>
  <c r="R37" i="2"/>
  <c r="S37" i="2" s="1"/>
  <c r="T37" i="2" s="1"/>
  <c r="U37" i="2" s="1"/>
  <c r="R48" i="2"/>
  <c r="S48" i="2" s="1"/>
  <c r="T48" i="2" s="1"/>
  <c r="U48" i="2" s="1"/>
  <c r="R26" i="2"/>
  <c r="S26" i="2" s="1"/>
  <c r="T26" i="2" s="1"/>
  <c r="U26" i="2" s="1"/>
  <c r="R47" i="2"/>
  <c r="S47" i="2" s="1"/>
  <c r="T47" i="2" s="1"/>
  <c r="U47" i="2" s="1"/>
  <c r="R57" i="2"/>
  <c r="S57" i="2" s="1"/>
  <c r="T57" i="2" s="1"/>
  <c r="U57" i="2" s="1"/>
  <c r="R53" i="2"/>
  <c r="S53" i="2" s="1"/>
  <c r="T53" i="2" s="1"/>
  <c r="U53" i="2" s="1"/>
  <c r="R51" i="2"/>
  <c r="S51" i="2" s="1"/>
  <c r="T51" i="2" s="1"/>
  <c r="U51" i="2" s="1"/>
  <c r="R56" i="2"/>
  <c r="S56" i="2" s="1"/>
  <c r="T56" i="2" s="1"/>
  <c r="U56" i="2" s="1"/>
  <c r="R36" i="2"/>
  <c r="S36" i="2" s="1"/>
  <c r="T36" i="2" s="1"/>
  <c r="U36" i="2" s="1"/>
  <c r="R44" i="2"/>
  <c r="S44" i="2" s="1"/>
  <c r="T44" i="2" s="1"/>
  <c r="U44" i="2" s="1"/>
  <c r="R39" i="2"/>
  <c r="S39" i="2" s="1"/>
  <c r="T39" i="2" s="1"/>
  <c r="U39" i="2" s="1"/>
  <c r="R42" i="2"/>
  <c r="S42" i="2" s="1"/>
  <c r="T42" i="2" s="1"/>
  <c r="U42" i="2" s="1"/>
  <c r="R49" i="2"/>
  <c r="S49" i="2" s="1"/>
  <c r="T49" i="2" s="1"/>
  <c r="U49" i="2" s="1"/>
  <c r="R59" i="2"/>
  <c r="S59" i="2" s="1"/>
  <c r="T59" i="2" s="1"/>
  <c r="U59" i="2" s="1"/>
  <c r="R23" i="2"/>
  <c r="S23" i="2" s="1"/>
  <c r="T23" i="2" s="1"/>
  <c r="U23" i="2" s="1"/>
  <c r="R45" i="2"/>
  <c r="S45" i="2" s="1"/>
  <c r="T45" i="2" s="1"/>
  <c r="U45" i="2" s="1"/>
  <c r="R61" i="2"/>
  <c r="S61" i="2" s="1"/>
  <c r="T61" i="2" s="1"/>
  <c r="U61" i="2" s="1"/>
  <c r="R12" i="2"/>
  <c r="N43" i="2"/>
  <c r="P44" i="2"/>
  <c r="Q44" i="2" s="1"/>
  <c r="X44" i="2" s="1"/>
  <c r="G44" i="2" s="1"/>
  <c r="Z50" i="2"/>
  <c r="P60" i="2"/>
  <c r="Q60" i="2" s="1"/>
  <c r="X60" i="2" s="1"/>
  <c r="G60" i="2" s="1"/>
  <c r="P52" i="2"/>
  <c r="Q52" i="2" s="1"/>
  <c r="X52" i="2" s="1"/>
  <c r="G52" i="2" s="1"/>
  <c r="Z42" i="2"/>
  <c r="AB50" i="2"/>
  <c r="N59" i="2"/>
  <c r="P36" i="2"/>
  <c r="Q36" i="2" s="1"/>
  <c r="X36" i="2" s="1"/>
  <c r="G36" i="2" s="1"/>
  <c r="V55" i="2"/>
  <c r="Z34" i="2"/>
  <c r="N51" i="2"/>
  <c r="P28" i="2"/>
  <c r="Q28" i="2" s="1"/>
  <c r="X28" i="2" s="1"/>
  <c r="G28" i="2" s="1"/>
  <c r="V47" i="2"/>
  <c r="AB56" i="2"/>
  <c r="AB48" i="2"/>
  <c r="Z59" i="2"/>
  <c r="Z27" i="2"/>
  <c r="Z58" i="2"/>
  <c r="Z26" i="2"/>
  <c r="N35" i="2"/>
  <c r="Z51" i="2"/>
  <c r="Z61" i="2"/>
  <c r="Z53" i="2"/>
  <c r="Z45" i="2"/>
  <c r="Z37" i="2"/>
  <c r="Z29" i="2"/>
  <c r="Z21" i="2"/>
  <c r="Z60" i="2"/>
  <c r="Z52" i="2"/>
  <c r="Z44" i="2"/>
  <c r="Z36" i="2"/>
  <c r="Z28" i="2"/>
  <c r="Z56" i="2"/>
  <c r="Z48" i="2"/>
  <c r="Z40" i="2"/>
  <c r="Z32" i="2"/>
  <c r="Z24" i="2"/>
  <c r="Z54" i="2"/>
  <c r="Z46" i="2"/>
  <c r="Z38" i="2"/>
  <c r="Z30" i="2"/>
  <c r="Z22" i="2"/>
  <c r="AA61" i="2"/>
  <c r="AA53" i="2"/>
  <c r="AA45" i="2"/>
  <c r="AA21" i="2"/>
  <c r="I31" i="11"/>
  <c r="V37" i="2"/>
  <c r="AB37" i="2" s="1"/>
  <c r="I23" i="11"/>
  <c r="V29" i="2"/>
  <c r="AB29" i="2" s="1"/>
  <c r="N58" i="2"/>
  <c r="N50" i="2"/>
  <c r="N42" i="2"/>
  <c r="N34" i="2"/>
  <c r="N26" i="2"/>
  <c r="P59" i="2"/>
  <c r="Q59" i="2" s="1"/>
  <c r="X59" i="2" s="1"/>
  <c r="G59" i="2" s="1"/>
  <c r="P51" i="2"/>
  <c r="Q51" i="2" s="1"/>
  <c r="X51" i="2" s="1"/>
  <c r="G51" i="2" s="1"/>
  <c r="P43" i="2"/>
  <c r="Q43" i="2" s="1"/>
  <c r="X43" i="2" s="1"/>
  <c r="G43" i="2" s="1"/>
  <c r="P35" i="2"/>
  <c r="Q35" i="2" s="1"/>
  <c r="X35" i="2" s="1"/>
  <c r="G35" i="2" s="1"/>
  <c r="P27" i="2"/>
  <c r="Q27" i="2" s="1"/>
  <c r="X27" i="2" s="1"/>
  <c r="G27" i="2" s="1"/>
  <c r="V54" i="2"/>
  <c r="V46" i="2"/>
  <c r="N57" i="2"/>
  <c r="N49" i="2"/>
  <c r="N41" i="2"/>
  <c r="N33" i="2"/>
  <c r="N25" i="2"/>
  <c r="P58" i="2"/>
  <c r="Q58" i="2" s="1"/>
  <c r="X58" i="2" s="1"/>
  <c r="G58" i="2" s="1"/>
  <c r="P50" i="2"/>
  <c r="Q50" i="2" s="1"/>
  <c r="X50" i="2" s="1"/>
  <c r="G50" i="2" s="1"/>
  <c r="P42" i="2"/>
  <c r="Q42" i="2" s="1"/>
  <c r="X42" i="2" s="1"/>
  <c r="G42" i="2" s="1"/>
  <c r="P34" i="2"/>
  <c r="Q34" i="2" s="1"/>
  <c r="X34" i="2" s="1"/>
  <c r="G34" i="2" s="1"/>
  <c r="P26" i="2"/>
  <c r="Q26" i="2" s="1"/>
  <c r="X26" i="2" s="1"/>
  <c r="G26" i="2" s="1"/>
  <c r="V53" i="2"/>
  <c r="V45" i="2"/>
  <c r="N56" i="2"/>
  <c r="N48" i="2"/>
  <c r="N40" i="2"/>
  <c r="N32" i="2"/>
  <c r="N24" i="2"/>
  <c r="P57" i="2"/>
  <c r="Q57" i="2" s="1"/>
  <c r="X57" i="2" s="1"/>
  <c r="G57" i="2" s="1"/>
  <c r="P49" i="2"/>
  <c r="Q49" i="2" s="1"/>
  <c r="X49" i="2" s="1"/>
  <c r="G49" i="2" s="1"/>
  <c r="P41" i="2"/>
  <c r="Q41" i="2" s="1"/>
  <c r="X41" i="2" s="1"/>
  <c r="G41" i="2" s="1"/>
  <c r="P33" i="2"/>
  <c r="Q33" i="2" s="1"/>
  <c r="X33" i="2" s="1"/>
  <c r="G33" i="2" s="1"/>
  <c r="P25" i="2"/>
  <c r="Q25" i="2" s="1"/>
  <c r="X25" i="2" s="1"/>
  <c r="V61" i="2"/>
  <c r="V52" i="2"/>
  <c r="V44" i="2"/>
  <c r="N55" i="2"/>
  <c r="N47" i="2"/>
  <c r="N39" i="2"/>
  <c r="N31" i="2"/>
  <c r="N23" i="2"/>
  <c r="P56" i="2"/>
  <c r="Q56" i="2" s="1"/>
  <c r="X56" i="2" s="1"/>
  <c r="G56" i="2" s="1"/>
  <c r="P48" i="2"/>
  <c r="Q48" i="2" s="1"/>
  <c r="X48" i="2" s="1"/>
  <c r="G48" i="2" s="1"/>
  <c r="P40" i="2"/>
  <c r="Q40" i="2" s="1"/>
  <c r="X40" i="2" s="1"/>
  <c r="G40" i="2" s="1"/>
  <c r="P32" i="2"/>
  <c r="Q32" i="2" s="1"/>
  <c r="X32" i="2" s="1"/>
  <c r="G32" i="2" s="1"/>
  <c r="P24" i="2"/>
  <c r="Q24" i="2" s="1"/>
  <c r="X24" i="2" s="1"/>
  <c r="V60" i="2"/>
  <c r="N54" i="2"/>
  <c r="N46" i="2"/>
  <c r="N38" i="2"/>
  <c r="N30" i="2"/>
  <c r="N22" i="2"/>
  <c r="N61" i="2"/>
  <c r="N53" i="2"/>
  <c r="N45" i="2"/>
  <c r="N37" i="2"/>
  <c r="N29" i="2"/>
  <c r="N21" i="2"/>
  <c r="H38" i="11"/>
  <c r="H29" i="11"/>
  <c r="H50" i="11"/>
  <c r="H16" i="11"/>
  <c r="H49" i="11"/>
  <c r="H30" i="11"/>
  <c r="H21" i="11"/>
  <c r="H42" i="11"/>
  <c r="H41" i="11"/>
  <c r="H46" i="11"/>
  <c r="H20" i="11"/>
  <c r="H37" i="11"/>
  <c r="H22" i="11"/>
  <c r="H34" i="11"/>
  <c r="H51" i="11"/>
  <c r="H33" i="11"/>
  <c r="H25" i="11"/>
  <c r="H52" i="11"/>
  <c r="H26" i="11"/>
  <c r="H43" i="11"/>
  <c r="H44" i="11"/>
  <c r="H18" i="11"/>
  <c r="H48" i="11"/>
  <c r="H35" i="11"/>
  <c r="H17" i="11"/>
  <c r="H24" i="11"/>
  <c r="H36" i="11"/>
  <c r="H53" i="11"/>
  <c r="H40" i="11"/>
  <c r="H27" i="11"/>
  <c r="H54" i="11"/>
  <c r="H28" i="11"/>
  <c r="H45" i="11"/>
  <c r="H32" i="11"/>
  <c r="H19" i="11"/>
  <c r="AB57" i="2" l="1"/>
  <c r="AB43" i="2"/>
  <c r="AB49" i="2"/>
  <c r="AB59" i="2"/>
  <c r="AA25" i="2"/>
  <c r="I32" i="11"/>
  <c r="I45" i="11"/>
  <c r="AA34" i="2"/>
  <c r="I54" i="11"/>
  <c r="AA33" i="2"/>
  <c r="I40" i="11"/>
  <c r="I53" i="11"/>
  <c r="I36" i="11"/>
  <c r="AA30" i="2"/>
  <c r="AA23" i="2"/>
  <c r="AA41" i="2"/>
  <c r="I48" i="11"/>
  <c r="AA24" i="2"/>
  <c r="I44" i="11"/>
  <c r="I43" i="11"/>
  <c r="AA32" i="2"/>
  <c r="I52" i="11"/>
  <c r="AA31" i="2"/>
  <c r="AA39" i="2"/>
  <c r="I51" i="11"/>
  <c r="AA40" i="2"/>
  <c r="AA28" i="2"/>
  <c r="I37" i="11"/>
  <c r="AA26" i="2"/>
  <c r="I46" i="11"/>
  <c r="I42" i="11"/>
  <c r="V27" i="2"/>
  <c r="Y27" i="2" s="1"/>
  <c r="AA36" i="2"/>
  <c r="I16" i="11"/>
  <c r="I50" i="11"/>
  <c r="V35" i="2"/>
  <c r="Y35" i="2" s="1"/>
  <c r="I38" i="11"/>
  <c r="AB51" i="2"/>
  <c r="V28" i="2"/>
  <c r="AB28" i="2" s="1"/>
  <c r="I30" i="11"/>
  <c r="V36" i="2"/>
  <c r="AB36" i="2" s="1"/>
  <c r="AA52" i="2"/>
  <c r="V42" i="2"/>
  <c r="AB42" i="2" s="1"/>
  <c r="I22" i="11"/>
  <c r="AA60" i="2"/>
  <c r="AA44" i="2"/>
  <c r="AA42" i="2"/>
  <c r="I28" i="11"/>
  <c r="V26" i="2"/>
  <c r="AB26" i="2" s="1"/>
  <c r="I20" i="11"/>
  <c r="AA50" i="2"/>
  <c r="V34" i="2"/>
  <c r="AB34" i="2" s="1"/>
  <c r="AA58" i="2"/>
  <c r="I34" i="11"/>
  <c r="V38" i="2"/>
  <c r="AB38" i="2" s="1"/>
  <c r="AA27" i="2"/>
  <c r="I26" i="11"/>
  <c r="V41" i="2"/>
  <c r="AB41" i="2" s="1"/>
  <c r="AA59" i="2"/>
  <c r="I35" i="11"/>
  <c r="AA43" i="2"/>
  <c r="AA51" i="2"/>
  <c r="V24" i="2"/>
  <c r="AB24" i="2" s="1"/>
  <c r="I18" i="11"/>
  <c r="V32" i="2"/>
  <c r="AB32" i="2" s="1"/>
  <c r="AA54" i="2"/>
  <c r="AA22" i="2"/>
  <c r="V22" i="2"/>
  <c r="AB22" i="2" s="1"/>
  <c r="I24" i="11"/>
  <c r="I21" i="11"/>
  <c r="AA38" i="2"/>
  <c r="V40" i="2"/>
  <c r="AB40" i="2" s="1"/>
  <c r="AA48" i="2"/>
  <c r="AA56" i="2"/>
  <c r="V30" i="2"/>
  <c r="AB30" i="2" s="1"/>
  <c r="I29" i="11"/>
  <c r="Y44" i="2"/>
  <c r="AB44" i="2"/>
  <c r="Y54" i="2"/>
  <c r="AB54" i="2"/>
  <c r="Y52" i="2"/>
  <c r="AB52" i="2"/>
  <c r="Y60" i="2"/>
  <c r="AB60" i="2"/>
  <c r="Y61" i="2"/>
  <c r="AB61" i="2"/>
  <c r="Y45" i="2"/>
  <c r="AB45" i="2"/>
  <c r="Y53" i="2"/>
  <c r="AB53" i="2"/>
  <c r="Y46" i="2"/>
  <c r="AB46" i="2"/>
  <c r="AA46" i="2"/>
  <c r="AA35" i="2"/>
  <c r="Y47" i="2"/>
  <c r="AB47" i="2"/>
  <c r="Y55" i="2"/>
  <c r="AB55" i="2"/>
  <c r="AA57" i="2"/>
  <c r="AA49" i="2"/>
  <c r="V33" i="2"/>
  <c r="AB33" i="2" s="1"/>
  <c r="I27" i="11"/>
  <c r="V23" i="2"/>
  <c r="AB23" i="2" s="1"/>
  <c r="I17" i="11"/>
  <c r="V25" i="2"/>
  <c r="AB25" i="2" s="1"/>
  <c r="I19" i="11"/>
  <c r="V39" i="2"/>
  <c r="AB39" i="2" s="1"/>
  <c r="I49" i="11"/>
  <c r="AA55" i="2"/>
  <c r="I33" i="11"/>
  <c r="I41" i="11"/>
  <c r="AA47" i="2"/>
  <c r="V31" i="2"/>
  <c r="AB31" i="2" s="1"/>
  <c r="I25" i="11"/>
  <c r="Y29" i="2"/>
  <c r="Y37" i="2"/>
  <c r="AB27" i="2" l="1"/>
  <c r="AB35" i="2"/>
  <c r="Y28" i="2"/>
  <c r="Y36" i="2"/>
  <c r="Y42" i="2"/>
  <c r="Y26" i="2"/>
  <c r="Y34" i="2"/>
  <c r="Y38" i="2"/>
  <c r="Y41" i="2"/>
  <c r="Y40" i="2"/>
  <c r="Y33" i="2"/>
  <c r="Y24" i="2"/>
  <c r="Y32" i="2"/>
  <c r="Y22" i="2"/>
  <c r="Y23" i="2"/>
  <c r="Y30" i="2"/>
  <c r="Y25" i="2"/>
  <c r="Y39" i="2"/>
  <c r="Y31" i="2"/>
  <c r="M12" i="2" l="1"/>
  <c r="S12" i="2" s="1"/>
  <c r="T12" i="2" s="1"/>
  <c r="U12" i="2" s="1"/>
  <c r="N12" i="2" l="1"/>
  <c r="J5" i="2"/>
  <c r="W20" i="2" l="1"/>
  <c r="AC20" i="2" s="1"/>
  <c r="W19" i="2"/>
  <c r="AC19" i="2" s="1"/>
  <c r="W18" i="2"/>
  <c r="AC18" i="2" s="1"/>
  <c r="W17" i="2"/>
  <c r="AC17" i="2" s="1"/>
  <c r="W16" i="2"/>
  <c r="AC16" i="2" s="1"/>
  <c r="W15" i="2"/>
  <c r="AC15" i="2" s="1"/>
  <c r="W13" i="2"/>
  <c r="AC13" i="2" s="1"/>
  <c r="AD17" i="2"/>
  <c r="AD16" i="2"/>
  <c r="AD13" i="2"/>
  <c r="AD20" i="2"/>
  <c r="AD18" i="2"/>
  <c r="AD19" i="2"/>
  <c r="AD15" i="2"/>
  <c r="R14" i="2" l="1"/>
  <c r="R13" i="2"/>
  <c r="R15" i="2"/>
  <c r="R18" i="2"/>
  <c r="R19" i="2"/>
  <c r="R17" i="2"/>
  <c r="R16" i="2"/>
  <c r="R20" i="2"/>
  <c r="C57" i="32"/>
  <c r="O5" i="2" l="1"/>
  <c r="D7" i="23" l="1"/>
  <c r="H26" i="26" l="1"/>
  <c r="F80" i="11"/>
  <c r="O4" i="2" s="1"/>
  <c r="H129" i="11" l="1"/>
  <c r="F126" i="11"/>
  <c r="D129" i="11"/>
  <c r="E126" i="11" s="1"/>
  <c r="F84" i="11"/>
  <c r="G14" i="11"/>
  <c r="E14" i="11"/>
  <c r="F14" i="11" s="1"/>
  <c r="D14" i="11"/>
  <c r="G13" i="11"/>
  <c r="E13" i="11"/>
  <c r="F13" i="11" s="1"/>
  <c r="Z19" i="2" s="1"/>
  <c r="D13" i="11"/>
  <c r="G12" i="11"/>
  <c r="E12" i="11"/>
  <c r="F12" i="11" s="1"/>
  <c r="Z18" i="2" s="1"/>
  <c r="D12" i="11"/>
  <c r="G11" i="11"/>
  <c r="E11" i="11"/>
  <c r="F11" i="11" s="1"/>
  <c r="Z17" i="2" s="1"/>
  <c r="D11" i="11"/>
  <c r="G10" i="11"/>
  <c r="E10" i="11"/>
  <c r="F10" i="11" s="1"/>
  <c r="Z16" i="2" s="1"/>
  <c r="D10" i="11"/>
  <c r="G9" i="11"/>
  <c r="E9" i="11"/>
  <c r="F9" i="11" s="1"/>
  <c r="Z15" i="2" s="1"/>
  <c r="D9" i="11"/>
  <c r="G8" i="11"/>
  <c r="E8" i="11"/>
  <c r="F8" i="11" s="1"/>
  <c r="Z14" i="2" s="1"/>
  <c r="D8" i="11"/>
  <c r="G7" i="11"/>
  <c r="E7" i="11"/>
  <c r="F7" i="11" s="1"/>
  <c r="D7" i="11"/>
  <c r="G6" i="11"/>
  <c r="E6" i="11"/>
  <c r="D6" i="11"/>
  <c r="M3" i="11"/>
  <c r="N3" i="11" s="1"/>
  <c r="R22" i="23"/>
  <c r="J22" i="23"/>
  <c r="I22" i="23"/>
  <c r="H22" i="23"/>
  <c r="G22" i="23"/>
  <c r="E22" i="23"/>
  <c r="D22" i="23"/>
  <c r="C22" i="23"/>
  <c r="U22" i="23" s="1"/>
  <c r="A22" i="23"/>
  <c r="R21" i="23"/>
  <c r="J21" i="23"/>
  <c r="I21" i="23"/>
  <c r="H21" i="23"/>
  <c r="G21" i="23"/>
  <c r="E21" i="23"/>
  <c r="D21" i="23"/>
  <c r="C21" i="23"/>
  <c r="U21" i="23" s="1"/>
  <c r="A21" i="23"/>
  <c r="R20" i="23"/>
  <c r="J20" i="23"/>
  <c r="I20" i="23"/>
  <c r="H20" i="23"/>
  <c r="G20" i="23"/>
  <c r="E20" i="23"/>
  <c r="D20" i="23"/>
  <c r="C20" i="23"/>
  <c r="U20" i="23" s="1"/>
  <c r="A20" i="23"/>
  <c r="R19" i="23"/>
  <c r="J19" i="23"/>
  <c r="I19" i="23"/>
  <c r="H19" i="23"/>
  <c r="G19" i="23"/>
  <c r="E19" i="23"/>
  <c r="D19" i="23"/>
  <c r="C19" i="23"/>
  <c r="U19" i="23" s="1"/>
  <c r="A19" i="23"/>
  <c r="R18" i="23"/>
  <c r="J18" i="23"/>
  <c r="I18" i="23"/>
  <c r="H18" i="23"/>
  <c r="G18" i="23"/>
  <c r="E18" i="23"/>
  <c r="D18" i="23"/>
  <c r="C18" i="23"/>
  <c r="U18" i="23" s="1"/>
  <c r="A18" i="23"/>
  <c r="R17" i="23"/>
  <c r="J17" i="23"/>
  <c r="I17" i="23"/>
  <c r="H17" i="23"/>
  <c r="G17" i="23"/>
  <c r="E17" i="23"/>
  <c r="D17" i="23"/>
  <c r="C17" i="23"/>
  <c r="U17" i="23" s="1"/>
  <c r="A17" i="23"/>
  <c r="R16" i="23"/>
  <c r="J16" i="23"/>
  <c r="I16" i="23"/>
  <c r="H16" i="23"/>
  <c r="G16" i="23"/>
  <c r="E16" i="23"/>
  <c r="D16" i="23"/>
  <c r="C16" i="23"/>
  <c r="U16" i="23" s="1"/>
  <c r="A16" i="23"/>
  <c r="R15" i="23"/>
  <c r="J15" i="23"/>
  <c r="I15" i="23"/>
  <c r="H15" i="23"/>
  <c r="G15" i="23"/>
  <c r="E15" i="23"/>
  <c r="D15" i="23"/>
  <c r="C15" i="23"/>
  <c r="U15" i="23" s="1"/>
  <c r="A15" i="23"/>
  <c r="R14" i="23"/>
  <c r="J14" i="23"/>
  <c r="I14" i="23"/>
  <c r="H14" i="23"/>
  <c r="G14" i="23"/>
  <c r="E14" i="23"/>
  <c r="D14" i="23"/>
  <c r="C14" i="23"/>
  <c r="U14" i="23" s="1"/>
  <c r="A14" i="23"/>
  <c r="R13" i="23"/>
  <c r="J13" i="23"/>
  <c r="I13" i="23"/>
  <c r="H13" i="23"/>
  <c r="G13" i="23"/>
  <c r="E13" i="23"/>
  <c r="D13" i="23"/>
  <c r="C13" i="23"/>
  <c r="U13" i="23" s="1"/>
  <c r="A13" i="23"/>
  <c r="F7" i="23"/>
  <c r="E7" i="23"/>
  <c r="C7" i="23"/>
  <c r="B7" i="23"/>
  <c r="A7" i="23"/>
  <c r="H83" i="32"/>
  <c r="C55" i="32"/>
  <c r="C10" i="32"/>
  <c r="C8" i="32"/>
  <c r="G98" i="26"/>
  <c r="F89" i="26"/>
  <c r="M22" i="23"/>
  <c r="K22" i="23"/>
  <c r="M21" i="23"/>
  <c r="M20" i="2"/>
  <c r="P20" i="2" s="1"/>
  <c r="M20" i="23"/>
  <c r="M19" i="2"/>
  <c r="P19" i="2" s="1"/>
  <c r="M19" i="23"/>
  <c r="M18" i="2"/>
  <c r="P18" i="2" s="1"/>
  <c r="M18" i="23"/>
  <c r="M17" i="2"/>
  <c r="K18" i="23" s="1"/>
  <c r="M17" i="23"/>
  <c r="M16" i="2"/>
  <c r="P16" i="2" s="1"/>
  <c r="Q16" i="2" s="1"/>
  <c r="M16" i="23"/>
  <c r="M15" i="2"/>
  <c r="P15" i="2" s="1"/>
  <c r="M15" i="23"/>
  <c r="M14" i="2"/>
  <c r="P14" i="2" s="1"/>
  <c r="M14" i="23"/>
  <c r="M13" i="2"/>
  <c r="P13" i="2" s="1"/>
  <c r="AK12" i="2"/>
  <c r="AJ12" i="2"/>
  <c r="M13" i="23"/>
  <c r="N6" i="2"/>
  <c r="R5" i="2"/>
  <c r="R4" i="2"/>
  <c r="R3" i="2"/>
  <c r="B4" i="28"/>
  <c r="G126" i="11" l="1"/>
  <c r="AO20" i="2" s="1"/>
  <c r="Z20" i="2"/>
  <c r="K13" i="23"/>
  <c r="P12" i="2"/>
  <c r="F6" i="11"/>
  <c r="Z12" i="2" s="1"/>
  <c r="W13" i="23"/>
  <c r="W21" i="23"/>
  <c r="W15" i="23"/>
  <c r="W14" i="23"/>
  <c r="W16" i="23"/>
  <c r="W17" i="23"/>
  <c r="V19" i="23"/>
  <c r="W20" i="23"/>
  <c r="D90" i="32"/>
  <c r="D89" i="32"/>
  <c r="D88" i="32"/>
  <c r="Z13" i="2"/>
  <c r="S13" i="2"/>
  <c r="T13" i="2" s="1"/>
  <c r="S18" i="2"/>
  <c r="O19" i="23" s="1"/>
  <c r="O22" i="23"/>
  <c r="R23" i="23"/>
  <c r="S17" i="2"/>
  <c r="T17" i="2" s="1"/>
  <c r="P18" i="23" s="1"/>
  <c r="S15" i="2"/>
  <c r="T15" i="2" s="1"/>
  <c r="U15" i="2" s="1"/>
  <c r="W19" i="23"/>
  <c r="N19" i="23"/>
  <c r="Q19" i="23" s="1"/>
  <c r="Q18" i="2"/>
  <c r="X18" i="2" s="1"/>
  <c r="N17" i="23"/>
  <c r="Q17" i="23" s="1"/>
  <c r="N16" i="23"/>
  <c r="Q16" i="23" s="1"/>
  <c r="Q15" i="2"/>
  <c r="N15" i="23"/>
  <c r="Q15" i="23" s="1"/>
  <c r="Q14" i="2"/>
  <c r="N14" i="23"/>
  <c r="Q14" i="23" s="1"/>
  <c r="Q13" i="2"/>
  <c r="N21" i="23"/>
  <c r="Q21" i="23" s="1"/>
  <c r="Q20" i="2"/>
  <c r="X20" i="2" s="1"/>
  <c r="N20" i="23"/>
  <c r="Q20" i="23" s="1"/>
  <c r="Q19" i="2"/>
  <c r="X19" i="2" s="1"/>
  <c r="K17" i="23"/>
  <c r="V18" i="23"/>
  <c r="K21" i="23"/>
  <c r="V22" i="23"/>
  <c r="S19" i="2"/>
  <c r="T19" i="2" s="1"/>
  <c r="S20" i="2"/>
  <c r="T20" i="2" s="1"/>
  <c r="U20" i="2" s="1"/>
  <c r="K14" i="23"/>
  <c r="K7" i="23" s="1"/>
  <c r="K15" i="23"/>
  <c r="K16" i="23"/>
  <c r="V17" i="23"/>
  <c r="W18" i="23"/>
  <c r="K20" i="23"/>
  <c r="V21" i="23"/>
  <c r="W22" i="23"/>
  <c r="S14" i="2"/>
  <c r="O15" i="23" s="1"/>
  <c r="N14" i="2"/>
  <c r="L15" i="23" s="1"/>
  <c r="N16" i="2"/>
  <c r="L17" i="23" s="1"/>
  <c r="N18" i="2"/>
  <c r="L19" i="23" s="1"/>
  <c r="N20" i="2"/>
  <c r="L21" i="23" s="1"/>
  <c r="V16" i="23"/>
  <c r="K19" i="23"/>
  <c r="V20" i="23"/>
  <c r="S16" i="2"/>
  <c r="T16" i="2" s="1"/>
  <c r="U16" i="2" s="1"/>
  <c r="N13" i="2"/>
  <c r="L14" i="23" s="1"/>
  <c r="N15" i="2"/>
  <c r="L16" i="23" s="1"/>
  <c r="N17" i="2"/>
  <c r="L18" i="23" s="1"/>
  <c r="N19" i="2"/>
  <c r="L20" i="23" s="1"/>
  <c r="L22" i="23"/>
  <c r="P17" i="2"/>
  <c r="L52" i="32"/>
  <c r="L47" i="32"/>
  <c r="L55" i="32"/>
  <c r="L54" i="32"/>
  <c r="L53" i="32"/>
  <c r="L51" i="32"/>
  <c r="L50" i="32"/>
  <c r="L49" i="32"/>
  <c r="L48" i="32"/>
  <c r="L13" i="23"/>
  <c r="V15" i="23"/>
  <c r="V14" i="23"/>
  <c r="V13" i="23"/>
  <c r="X7" i="23"/>
  <c r="V21" i="2"/>
  <c r="AB21" i="2" s="1"/>
  <c r="H13" i="11"/>
  <c r="H12" i="11"/>
  <c r="H14" i="11"/>
  <c r="H9" i="11"/>
  <c r="H11" i="11"/>
  <c r="H8" i="11"/>
  <c r="AA14" i="2" l="1"/>
  <c r="AA17" i="2"/>
  <c r="AA15" i="2"/>
  <c r="AA20" i="2"/>
  <c r="AA18" i="2"/>
  <c r="AA19" i="2"/>
  <c r="P65" i="2"/>
  <c r="Q65" i="2" s="1"/>
  <c r="R65" i="2" s="1"/>
  <c r="S65" i="2" s="1"/>
  <c r="Y21" i="2"/>
  <c r="G7" i="23"/>
  <c r="H7" i="23"/>
  <c r="O18" i="23"/>
  <c r="P16" i="23"/>
  <c r="P22" i="23"/>
  <c r="O14" i="23"/>
  <c r="T18" i="2"/>
  <c r="U18" i="2" s="1"/>
  <c r="O16" i="23"/>
  <c r="I14" i="11"/>
  <c r="I13" i="11"/>
  <c r="V18" i="2"/>
  <c r="AB18" i="2" s="1"/>
  <c r="I11" i="11"/>
  <c r="V17" i="2"/>
  <c r="AB17" i="2" s="1"/>
  <c r="I9" i="11"/>
  <c r="I8" i="11"/>
  <c r="O21" i="23"/>
  <c r="P21" i="23"/>
  <c r="O20" i="23"/>
  <c r="O17" i="23"/>
  <c r="T14" i="2"/>
  <c r="U14" i="2" s="1"/>
  <c r="V14" i="2"/>
  <c r="AB14" i="2" s="1"/>
  <c r="V20" i="2"/>
  <c r="AB20" i="2" s="1"/>
  <c r="V15" i="2"/>
  <c r="AB15" i="2" s="1"/>
  <c r="I12" i="11"/>
  <c r="V19" i="2"/>
  <c r="AB19" i="2" s="1"/>
  <c r="Q7" i="23"/>
  <c r="L7" i="23"/>
  <c r="P7" i="23"/>
  <c r="O7" i="23"/>
  <c r="J7" i="23"/>
  <c r="N7" i="23"/>
  <c r="N22" i="23"/>
  <c r="Q22" i="23" s="1"/>
  <c r="N18" i="23"/>
  <c r="Q18" i="23" s="1"/>
  <c r="Q17" i="2"/>
  <c r="R7" i="23"/>
  <c r="P17" i="23"/>
  <c r="U17" i="2"/>
  <c r="T21" i="23"/>
  <c r="B21" i="23" s="1"/>
  <c r="T13" i="23"/>
  <c r="B13" i="23" s="1"/>
  <c r="T14" i="23"/>
  <c r="B14" i="23" s="1"/>
  <c r="T20" i="23"/>
  <c r="B20" i="23" s="1"/>
  <c r="P20" i="23"/>
  <c r="U19" i="2"/>
  <c r="T16" i="23"/>
  <c r="B16" i="23" s="1"/>
  <c r="T17" i="23"/>
  <c r="B17" i="23" s="1"/>
  <c r="T19" i="23"/>
  <c r="B19" i="23" s="1"/>
  <c r="O13" i="23"/>
  <c r="P13" i="23"/>
  <c r="N13" i="23"/>
  <c r="Q12" i="2"/>
  <c r="T18" i="23"/>
  <c r="B18" i="23" s="1"/>
  <c r="T22" i="23"/>
  <c r="B22" i="23" s="1"/>
  <c r="T15" i="23"/>
  <c r="B15" i="23" s="1"/>
  <c r="P14" i="23"/>
  <c r="U13" i="2"/>
  <c r="H10" i="11"/>
  <c r="H7" i="11"/>
  <c r="H6" i="11"/>
  <c r="AA16" i="2" l="1"/>
  <c r="V13" i="2"/>
  <c r="AB13" i="2" s="1"/>
  <c r="T65" i="2"/>
  <c r="U65" i="2" s="1"/>
  <c r="Y15" i="2"/>
  <c r="Y17" i="2"/>
  <c r="Y18" i="2"/>
  <c r="Y20" i="2"/>
  <c r="Y19" i="2"/>
  <c r="Y14" i="2"/>
  <c r="I7" i="23"/>
  <c r="AA12" i="2"/>
  <c r="I6" i="11"/>
  <c r="V12" i="2"/>
  <c r="AB12" i="2" s="1"/>
  <c r="I10" i="11"/>
  <c r="V16" i="2"/>
  <c r="AB16" i="2" s="1"/>
  <c r="I7" i="11"/>
  <c r="AA13" i="2"/>
  <c r="P19" i="23"/>
  <c r="S7" i="23"/>
  <c r="X15" i="2"/>
  <c r="G15" i="2" s="1"/>
  <c r="F16" i="23" s="1"/>
  <c r="T7" i="23"/>
  <c r="O23" i="23"/>
  <c r="P15" i="23"/>
  <c r="N23" i="23"/>
  <c r="Q13" i="23"/>
  <c r="Q23" i="23" s="1"/>
  <c r="AA7" i="23" s="1"/>
  <c r="Y16" i="2" l="1"/>
  <c r="Y13" i="2"/>
  <c r="U7" i="23"/>
  <c r="G24" i="2"/>
  <c r="G25" i="2"/>
  <c r="G18" i="2"/>
  <c r="F19" i="23" s="1"/>
  <c r="X17" i="2"/>
  <c r="G17" i="2" s="1"/>
  <c r="F18" i="23" s="1"/>
  <c r="X13" i="2"/>
  <c r="G13" i="2" s="1"/>
  <c r="F14" i="23" s="1"/>
  <c r="G20" i="2"/>
  <c r="F21" i="23" s="1"/>
  <c r="X16" i="2"/>
  <c r="G16" i="2" s="1"/>
  <c r="F17" i="23" s="1"/>
  <c r="X14" i="2"/>
  <c r="G14" i="2" s="1"/>
  <c r="F15" i="23" s="1"/>
  <c r="G19" i="2"/>
  <c r="F20" i="23" s="1"/>
  <c r="X12" i="2"/>
  <c r="Y12" i="2"/>
  <c r="F79" i="11"/>
  <c r="F81" i="11" s="1"/>
  <c r="V7" i="23"/>
  <c r="P23" i="23"/>
  <c r="F22" i="23" l="1"/>
  <c r="G21" i="2"/>
  <c r="G12" i="2"/>
  <c r="F13" i="23" s="1"/>
  <c r="M7" i="23" s="1"/>
  <c r="W7" i="23" l="1"/>
  <c r="Y7" i="23"/>
  <c r="G79" i="11" l="1"/>
  <c r="G81" i="11" s="1"/>
  <c r="H84" i="11" s="1"/>
  <c r="Z7" i="23"/>
  <c r="V58" i="2" l="1"/>
  <c r="E88" i="32"/>
  <c r="E89" i="32"/>
  <c r="E90" i="32"/>
  <c r="Y58" i="2" l="1"/>
  <c r="Y62" i="2" s="1"/>
  <c r="AB58" i="2"/>
  <c r="AB62" i="2" s="1"/>
  <c r="E91" i="32"/>
  <c r="C61" i="32" s="1"/>
  <c r="V65" i="2" l="1"/>
  <c r="AB7" i="23" s="1"/>
</calcChain>
</file>

<file path=xl/sharedStrings.xml><?xml version="1.0" encoding="utf-8"?>
<sst xmlns="http://schemas.openxmlformats.org/spreadsheetml/2006/main" count="882" uniqueCount="557">
  <si>
    <t>&lt;CrystalAddin Version="1" country="GB" lang="en"/&gt;</t>
  </si>
  <si>
    <t>Salix Finance: Terms and Conditions for Salix Compliance Tools</t>
  </si>
  <si>
    <t>Terms and conditions of use</t>
  </si>
  <si>
    <t>Salix Finance Ltd (“Salix”) offers 100% interest-free capital to the public sector to improve their energy efficiency and reduce their greenhouse gas emissions.  Salix’ loans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</si>
  <si>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</si>
  <si>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</si>
  <si>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</si>
  <si>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Salix Finance - Compliance Tool</t>
  </si>
  <si>
    <t>Guidance Notes</t>
  </si>
  <si>
    <t>technical@salixfinance.co.uk</t>
  </si>
  <si>
    <t>Application Notes for specific guidance can be found on our website</t>
  </si>
  <si>
    <t>For guidance on calculating forecast energy please see below.</t>
  </si>
  <si>
    <t>Enter project details as shown in the example below:</t>
  </si>
  <si>
    <t>The cells to the right show the calculated values for each work type.</t>
  </si>
  <si>
    <t>Missing information for a work type will be flagged up in the 'Data Entry Check' column. The compliancy check cannot be completed until all information is entered.</t>
  </si>
  <si>
    <t>Once all of the required information has been entered correctly, the cells at the bottom will show the final project figures and whether or not the project is compliant.</t>
  </si>
  <si>
    <t>If you have a technology that is affecting more than one fuel, please enter each fuel into a separate line in the Compliance Tool:</t>
  </si>
  <si>
    <r>
      <rPr>
        <sz val="16"/>
        <color theme="1"/>
        <rFont val="Verdana"/>
        <family val="2"/>
      </rPr>
      <t xml:space="preserve">Calculating Forecast Energy Cost:
</t>
    </r>
    <r>
      <rPr>
        <sz val="12"/>
        <color theme="1"/>
        <rFont val="Calibri"/>
        <family val="2"/>
        <scheme val="minor"/>
      </rPr>
      <t xml:space="preserve">
</t>
    </r>
    <r>
      <rPr>
        <sz val="12"/>
        <color theme="1"/>
        <rFont val="Verdana"/>
        <family val="2"/>
      </rPr>
      <t xml:space="preserve"> </t>
    </r>
    <r>
      <rPr>
        <u/>
        <sz val="12"/>
        <color theme="1"/>
        <rFont val="Verdana"/>
        <family val="2"/>
      </rPr>
      <t>Year 0 + Year 5</t>
    </r>
    <r>
      <rPr>
        <sz val="12"/>
        <color theme="1"/>
        <rFont val="Verdana"/>
        <family val="2"/>
      </rPr>
      <t xml:space="preserve">      =  Forecast Energy Cost (p/kWh)
            2
</t>
    </r>
    <r>
      <rPr>
        <sz val="11"/>
        <color theme="1"/>
        <rFont val="Verdana"/>
        <family val="2"/>
      </rPr>
      <t xml:space="preserve">
</t>
    </r>
    <r>
      <rPr>
        <sz val="10"/>
        <color theme="1"/>
        <rFont val="Verdana"/>
        <family val="2"/>
      </rPr>
      <t>The final year will depend on the programme compliance criteria, please check specific programme to confirm how many years needed to be calculated</t>
    </r>
    <r>
      <rPr>
        <sz val="11"/>
        <color theme="1"/>
        <rFont val="Verdana"/>
        <family val="2"/>
      </rPr>
      <t xml:space="preserve">
                                   </t>
    </r>
    <r>
      <rPr>
        <sz val="10"/>
        <color theme="1"/>
        <rFont val="Verdana"/>
        <family val="2"/>
      </rPr>
      <t xml:space="preserve">
</t>
    </r>
    <r>
      <rPr>
        <b/>
        <sz val="10"/>
        <color theme="1"/>
        <rFont val="Verdana"/>
        <family val="2"/>
      </rPr>
      <t>To calculate Year 5:</t>
    </r>
    <r>
      <rPr>
        <sz val="10"/>
        <color theme="1"/>
        <rFont val="Verdana"/>
        <family val="2"/>
      </rPr>
      <t xml:space="preserve">
               Year 0 x 1.02^5 = Year 5
</t>
    </r>
    <r>
      <rPr>
        <b/>
        <sz val="10"/>
        <color theme="1"/>
        <rFont val="Verdana"/>
        <family val="2"/>
      </rPr>
      <t xml:space="preserve">For example: </t>
    </r>
    <r>
      <rPr>
        <sz val="10"/>
        <color theme="1"/>
        <rFont val="Verdana"/>
        <family val="2"/>
      </rPr>
      <t xml:space="preserve">
SEELS England loan (5-year payback period), current electricity cost at 12p/kWh with 2% annual inflation rate the forecast cost would be: 
</t>
    </r>
    <r>
      <rPr>
        <b/>
        <sz val="10"/>
        <color theme="1"/>
        <rFont val="Verdana"/>
        <family val="2"/>
      </rPr>
      <t xml:space="preserve">Step 1
</t>
    </r>
    <r>
      <rPr>
        <sz val="10"/>
        <color theme="1"/>
        <rFont val="Verdana"/>
        <family val="2"/>
      </rPr>
      <t xml:space="preserve">
	  12 x 1.02^5 = 13.25p
</t>
    </r>
    <r>
      <rPr>
        <b/>
        <sz val="10"/>
        <color theme="1"/>
        <rFont val="Verdana"/>
        <family val="2"/>
      </rPr>
      <t xml:space="preserve">Step 2
</t>
    </r>
    <r>
      <rPr>
        <sz val="10"/>
        <color theme="1"/>
        <rFont val="Verdana"/>
        <family val="2"/>
      </rPr>
      <t xml:space="preserve">
            </t>
    </r>
    <r>
      <rPr>
        <u/>
        <sz val="10"/>
        <color theme="1"/>
        <rFont val="Verdana"/>
        <family val="2"/>
      </rPr>
      <t>12 + 13.25</t>
    </r>
    <r>
      <rPr>
        <sz val="10"/>
        <color theme="1"/>
        <rFont val="Verdana"/>
        <family val="2"/>
      </rPr>
      <t xml:space="preserve"> = 12.63p
                   2
</t>
    </r>
    <r>
      <rPr>
        <b/>
        <sz val="10"/>
        <color theme="1"/>
        <rFont val="Verdana"/>
        <family val="2"/>
      </rPr>
      <t>Forecast Energy cost = 12.63p/kWh</t>
    </r>
  </si>
  <si>
    <t>**hidden*</t>
  </si>
  <si>
    <t>*hidden*</t>
  </si>
  <si>
    <t>Hide Here</t>
  </si>
  <si>
    <t>Organisation:</t>
  </si>
  <si>
    <t>Salix Finance:</t>
  </si>
  <si>
    <t>Compliancy Criteria:</t>
  </si>
  <si>
    <t>Programme:</t>
  </si>
  <si>
    <t>Recycling Fund England</t>
  </si>
  <si>
    <t>Compliance Tool V37.0</t>
  </si>
  <si>
    <t>Payback</t>
  </si>
  <si>
    <t>Emergency Services</t>
  </si>
  <si>
    <r>
      <t>£/tCO</t>
    </r>
    <r>
      <rPr>
        <b/>
        <vertAlign val="subscript"/>
        <sz val="10"/>
        <color theme="1"/>
        <rFont val="Verdana"/>
        <family val="2"/>
      </rPr>
      <t>2</t>
    </r>
    <r>
      <rPr>
        <b/>
        <sz val="10"/>
        <color theme="1"/>
        <rFont val="Verdana"/>
        <family val="2"/>
      </rPr>
      <t>e LT</t>
    </r>
  </si>
  <si>
    <t>District Heating Projects Only: Bespoke Carbon Factor kg/kWh</t>
  </si>
  <si>
    <t>Start Date</t>
  </si>
  <si>
    <t>Completion Date</t>
  </si>
  <si>
    <t>Site Name</t>
  </si>
  <si>
    <t>Remaining Site Life (yrs)</t>
  </si>
  <si>
    <t>Project Description</t>
  </si>
  <si>
    <t>Data Entry Check</t>
  </si>
  <si>
    <t>Description of Work</t>
  </si>
  <si>
    <t>Project Completion Date</t>
  </si>
  <si>
    <t>Energy
Type</t>
  </si>
  <si>
    <t>Current p/kWh</t>
  </si>
  <si>
    <t>Forecast p/kWh</t>
  </si>
  <si>
    <t>Forecast % Change</t>
  </si>
  <si>
    <t>Project Type</t>
  </si>
  <si>
    <t>Technology - Work Type</t>
  </si>
  <si>
    <t>Annual kWhrs Pre-Project</t>
  </si>
  <si>
    <t>Annual kWhrs Post-Project</t>
  </si>
  <si>
    <t>Annual kWh savings</t>
  </si>
  <si>
    <t>% kWh savings</t>
  </si>
  <si>
    <t xml:space="preserve">Project Value </t>
  </si>
  <si>
    <t>Annual Financial Savings</t>
  </si>
  <si>
    <t>Payback in Years</t>
  </si>
  <si>
    <t>kgCO2/kWh</t>
  </si>
  <si>
    <r>
      <t>tCO</t>
    </r>
    <r>
      <rPr>
        <b/>
        <vertAlign val="subscript"/>
        <sz val="10"/>
        <color theme="0"/>
        <rFont val="Verdana"/>
        <family val="2"/>
      </rPr>
      <t>2</t>
    </r>
    <r>
      <rPr>
        <b/>
        <sz val="10"/>
        <color theme="0"/>
        <rFont val="Verdana"/>
        <family val="2"/>
      </rPr>
      <t>e pa</t>
    </r>
  </si>
  <si>
    <r>
      <t>tCO</t>
    </r>
    <r>
      <rPr>
        <b/>
        <vertAlign val="subscript"/>
        <sz val="10"/>
        <color theme="0"/>
        <rFont val="Verdana"/>
        <family val="2"/>
      </rPr>
      <t>2</t>
    </r>
    <r>
      <rPr>
        <b/>
        <sz val="10"/>
        <color theme="0"/>
        <rFont val="Verdana"/>
        <family val="2"/>
      </rPr>
      <t>e LT</t>
    </r>
  </si>
  <si>
    <t>£/tCO2e LT</t>
  </si>
  <si>
    <t>PF</t>
  </si>
  <si>
    <t>Data Entry</t>
  </si>
  <si>
    <t>OK</t>
  </si>
  <si>
    <t>PF Round plus cell value 100</t>
  </si>
  <si>
    <t>Electiricty Carbon Factor</t>
  </si>
  <si>
    <t>£/tCO2</t>
  </si>
  <si>
    <t>Electricity</t>
  </si>
  <si>
    <t>LED lighting</t>
  </si>
  <si>
    <t>LED - new fitting</t>
  </si>
  <si>
    <t xml:space="preserve">Emergency Services </t>
  </si>
  <si>
    <t>Further Education Institute</t>
  </si>
  <si>
    <t>Higher Education Institute</t>
  </si>
  <si>
    <t>Local Authority</t>
  </si>
  <si>
    <t>NHS</t>
  </si>
  <si>
    <t>Primary School</t>
  </si>
  <si>
    <t>Secondary School</t>
  </si>
  <si>
    <t>Maintained School</t>
  </si>
  <si>
    <t>Client Type Name List</t>
  </si>
  <si>
    <t xml:space="preserve">Canteen/Cafeteria </t>
  </si>
  <si>
    <t xml:space="preserve">Campus Building </t>
  </si>
  <si>
    <t xml:space="preserve">Ambulance station </t>
  </si>
  <si>
    <t xml:space="preserve">Car Park </t>
  </si>
  <si>
    <t>Car Park</t>
  </si>
  <si>
    <t xml:space="preserve">Corridor </t>
  </si>
  <si>
    <t>Car park</t>
  </si>
  <si>
    <t>Community Centre</t>
  </si>
  <si>
    <t xml:space="preserve">Classroom </t>
  </si>
  <si>
    <t>Data Centre/ IT Facilities</t>
  </si>
  <si>
    <t>Classroom</t>
  </si>
  <si>
    <t>Council Office</t>
  </si>
  <si>
    <t xml:space="preserve">Clinical space </t>
  </si>
  <si>
    <t xml:space="preserve">Fire Rescue Station </t>
  </si>
  <si>
    <t>Corridor</t>
  </si>
  <si>
    <t>Gallery/Museum</t>
  </si>
  <si>
    <t xml:space="preserve">Corridors </t>
  </si>
  <si>
    <t>Library</t>
  </si>
  <si>
    <t>Offices</t>
  </si>
  <si>
    <t xml:space="preserve">Leisure Centre </t>
  </si>
  <si>
    <t xml:space="preserve">Laboratory </t>
  </si>
  <si>
    <t>Other</t>
  </si>
  <si>
    <t xml:space="preserve">Halls of Residence </t>
  </si>
  <si>
    <t>Non-clinical space</t>
  </si>
  <si>
    <t xml:space="preserve">Other </t>
  </si>
  <si>
    <t>Plant room</t>
  </si>
  <si>
    <t xml:space="preserve">Outdoor Sport Facilities </t>
  </si>
  <si>
    <t>Police Station</t>
  </si>
  <si>
    <t xml:space="preserve">Lecture Room </t>
  </si>
  <si>
    <t xml:space="preserve">Server Room </t>
  </si>
  <si>
    <t xml:space="preserve">Plant room </t>
  </si>
  <si>
    <t xml:space="preserve">Site Wide </t>
  </si>
  <si>
    <t>Site Wide</t>
  </si>
  <si>
    <t>Renewables Site</t>
  </si>
  <si>
    <t>Sports Hall</t>
  </si>
  <si>
    <t xml:space="preserve">Sports Hall </t>
  </si>
  <si>
    <t xml:space="preserve">Residential Care Home </t>
  </si>
  <si>
    <t xml:space="preserve">Streetlighting </t>
  </si>
  <si>
    <t xml:space="preserve">Warehouse </t>
  </si>
  <si>
    <t xml:space="preserve">Sports Hall  </t>
  </si>
  <si>
    <t xml:space="preserve">Students Union </t>
  </si>
  <si>
    <t>Total Salix Funding Requested</t>
  </si>
  <si>
    <t>Total Project Value</t>
  </si>
  <si>
    <t>Total Financial Savings</t>
  </si>
  <si>
    <t>Total
kg/kWh</t>
  </si>
  <si>
    <r>
      <t>Total
tCO</t>
    </r>
    <r>
      <rPr>
        <b/>
        <vertAlign val="subscript"/>
        <sz val="10"/>
        <color theme="0"/>
        <rFont val="Verdana"/>
        <family val="2"/>
      </rPr>
      <t>2</t>
    </r>
    <r>
      <rPr>
        <b/>
        <sz val="10"/>
        <color theme="0"/>
        <rFont val="Verdana"/>
        <family val="2"/>
      </rPr>
      <t>e pa</t>
    </r>
  </si>
  <si>
    <r>
      <t>Total
tCO</t>
    </r>
    <r>
      <rPr>
        <b/>
        <vertAlign val="subscript"/>
        <sz val="10"/>
        <color theme="0"/>
        <rFont val="Verdana"/>
        <family val="2"/>
      </rPr>
      <t>2</t>
    </r>
    <r>
      <rPr>
        <b/>
        <sz val="10"/>
        <color theme="0"/>
        <rFont val="Verdana"/>
        <family val="2"/>
      </rPr>
      <t>e LT</t>
    </r>
  </si>
  <si>
    <r>
      <t>£/tCO</t>
    </r>
    <r>
      <rPr>
        <b/>
        <vertAlign val="subscript"/>
        <sz val="10"/>
        <color theme="0"/>
        <rFont val="Verdana"/>
        <family val="2"/>
      </rPr>
      <t>2</t>
    </r>
    <r>
      <rPr>
        <b/>
        <sz val="10"/>
        <color theme="0"/>
        <rFont val="Verdana"/>
        <family val="2"/>
      </rPr>
      <t>e LT</t>
    </r>
  </si>
  <si>
    <t>Compliancy</t>
  </si>
  <si>
    <t>Application Steps</t>
  </si>
  <si>
    <t>This is Step 1 of the 3 step application process. Please complete the above Project Compliance Tool for all projects you are seeking Salix funding for.</t>
  </si>
  <si>
    <t>CO2e methodology</t>
  </si>
  <si>
    <t>Gas</t>
  </si>
  <si>
    <t>Gas Oil</t>
  </si>
  <si>
    <t>Fuel Oil</t>
  </si>
  <si>
    <t>Burning Oil</t>
  </si>
  <si>
    <t>Coal</t>
  </si>
  <si>
    <t>LPG</t>
  </si>
  <si>
    <t>Bespoke</t>
  </si>
  <si>
    <t>Wood pellets</t>
  </si>
  <si>
    <t>Wood chips</t>
  </si>
  <si>
    <t>Salix Business Case Template</t>
  </si>
  <si>
    <t>Programme details</t>
  </si>
  <si>
    <t>Project Title:</t>
  </si>
  <si>
    <t>Organisation name:</t>
  </si>
  <si>
    <t>Submission date:</t>
  </si>
  <si>
    <t>Name</t>
  </si>
  <si>
    <t>Main equipment capital costs (£)</t>
  </si>
  <si>
    <t>Job title</t>
  </si>
  <si>
    <t>Address line 1</t>
  </si>
  <si>
    <t>Installation costs (£)</t>
  </si>
  <si>
    <t>Address line 2</t>
  </si>
  <si>
    <t>City</t>
  </si>
  <si>
    <t>Project management costs (£)</t>
  </si>
  <si>
    <t>Post code</t>
  </si>
  <si>
    <t>Telephone</t>
  </si>
  <si>
    <t>Contingency costs (£)</t>
  </si>
  <si>
    <t>Email</t>
  </si>
  <si>
    <t>Other project costs (£)</t>
  </si>
  <si>
    <t>Total projects costs</t>
  </si>
  <si>
    <t>Project cost breakdown - Provide commentary on the project cost breakdown.</t>
  </si>
  <si>
    <t>•   How have project costs been estimated?
•   Do the project costs account for operation/maintenance costs?</t>
  </si>
  <si>
    <t>Project background - Provide background on the project including all possible benefits.</t>
  </si>
  <si>
    <t>•   If you have multiple projects &gt;£100,000, please provide details for all of them below.
•   How has the project been identified?
•   Who has been involved in developing the project?  
•   How will the project go towards addressing existing issues relating to energy and carbon use?</t>
  </si>
  <si>
    <t>Salix recommends that energy and carbon consumption be monitored prior to and following the completion of the project.
•    What are the arrangements for monitoring and managing the programme post-completion?
•    What plans are there for evaluation?</t>
  </si>
  <si>
    <t>Please define the project team and their roles in the delivery of the project (e.g. consultants, contractors, senior manager etc.).
•    Please outline the organisation structure in terms of who has the authority to approve the project and any changes.
•    Has a Project Execution Plan been drawn up to state exactly how the project will be managed?
•    For projects valued over £500,000, please attach a copy of your internal project plan.</t>
  </si>
  <si>
    <t>Describe any previous experience that you may have with the proposed energy efficiency measure.
•    Please also outline the experience members of the project team have with managing projects of a similar scale, including that of any third-party support.</t>
  </si>
  <si>
    <t>Describe any project risks and give details of measures designed to minimise or avoid them. This should cover:
•    Any project dependencies, such as other projects being completed on time or coordination around organisational issues (e.g. exam periods and heating season).
•    Risks to project delivery and details of the management structures in place to monitor.
•    Detail other outstanding issues that need to be resolved before the project can proceed (e.g. finalising plant sizes or communication with stakeholders).
•    The risks associated with the project failing to achieve the savings.
•    For applications valued over £500,000, please attach a copy of your internal risk register.</t>
  </si>
  <si>
    <t>Description of Risk</t>
  </si>
  <si>
    <t>Level of Risk</t>
  </si>
  <si>
    <t xml:space="preserve">How will the risk be managed and/or mitigated? </t>
  </si>
  <si>
    <t xml:space="preserve">High </t>
  </si>
  <si>
    <t xml:space="preserve">Low </t>
  </si>
  <si>
    <t>Medium</t>
  </si>
  <si>
    <t>Give details of the critical path for timetable delivery of the project including:
•   Dates for key delivery milestones, if there is a programme of works for the project please attach.
•   What level of contingency for potential programme slippage has been built in to the delivery timeline.
Please provide details of and significant lead-in times for the ordering and delivery of key project equipment, including details of discussions/agreements with suppliers/contractors.</t>
  </si>
  <si>
    <t>Steps taken / to be taken</t>
  </si>
  <si>
    <t>Process</t>
  </si>
  <si>
    <t>Start date</t>
  </si>
  <si>
    <t>End date</t>
  </si>
  <si>
    <t>Include no. of days Contingency</t>
  </si>
  <si>
    <t>Is this Complete?</t>
  </si>
  <si>
    <t>Project Approval</t>
  </si>
  <si>
    <t>Estates/finance approval</t>
  </si>
  <si>
    <t>Board/councillors approval</t>
  </si>
  <si>
    <t>Tender</t>
  </si>
  <si>
    <t>Project design time</t>
  </si>
  <si>
    <t>Project out to tender</t>
  </si>
  <si>
    <t>Contract awarded</t>
  </si>
  <si>
    <t>Cool off period</t>
  </si>
  <si>
    <t>PFI agreement (if applicable)</t>
  </si>
  <si>
    <t>Sign Deed of Variation</t>
  </si>
  <si>
    <t>Order</t>
  </si>
  <si>
    <t>Order Placed</t>
  </si>
  <si>
    <t>Delivery</t>
  </si>
  <si>
    <t>Equipment Delivery</t>
  </si>
  <si>
    <t>Project on site</t>
  </si>
  <si>
    <t xml:space="preserve">Starting project installation </t>
  </si>
  <si>
    <t>Project completion</t>
  </si>
  <si>
    <t>Project complete onsite</t>
  </si>
  <si>
    <t xml:space="preserve">Commissioning </t>
  </si>
  <si>
    <t>Invoicing</t>
  </si>
  <si>
    <t>Send completion certificate to Salix</t>
  </si>
  <si>
    <t>Returning loan agreement to Salix</t>
  </si>
  <si>
    <t>Salix Business Case Template - Part 3</t>
  </si>
  <si>
    <t>Carbon Conversion Factors</t>
  </si>
  <si>
    <t>Work Type</t>
  </si>
  <si>
    <t>Persistence Factor</t>
  </si>
  <si>
    <t>Energy Source</t>
  </si>
  <si>
    <r>
      <t xml:space="preserve"> kg CO</t>
    </r>
    <r>
      <rPr>
        <b/>
        <vertAlign val="subscript"/>
        <sz val="9"/>
        <color theme="0"/>
        <rFont val="Verdana"/>
        <family val="2"/>
      </rPr>
      <t>2</t>
    </r>
    <r>
      <rPr>
        <b/>
        <sz val="9"/>
        <color theme="0"/>
        <rFont val="Verdana"/>
        <family val="2"/>
      </rPr>
      <t>e/kWh</t>
    </r>
  </si>
  <si>
    <t>Notes</t>
  </si>
  <si>
    <t>Previous Values</t>
  </si>
  <si>
    <t>Scope 2 &amp; Scope 3  (Transmission and Distribution losses only)</t>
  </si>
  <si>
    <t>E</t>
  </si>
  <si>
    <t>Scope 1 only</t>
  </si>
  <si>
    <t>G</t>
  </si>
  <si>
    <t>Gas oil</t>
  </si>
  <si>
    <t>GO</t>
  </si>
  <si>
    <t>Fuel oil</t>
  </si>
  <si>
    <t>Heating oils other than gas oil or burning oil</t>
  </si>
  <si>
    <t>FO</t>
  </si>
  <si>
    <t>Burning oil</t>
  </si>
  <si>
    <t>Also known as kerosene or paraffin used for heating systems</t>
  </si>
  <si>
    <t>BO</t>
  </si>
  <si>
    <t>C</t>
  </si>
  <si>
    <t>L</t>
  </si>
  <si>
    <t>Building management systems</t>
  </si>
  <si>
    <t xml:space="preserve">Scope 1 only </t>
  </si>
  <si>
    <t>WP</t>
  </si>
  <si>
    <t>BEMS - not remotely managed</t>
  </si>
  <si>
    <t>WC</t>
  </si>
  <si>
    <t>BEMS - remotely managed</t>
  </si>
  <si>
    <t>Biogas</t>
  </si>
  <si>
    <t>BG</t>
  </si>
  <si>
    <t xml:space="preserve">Source:
</t>
  </si>
  <si>
    <t>Cooling</t>
  </si>
  <si>
    <t>Cooling - control system</t>
  </si>
  <si>
    <t>Cooling - plant replacement/upgrade</t>
  </si>
  <si>
    <t>Free cooling</t>
  </si>
  <si>
    <t>Replacement of air conditioning with evaporative cooling</t>
  </si>
  <si>
    <t>Energy from waste</t>
  </si>
  <si>
    <t>Anaerobic digestion</t>
  </si>
  <si>
    <t>Incineration</t>
  </si>
  <si>
    <t>Heating</t>
  </si>
  <si>
    <t>Connect to existing district heating</t>
  </si>
  <si>
    <t>Heat recovery</t>
  </si>
  <si>
    <t>Heating - electric heating</t>
  </si>
  <si>
    <t>Heating - discrete controls</t>
  </si>
  <si>
    <t>Heating - zone control valves</t>
  </si>
  <si>
    <t>Replace steam calorifier with plate heat exchanger</t>
  </si>
  <si>
    <t>Steam trap replacements</t>
  </si>
  <si>
    <t>Hot water</t>
  </si>
  <si>
    <t>Flow restrictors</t>
  </si>
  <si>
    <t>Insulation - building fabric</t>
  </si>
  <si>
    <t>Cavity wall insulation</t>
  </si>
  <si>
    <t xml:space="preserve">Double glazing with metal or plastic frames </t>
  </si>
  <si>
    <t>Dry wall lining</t>
  </si>
  <si>
    <t>Loft insulation</t>
  </si>
  <si>
    <t>Roof insulation</t>
  </si>
  <si>
    <t>Secondary glazing</t>
  </si>
  <si>
    <t>Insulation - draught proofing</t>
  </si>
  <si>
    <t>Insulation - pipework</t>
  </si>
  <si>
    <t>Heating pipework insulation (external)</t>
  </si>
  <si>
    <t>Heating pipework insulation (internal)</t>
  </si>
  <si>
    <t>Insulation - other</t>
  </si>
  <si>
    <t>Automatic speed doors</t>
  </si>
  <si>
    <t>Automatic/revolving doors</t>
  </si>
  <si>
    <t>Radiator reflective foil (external walls)</t>
  </si>
  <si>
    <t>Lighting controls</t>
  </si>
  <si>
    <t>Lighting - discrete controls</t>
  </si>
  <si>
    <t>Lighting control system centralised</t>
  </si>
  <si>
    <t>Motor controls</t>
  </si>
  <si>
    <t>Fixed speed motor controls</t>
  </si>
  <si>
    <t>Motors - flat belt drives</t>
  </si>
  <si>
    <t>Variable speed drives</t>
  </si>
  <si>
    <t>Motor replacement</t>
  </si>
  <si>
    <t>Motors - high efficiency</t>
  </si>
  <si>
    <t>Renewable energy</t>
  </si>
  <si>
    <t>Solar PV</t>
  </si>
  <si>
    <t>Time switches</t>
  </si>
  <si>
    <t>Transformers</t>
  </si>
  <si>
    <t>Ventilation</t>
  </si>
  <si>
    <t>Fans - air handling unit</t>
  </si>
  <si>
    <t>Fans - high efficiency</t>
  </si>
  <si>
    <t xml:space="preserve">Phase change material </t>
  </si>
  <si>
    <t>Ventilation - distribution</t>
  </si>
  <si>
    <t>Ventilation - presence controls</t>
  </si>
  <si>
    <t>Examples of Eligible Technologies</t>
  </si>
  <si>
    <t>The following list includes examples of eligible technologies for the Recycling Fund Scheme. If you intend to include technologies that do not appear on this list in your application, please discuss with Salix prior to submission.</t>
  </si>
  <si>
    <t>Direct carbon savings</t>
  </si>
  <si>
    <t>Indirect carbon savings</t>
  </si>
  <si>
    <t>Lifetime</t>
  </si>
  <si>
    <t>Lifetime and Persistence Factor Definitions</t>
  </si>
  <si>
    <t>Low carbon heating</t>
  </si>
  <si>
    <t>Air source heat pump (air to water)</t>
  </si>
  <si>
    <t>x</t>
  </si>
  <si>
    <r>
      <rPr>
        <sz val="14"/>
        <rFont val="Verdana"/>
        <family val="2"/>
      </rPr>
      <t>Lifetime</t>
    </r>
    <r>
      <rPr>
        <sz val="11"/>
        <rFont val="Verdana"/>
        <family val="2"/>
      </rPr>
      <t xml:space="preserve">: This is the anticipated lifetime of a low carbon heating technology used to calculate lifetime savings. The lifetime is used in the calculation of cost to save a tonne of CO2e over the lifetime of an application for low carbon heating measures (£/tCO2eLT). 
</t>
    </r>
    <r>
      <rPr>
        <sz val="14"/>
        <rFont val="Verdana"/>
        <family val="2"/>
      </rPr>
      <t>Persistence Factor</t>
    </r>
    <r>
      <rPr>
        <sz val="11"/>
        <rFont val="Verdana"/>
        <family val="2"/>
      </rPr>
      <t xml:space="preserve">: The persistence factor is the lifetime of the energy efficiency technology averaged to factor in degradation. The Persistence Factors for individual technologies employed by Salix are based on, and are consistent with, those derived by the Carbon Trust. The PF is used in the calculation of cost to save a tonne of CO2e over the lifetime of an application for energy efficiency measures (£/tCO2eLT). 
</t>
    </r>
  </si>
  <si>
    <t>Air source heat pump (air to air)</t>
  </si>
  <si>
    <t xml:space="preserve">Ground source heat pump </t>
  </si>
  <si>
    <t>Water source heat pump</t>
  </si>
  <si>
    <t>Hot water - electric point of use heaters</t>
  </si>
  <si>
    <t>Solar thermal</t>
  </si>
  <si>
    <t>Biomass</t>
  </si>
  <si>
    <t>Building energy management systems (BEMS)</t>
  </si>
  <si>
    <t>Energy efficient chillers</t>
  </si>
  <si>
    <t>Heating - distribution pipework improvements</t>
  </si>
  <si>
    <t>Thermal stores</t>
  </si>
  <si>
    <t>Hot water - distribution improvements</t>
  </si>
  <si>
    <t>Hot water - efficient taps</t>
  </si>
  <si>
    <t>Floor insulation - suspended timber floor</t>
  </si>
  <si>
    <t>Floor insulation - solid floor or other type</t>
  </si>
  <si>
    <t>Draught lobby (external)</t>
  </si>
  <si>
    <t>Draught lobby (internal)</t>
  </si>
  <si>
    <t>LED - same fitting</t>
  </si>
  <si>
    <t>Small hydropower</t>
  </si>
  <si>
    <t>Wind turbine</t>
  </si>
  <si>
    <t>Ultrasonic humidifiers</t>
  </si>
  <si>
    <t>Additionality Criteria:</t>
  </si>
  <si>
    <r>
      <t xml:space="preserve">Projects must also be “additional” – i.e. would not have happened without the funding.  For projects already part of the agreed and funded maintenance programme, the fund can only support the additional investment needed to select a more expensive energy saving option.  This does not prevent projects that have been identified and costed from applying, as long as funds have not been allocated. There are a number of criteria that are used to assess whether a project is “additional”, including: 
    • Is the project required by legislation? If so it is “not additional”.
    • Is it required by Building Regulations or planning officers (e.g. requirement for a percentage of </t>
    </r>
    <r>
      <rPr>
        <sz val="10"/>
        <color theme="0"/>
        <rFont val="Verdana"/>
        <family val="2"/>
      </rPr>
      <t>eeee</t>
    </r>
    <r>
      <rPr>
        <sz val="10"/>
        <color theme="1"/>
        <rFont val="Verdana"/>
        <family val="2"/>
      </rPr>
      <t>electricity demand in new buildings to be met by onsite renewables)? If so, it is “not additional”.
    • Has it already started or has funding already been agreed? If so it is “not additional”.
If the answer to all of the above questions is NO then the project can be funded under the Scheme.</t>
    </r>
  </si>
  <si>
    <t>Definitions:</t>
  </si>
  <si>
    <t>Persistence Factor (PF) Model:</t>
  </si>
  <si>
    <t>The Persistence Factors for individual technologies employed by Salix are based on and are consistent with those derived by the Carbon Trust.  In early 2009/10 the Carbon Trust undertook a review of the existing Persistence Factor Methodology.  Following a consultation in early 2010, a revised model has now been adopted.</t>
  </si>
  <si>
    <t xml:space="preserve">Lifetime: </t>
  </si>
  <si>
    <t>This is the anticipated lifetime of a low carbon heating technology used to calculate lifetime savings. The lifetime is used in the calculation of cost to save a tonne of CO2e over the lifetime of an application</t>
  </si>
  <si>
    <t>% kWh saved:</t>
  </si>
  <si>
    <t>Clients should include the % kWh they are projecting to save.</t>
  </si>
  <si>
    <t>tCO2e pa:</t>
  </si>
  <si>
    <r>
      <t>Tonnes CO</t>
    </r>
    <r>
      <rPr>
        <vertAlign val="subscript"/>
        <sz val="10"/>
        <color theme="1"/>
        <rFont val="Verdana"/>
        <family val="2"/>
      </rPr>
      <t>2</t>
    </r>
    <r>
      <rPr>
        <sz val="10"/>
        <color theme="1"/>
        <rFont val="Verdana"/>
        <family val="2"/>
      </rPr>
      <t>e saving per annum</t>
    </r>
  </si>
  <si>
    <t>£/tCO2e LT:</t>
  </si>
  <si>
    <r>
      <t>Cost (£) per tonne CO</t>
    </r>
    <r>
      <rPr>
        <vertAlign val="subscript"/>
        <sz val="10"/>
        <rFont val="Verdana"/>
        <family val="2"/>
      </rPr>
      <t>2</t>
    </r>
    <r>
      <rPr>
        <sz val="10"/>
        <rFont val="Verdana"/>
        <family val="2"/>
      </rPr>
      <t>e saving life time</t>
    </r>
  </si>
  <si>
    <t>Date</t>
  </si>
  <si>
    <t>Ver</t>
  </si>
  <si>
    <t>Change</t>
  </si>
  <si>
    <t>By</t>
  </si>
  <si>
    <t>CCT to £500 for all England clients (in effect from Aprill 2022) and match technology list to Phase 3.</t>
  </si>
  <si>
    <t>AC</t>
  </si>
  <si>
    <t xml:space="preserve">Updated carbon factors
</t>
  </si>
  <si>
    <t>NH</t>
  </si>
  <si>
    <t>Updated carbon factors
Technology list updated:
⦁ LED Lighting work types simplified to 'LED - new fitting' and 'LED - same fitting'
⦁ 'Retrofit Single Glazing' removed 
⦁ Two Floor Insulation work types added</t>
  </si>
  <si>
    <t>Added 'Salix Decarbonisation Fund' programme.
Added a pre-tender assessment form and removed the 'Project can be supported' sign-off from the normal assessment form.
Updated Heat Pump work types and updated ASHP PF from 10.83 to 12.54.
Added project cost commentary box in the business case.
Added 'Voltage Management' work types to 'Technologies Under Review' and removed:
•	CRT to flat screen LCD
•	Compact Fluorescent including changing the fitting
•	Compact Fluorescent using same fitting
•	Electronic ballast with dimming control
•	HP Sodium including new fitting
•	Induction Fluorescent including changing the fitting
•	Replace halogen with HID metal halide
•	T12/T8 to CCFL including new fitting
•	T12/T8 to CCFL using same fitting
•	T5 lighting including changing the fitting
•	T5 lighting retrofit using adaptors
•	T8 lighting including changing the fitting
•	T8 lighting retrofit using adaptors</t>
  </si>
  <si>
    <t>Rebranded</t>
  </si>
  <si>
    <t>NM &amp; BH</t>
  </si>
  <si>
    <t>Added Work Types 'Energy efficient combi-oven', 'Energy efficient convection-oven' &amp; 'Small Hydropower'.
Updated Carbon Conversion Factors.
Revised all Compliance Tools into one version.
Added 'Technologies Under Review Tab' &amp; updated Compliancy Criteria</t>
  </si>
  <si>
    <t>BH &amp; NH</t>
  </si>
  <si>
    <t>Added Work Types 'Energy Efficient X-Ray Generator'.</t>
  </si>
  <si>
    <t>BL</t>
  </si>
  <si>
    <t>Added Work Types 'CHP - Private Wire Connection', 'Direct electric heating to heat pump (water source)' and updated the ground source work types persistence factor.
Removed Work Types:
⦁ Electric to Gas - heating using CHP
⦁ Electric to Gas - heating using condensing boilers
⦁ Electric to Gas - tumble driers
Updated Compliancy Criteria to remove 5 year payback from SEELS England and Increase to £172/tCO2
Updated SEELS Scotland compliancy to £250/tCO2
Updated Carbon Conversion Factors
Added in 'Forecast p/kWh' &amp; Forecast % Change' fields</t>
  </si>
  <si>
    <t>BH &amp; BC</t>
  </si>
  <si>
    <t xml:space="preserve">Added Work Type 'Ultrasonic Humidifiers' and 'Direct electric heating to heat pump (ground source)'
</t>
  </si>
  <si>
    <t>BC</t>
  </si>
  <si>
    <t>Removed Recycling Fund Programme
Removed Work Type 'Liquid Pool Covers'
Updated to BEIS latest CO2 factors</t>
  </si>
  <si>
    <t>BH</t>
  </si>
  <si>
    <t>Added Technology 'Solar PV'</t>
  </si>
  <si>
    <t>Changed PF of Hand Dryers from 4.18 to 8.21
Added Technology 'Energy Efficient Chillers' and 'Flow restrictors'
£/tCO2 criteria revised to £120 from £100</t>
  </si>
  <si>
    <t>Added Terms and Conditions
Update to DECC CO2 factors
New PF factors
Acadamies removed as applicant type
Double glazing with metal or plastic frames added to 'Insulation - building fabric'
Phase change material added to ' Ventilation'
Efficient taps added to 'Hot Water'
Renamed Heat pump (air source) to Direct electric heating to heat pump (air source) and moved from 'renewables' to 'heating'
Added new work type for energy efficient drying cabinets
Order of work type changed to be alphabetical
Street lighting work types revised
Removed
   - Replace controls but not ballasts
   - Fit centralised controls but not ballasts</t>
  </si>
  <si>
    <t>JC</t>
  </si>
  <si>
    <t>Update to DEFRA CO2 factors
Addition of new work types
Cell for total project value included within CT
Salix % contribution field is now a calculated field
Minor formatting changes</t>
  </si>
  <si>
    <t>QA</t>
  </si>
  <si>
    <r>
      <t>Update to DEFRA CO</t>
    </r>
    <r>
      <rPr>
        <vertAlign val="subscript"/>
        <sz val="10"/>
        <rFont val="Verdana"/>
        <family val="2"/>
      </rPr>
      <t>2</t>
    </r>
    <r>
      <rPr>
        <sz val="10"/>
        <rFont val="Verdana"/>
        <family val="2"/>
      </rPr>
      <t xml:space="preserve"> factors
Minor adjustments to assessment criteria tab
Minor formatting changes</t>
    </r>
  </si>
  <si>
    <t>Added new work type for energy efficient growth cabinets
Minor formatting changes</t>
  </si>
  <si>
    <t>MC</t>
  </si>
  <si>
    <t>Added new work type for connection to district heating
Increased compatability for Excel 2003 and older</t>
  </si>
  <si>
    <r>
      <t>Major formatting changes
Consolidation of Programme-specfic Compliance Tools
Addition of new project work types
Update to DEFRA CO</t>
    </r>
    <r>
      <rPr>
        <vertAlign val="subscript"/>
        <sz val="10"/>
        <rFont val="Verdana"/>
        <family val="2"/>
      </rPr>
      <t>2</t>
    </r>
    <r>
      <rPr>
        <sz val="10"/>
        <rFont val="Verdana"/>
        <family val="2"/>
      </rPr>
      <t xml:space="preserve"> factors</t>
    </r>
  </si>
  <si>
    <t xml:space="preserve">Major formatting changes to increase backwards compatability
Break down of cost for each measure being installed </t>
  </si>
  <si>
    <t xml:space="preserve">Amended Assessment Criteria sheet (submission email)
Minor formatting changes </t>
  </si>
  <si>
    <t xml:space="preserve">Major formatting changes
CO2 factors updated to reflect new figures from DEFRA </t>
  </si>
  <si>
    <t>Version created for SEELS
Fields for pre/post kWh added
New work types added:
 - T12/T8 to CCFL including new fitting
 - T12/T8 to CCFL using same fitting</t>
  </si>
  <si>
    <t>CM</t>
  </si>
  <si>
    <t>26.1 RF SF</t>
  </si>
  <si>
    <t>Amended Voltage Management work type.</t>
  </si>
  <si>
    <t>26 RF MPS</t>
  </si>
  <si>
    <t>New compliance tool developed from v25 SF
Notes from v26 SF tool:
New DEFRA carbon conversion factors
Improved PFs for some ICT work types
Additional work types (denoted in red)
Additional work types can now be used in Multiple Fuel tool
Site life can now only be entered as numerical value
Some minor formatting fixes in percentage fields
'Voltage reduction' renamed to 'Voltage management - fixed ratio' and 'Voltage management - variable ratio' in line with Carbon Trust guide CTG045</t>
  </si>
  <si>
    <t>Salix Business Case Template - Assessment and Feedback</t>
  </si>
  <si>
    <t>Assessment form for Salix/Atkins</t>
  </si>
  <si>
    <t>Objectives:</t>
  </si>
  <si>
    <t>Programme Title:</t>
  </si>
  <si>
    <t xml:space="preserve">This assessment's primary objective is to evaluate the business case (as provided by the applicant) in a structured manner, identifying strengths &amp; weaknesses leading to a judgement as to whether the business case is technically sound and is likely to deliver the energy savings &amp; payback period presented.  If the business case is unsound or needs further consideration, the assessment should identify what further information is needed from the client. </t>
  </si>
  <si>
    <t>Public Sector Body:</t>
  </si>
  <si>
    <t>1. Technical case</t>
  </si>
  <si>
    <t xml:space="preserve">Score Green for High Quality, Amber for With Conditions and Red for Requires Improvement </t>
  </si>
  <si>
    <t xml:space="preserve">Consider the project description provided in terms of clarity, completeness, asset lifetime, energy saving potential and other benefits.  Consider the contextual information provided by the applicant in support of the project.
</t>
  </si>
  <si>
    <t>1.2 Technical Feasibility &amp; Future Resilience</t>
  </si>
  <si>
    <t>Consider the project's technical feasibility in terms of good evidence for delivering the expected energy savings from the information provided by the applicant.
Take into account proven track record in technology installation and if applicant has previously used supplier successfully. In addition, for CHP, take into account the future resilience of the proposal in terms of carbon savings and grid resilience.</t>
  </si>
  <si>
    <t>1.3 Material provided on the technology, has the final product been chosen?</t>
  </si>
  <si>
    <t>Consider the material provided to support the creditability of the supplier/contractor to deliver the project.
Consider additional technical information provided in the business case e.g. supplier technology specifications.</t>
  </si>
  <si>
    <t>1.4 Energy/Carbon Savings Calculations</t>
  </si>
  <si>
    <t>Consider whether energy savings estimate is robust being based on realistic data, assumptions and estimations for the technology. Take into account if the applicant can demonstrate or reference energy savings from similar projects.  Consider whether it's likely to deliver benefits in addition to the cost &amp; energy savings claimed; e.g. CRC, maintenance, reliability, safety, etc.</t>
  </si>
  <si>
    <t>1.5 Energy/Carbon Monitoring Plan</t>
  </si>
  <si>
    <t>Consider the monitoring plan for assessing the energy savings made by the project; i.e. project specific metering, manual measurements etc.</t>
  </si>
  <si>
    <t>2. Financial case</t>
  </si>
  <si>
    <t>2.1 Main Equipment Costs</t>
  </si>
  <si>
    <t xml:space="preserve">Consider whether the project capital cost is clearly structured and complete, or if there are significant elements missing or unclear. </t>
  </si>
  <si>
    <t>2.2 Installation Cost</t>
  </si>
  <si>
    <t>Considering whether any installation costs are clearly identified and appropriate.</t>
  </si>
  <si>
    <t>2.3 Other Project Costs</t>
  </si>
  <si>
    <t>Are there any other project costs identified such as design or project management fees.</t>
  </si>
  <si>
    <t>2.4 Operating &amp; Maintenance Cost</t>
  </si>
  <si>
    <t>Ensure that any operating &amp; maintenance costs are clearly identified, appropriate and realistic.
If there are no significant ongoing maintenance or operating costs score highly. Are the Maintenance costs expected to increase or decrease?</t>
  </si>
  <si>
    <t>Comments on Project Costs (2.1-2.4):</t>
  </si>
  <si>
    <t>2.5 Evidence of Firm Pricing or close budgets having been received</t>
  </si>
  <si>
    <t>Consider the costing source information validity; i.e. single quotation, multiple quotations, cross referenced to similar projects etc.</t>
  </si>
  <si>
    <t>2.6 Project Cost Savings Calculations with particular reference to the fuel prices being considered</t>
  </si>
  <si>
    <t>Consider how robust the cost saving calculations are by referring to the project energy saving estimation and unit energy costs.  Take into account if the applicant can demonstrate or reference savings from similar projects</t>
  </si>
  <si>
    <t>2.7 Simple Payback Period Realistic / Is the payback period &amp; cost of carbon in line with similar projects</t>
  </si>
  <si>
    <t xml:space="preserve">Consider if the project payback period estimation is robust and complete. </t>
  </si>
  <si>
    <t>3. Project governance, risks, mitigation</t>
  </si>
  <si>
    <t>3.1 Project Risks &amp; Mitigations</t>
  </si>
  <si>
    <t>Consider the project risk management and mitigation proposed; i.e. scheduling, shutdowns, contractor access, milestones to give overview of applicant's risk management assessment.
Consider negative consequences of project installation &amp; any negative implications of  installing or not installing the project.
Highlight any potential significant risks not specifically identified by the applicant.</t>
  </si>
  <si>
    <t>3.2 Project Implementation / Schedule - Timings included; for example key milestones for installation and commissioning</t>
  </si>
  <si>
    <t>How do the timeframes compare to other similar projects? 
Are there any key consideration that may delay the project, such as PFI, board sign off? Is sufficient contingency evidenced to mitigate delays to key processes?</t>
  </si>
  <si>
    <t>3.3 Applicant/Contractors' previous experience capability</t>
  </si>
  <si>
    <t>Has the applicant and/or contractor had previous experience of similar projects?  Consider case studies or other supporting information provided.</t>
  </si>
  <si>
    <t>3.4 Is the project governance sufficient for the size and complexity of the work to be completed?</t>
  </si>
  <si>
    <t>Number of months to commission?</t>
  </si>
  <si>
    <t xml:space="preserve">Is this timeframe feasible for the technologies included in the project? </t>
  </si>
  <si>
    <t>Number of months contingency?</t>
  </si>
  <si>
    <t>If no contingency provided, what should there be? Is there likely to be slippage in the project milestones?</t>
  </si>
  <si>
    <t>Board/councillors approval?</t>
  </si>
  <si>
    <t>If not approved, when will approval be given?</t>
  </si>
  <si>
    <t>Is procurement complete?</t>
  </si>
  <si>
    <t>If not complete, then what is the process and timescale?</t>
  </si>
  <si>
    <t>Assessor review and recommendations</t>
  </si>
  <si>
    <t>Based on the overall score achieved, the business case for this project is:</t>
  </si>
  <si>
    <t>Green = Passed
Amber = Passed with conditions
Red = Requires improvement</t>
  </si>
  <si>
    <t>Assessor summary including improvement points:</t>
  </si>
  <si>
    <t>Summary notes supporting the assessment recommendation including picking out good features of sound business cases.
Add any additional notes, observations, reservations or comments regarding the business case which may not be covered elsewhere.</t>
  </si>
  <si>
    <t>Conditions (if any further information required) for passing business case:</t>
  </si>
  <si>
    <t>Summary notes for what needs to be done to make unsound business cases sound or any conditions that need to be met at a later stage of the application, upon passing the business case with conditions.</t>
  </si>
  <si>
    <t>Disclaimer</t>
  </si>
  <si>
    <t>This assessment is made on the information as provided by the applicant. Whilst reasonable steps have been taken to ensure that the information provided within this assessment is correct, Salix, the assessor, and the Government give no warranty and make no representation as to its accuracy and accept no liability for any errors or omissions.</t>
  </si>
  <si>
    <t>To be completed by Salix/Atkins Assessor</t>
  </si>
  <si>
    <t>Project reference</t>
  </si>
  <si>
    <t>Time Allocated</t>
  </si>
  <si>
    <t>hours</t>
  </si>
  <si>
    <t>Assessor</t>
  </si>
  <si>
    <t>Approved by</t>
  </si>
  <si>
    <t xml:space="preserve">Scoring </t>
  </si>
  <si>
    <t>Number of score</t>
  </si>
  <si>
    <t>Column2</t>
  </si>
  <si>
    <t>Red</t>
  </si>
  <si>
    <t>Amber</t>
  </si>
  <si>
    <t>Green</t>
  </si>
  <si>
    <t>Total ranking</t>
  </si>
  <si>
    <t>Project Code:</t>
  </si>
  <si>
    <t>PET entry:</t>
  </si>
  <si>
    <t>Project Ref</t>
  </si>
  <si>
    <t>Start 
date</t>
  </si>
  <si>
    <t>Completion date</t>
  </si>
  <si>
    <t>Site name</t>
  </si>
  <si>
    <t>Site life (yrs)</t>
  </si>
  <si>
    <t>Project /
description</t>
  </si>
  <si>
    <t xml:space="preserve">Total Project Value </t>
  </si>
  <si>
    <t>Salix Funding Requested</t>
  </si>
  <si>
    <t>Salix % contribution of total project cost</t>
  </si>
  <si>
    <t>Energy Type</t>
  </si>
  <si>
    <t>Energy Cost (p/kWh)</t>
  </si>
  <si>
    <t>Annual kWh Pre-Project</t>
  </si>
  <si>
    <t>Annual kWh Post-Project</t>
  </si>
  <si>
    <t>Annual kWh Saving</t>
  </si>
  <si>
    <t>Payback Period</t>
  </si>
  <si>
    <t>kg/kWh</t>
  </si>
  <si>
    <t>tCO2 pa</t>
  </si>
  <si>
    <t>tCO2 LT Savings</t>
  </si>
  <si>
    <t>£/tCO2 LT</t>
  </si>
  <si>
    <t>LT Financial Saving</t>
  </si>
  <si>
    <t>Back Data:</t>
  </si>
  <si>
    <t>Measure Reference:</t>
  </si>
  <si>
    <t>Energy
type</t>
  </si>
  <si>
    <t>p/kWh</t>
  </si>
  <si>
    <t>Annual Financial Saving</t>
  </si>
  <si>
    <t>tCO2 LT</t>
  </si>
  <si>
    <t>Cost per Measure</t>
  </si>
  <si>
    <t>Number</t>
  </si>
  <si>
    <t>Energy type</t>
  </si>
  <si>
    <t>Work-type list name</t>
  </si>
  <si>
    <t xml:space="preserve">Client type </t>
  </si>
  <si>
    <t xml:space="preserve">Client-type list name </t>
  </si>
  <si>
    <t>Client Type Selected</t>
  </si>
  <si>
    <t>Client-type list name</t>
  </si>
  <si>
    <t>BMS</t>
  </si>
  <si>
    <t xml:space="preserve">Emergency_Services </t>
  </si>
  <si>
    <t xml:space="preserve">Further Education Institution </t>
  </si>
  <si>
    <t xml:space="preserve">Further_Education_Institution </t>
  </si>
  <si>
    <t>EfW</t>
  </si>
  <si>
    <t>Project Row</t>
  </si>
  <si>
    <t>Project Type Selected</t>
  </si>
  <si>
    <t>Work type selected</t>
  </si>
  <si>
    <t>Consistency check</t>
  </si>
  <si>
    <t>Check that all cells are ok</t>
  </si>
  <si>
    <t xml:space="preserve">Higher Education Institution </t>
  </si>
  <si>
    <t xml:space="preserve">Higher_Education_Institution </t>
  </si>
  <si>
    <t>Local_Authority</t>
  </si>
  <si>
    <t>Hot_water</t>
  </si>
  <si>
    <t>Insulation_building_fabric</t>
  </si>
  <si>
    <t>Primary_School</t>
  </si>
  <si>
    <t>Insulation_draught_proofing</t>
  </si>
  <si>
    <t>Secondary_School</t>
  </si>
  <si>
    <t>Insulation_other</t>
  </si>
  <si>
    <t>Insulation_pipework</t>
  </si>
  <si>
    <t>LCH</t>
  </si>
  <si>
    <t>LEDs</t>
  </si>
  <si>
    <t>Lighting_controls</t>
  </si>
  <si>
    <t>Motor_controls</t>
  </si>
  <si>
    <t>Motor_replacement</t>
  </si>
  <si>
    <t>Renewables</t>
  </si>
  <si>
    <t>Time_switches</t>
  </si>
  <si>
    <t>Enter Project Type first</t>
  </si>
  <si>
    <t>Programme</t>
  </si>
  <si>
    <t>PB</t>
  </si>
  <si>
    <t>£/tCO2e</t>
  </si>
  <si>
    <t>SEELS Scotland</t>
  </si>
  <si>
    <t>SEELS Wales</t>
  </si>
  <si>
    <t>Recycling Fund England HEI</t>
  </si>
  <si>
    <t>Recycling Fund Scotland</t>
  </si>
  <si>
    <t>Recycling Fund Wales</t>
  </si>
  <si>
    <t>Overall project</t>
  </si>
  <si>
    <t>Criteria</t>
  </si>
  <si>
    <t>SEELS_England</t>
  </si>
  <si>
    <t>Higher_Education_Institute</t>
  </si>
  <si>
    <t>Recycling_Fund_England_HEI</t>
  </si>
  <si>
    <t>SEELS_Schools</t>
  </si>
  <si>
    <t>Further_Education_Institute</t>
  </si>
  <si>
    <t>Recycling_Fund_England</t>
  </si>
  <si>
    <t>SEELS_Scotland</t>
  </si>
  <si>
    <t>SEELS_Wales</t>
  </si>
  <si>
    <t>Emergency_Services</t>
  </si>
  <si>
    <t xml:space="preserve">Primary School </t>
  </si>
  <si>
    <t xml:space="preserve">Primary_School </t>
  </si>
  <si>
    <t>Recycling_Fund_Scotland</t>
  </si>
  <si>
    <t>Recycling_Fund_Wales</t>
  </si>
  <si>
    <t>Salix Decarbonisation Fund</t>
  </si>
  <si>
    <t>Salix_Decarbonisation_Fund</t>
  </si>
  <si>
    <t>Primary School (Local Authority)</t>
  </si>
  <si>
    <t>Secondary School (Local Authority)</t>
  </si>
  <si>
    <t>Programme Selected</t>
  </si>
  <si>
    <t>vlookup</t>
  </si>
  <si>
    <t>This new Recycling Fund Tool is to come into effect from October 2023.
The following section is designed to give some clear guidance on how to fill out the 'Project Compliance Tool' tab so that you can assess the compliancy of the project. If the project is over £100,000, or is a SEELS Wales application, please complete the Business Case section in the separate tab. There is separate guidance for the Business Case, which can be requested from:</t>
  </si>
  <si>
    <t>Carbon Factor for Electricity from "UK Government GHG Conversion Factors for Company Reporting" (2023)</t>
  </si>
  <si>
    <t>Enter information for each work type required for the project. Up to 10 work types may be entered here, although an extended version of the form can be requested.</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</si>
  <si>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10 South Colonnade, Canary Wharf, London, E14 4PU.
</t>
  </si>
  <si>
    <t>If you have more than 10 projects you wish to apply for, please contact: technical@salixfinance.co.uk
Once you have completed Step 1, Step 2 involves supporting your application with the following information where applicable:
i. For individual projects over £100k and all SEELS Wales applications, a completed Salix business case (in the next tab);
ii. Supporting information in the form of savings calculations, evidence of project/fuel costs, technical specifications etc.
The final step of the application process is to upload the compliance tool and supporting information to SERS (RF only) or submit these to Salix (SEELS).</t>
  </si>
  <si>
    <t>Main Contact for Project</t>
  </si>
  <si>
    <t>Project Cost Breakdown</t>
  </si>
  <si>
    <t>2. Project Details</t>
  </si>
  <si>
    <t>DESNZ: Current GHG conversion factors - updated June 2023</t>
  </si>
  <si>
    <t>CS</t>
  </si>
  <si>
    <t>Only complete if your project is over £100,000 and/or a SEELS Wales application.</t>
  </si>
  <si>
    <t>1. Cost Breakdown</t>
  </si>
  <si>
    <t>3. Details of Supporting Documentation</t>
  </si>
  <si>
    <t xml:space="preserve">•  Please list all supporting information document titles in the box below.
•  All applications should provide energy savings calculations, cost calculations/evidence, data sheets, and an energy and carbon monitoring plan
•  For applications valued over £500,000 please also provide an internal risk register and project programme.    </t>
  </si>
  <si>
    <t>4. Details of Project Energy Saving Calculations</t>
  </si>
  <si>
    <t xml:space="preserve">•  Describe how the project energy and carbon savings have been calculated, detailing any assumptions.
•  Calculations should be submitted alongside your application form.
•  Describe the methodology used to calculate the forecasted fuel costs. </t>
  </si>
  <si>
    <t>5. Energy and Carbon Monitoring Plan Post-completion</t>
  </si>
  <si>
    <t>6. Project Governance</t>
  </si>
  <si>
    <t>7. Previous Experience</t>
  </si>
  <si>
    <t>8. Project Risks &amp; Mitigation</t>
  </si>
  <si>
    <t>9. Timescales</t>
  </si>
  <si>
    <t>10. Key Project Milestones</t>
  </si>
  <si>
    <t>The final step of the application process is to upload the compliance tool and supporting information to SERS (RF only) or submit these to Salix (SEELS).</t>
  </si>
  <si>
    <t>For questions regarding how to complete this form or what information to include in your application, please do not hesitate to contact a member of the Energy and Carbon Technical Team: technical@salixfinance.co.uk</t>
  </si>
  <si>
    <t>11. Well-Being of Future Generations (Wales) Act 2015 (Wales Applications ONLY)</t>
  </si>
  <si>
    <t xml:space="preserve">•   Please describe how this project will maximise the organisation's contribution to one or more of the seven well-being goals in the Act and how this project is in accordance with the Sustainable Development Principles.
•   Further information on the Act and Legislation can be found at https://www.futuregenerations.wales/
</t>
  </si>
  <si>
    <t>1.1 Project Description including any background material (For Wales Applications: Future Generations Act 2015)</t>
  </si>
  <si>
    <t xml:space="preserve">Upgrade form to become universal tool for all loan schemes.
Update carbon factors and addition of bespoke option (for distict heating).
Removal of boilers and voltage optimisation as an eligible technology.
Business case includes question for Welsh applicants.
Re-wording of questions in business case section.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</si>
</sst>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43" formatCode="_-* #,##0.00_-;\-* #,##0.00_-;_-* &quot;-&quot;??_-;_-@_-"/>
    <numFmt numFmtId="164" formatCode="&quot;£&quot;#,##0"/>
    <numFmt numFmtId="165" formatCode="#,##0_ ;\-#,##0\ "/>
    <numFmt numFmtId="166" formatCode="d/m/yy;@"/>
    <numFmt numFmtId="167" formatCode="_-* #,##0.000_-;\-* #,##0.000_-;_-* &quot;-&quot;??_-;_-@_-"/>
    <numFmt numFmtId="168" formatCode="#,##0.00_ ;\-#,##0.00\ "/>
    <numFmt numFmtId="169" formatCode="0.00000"/>
    <numFmt numFmtId="170" formatCode="_-* #,##0_-;\-* #,##0_-;_-* &quot;-&quot;??_-;_-@_-"/>
    <numFmt numFmtId="171" formatCode="&quot;£&quot;#,##0.00"/>
    <numFmt numFmtId="172" formatCode="[$-F800]dddd\,\ mmmm\ dd\,\ yyyy"/>
    <numFmt numFmtId="173" formatCode="0.000"/>
    <numFmt numFmtId="174" formatCode="_-* #,##0.00000_-;\-* #,##0.00000_-;_-* &quot;-&quot;??_-;_-@_-"/>
  </numFmts>
  <fonts count="9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Gill Sans MT"/>
      <family val="2"/>
    </font>
    <font>
      <b/>
      <sz val="10"/>
      <color theme="1"/>
      <name val="Gill Sans MT"/>
      <family val="2"/>
    </font>
    <font>
      <sz val="10"/>
      <name val="Gill Sans MT"/>
      <family val="2"/>
    </font>
    <font>
      <sz val="10"/>
      <color theme="1"/>
      <name val="Calibri"/>
      <family val="2"/>
      <scheme val="minor"/>
    </font>
    <font>
      <sz val="10"/>
      <name val="Calibri"/>
      <family val="2"/>
      <scheme val="minor"/>
    </font>
    <font>
      <u/>
      <sz val="10"/>
      <color theme="10"/>
      <name val="Gill Sans MT"/>
      <family val="2"/>
    </font>
    <font>
      <b/>
      <sz val="10"/>
      <color theme="1"/>
      <name val="Calibri"/>
      <family val="2"/>
      <scheme val="minor"/>
    </font>
    <font>
      <b/>
      <sz val="10"/>
      <name val="Calibri"/>
      <family val="2"/>
      <scheme val="minor"/>
    </font>
    <font>
      <sz val="12"/>
      <color theme="1"/>
      <name val="Calibri"/>
      <family val="2"/>
      <scheme val="minor"/>
    </font>
    <font>
      <b/>
      <u/>
      <sz val="12"/>
      <name val="Calibri"/>
      <family val="2"/>
      <scheme val="minor"/>
    </font>
    <font>
      <b/>
      <u/>
      <sz val="12"/>
      <color theme="1"/>
      <name val="Calibri"/>
      <family val="2"/>
      <scheme val="minor"/>
    </font>
    <font>
      <sz val="10"/>
      <color theme="0"/>
      <name val="Calibri"/>
      <family val="2"/>
      <scheme val="minor"/>
    </font>
    <font>
      <b/>
      <sz val="11"/>
      <color theme="1"/>
      <name val="Calibri"/>
      <family val="2"/>
      <scheme val="minor"/>
    </font>
    <font>
      <b/>
      <sz val="12"/>
      <color theme="1"/>
      <name val="Calibri"/>
      <family val="2"/>
      <scheme val="minor"/>
    </font>
    <font>
      <sz val="10"/>
      <name val="Verdana"/>
      <family val="2"/>
    </font>
    <font>
      <u/>
      <sz val="12"/>
      <color theme="6" tint="-0.24994659260841701"/>
      <name val="Calibri"/>
      <family val="2"/>
    </font>
    <font>
      <b/>
      <sz val="10"/>
      <color theme="0"/>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10"/>
      <color theme="0"/>
      <name val="Verdana"/>
      <family val="2"/>
    </font>
    <font>
      <sz val="10"/>
      <color rgb="FFFF0000"/>
      <name val="Verdana"/>
      <family val="2"/>
    </font>
    <font>
      <b/>
      <sz val="10"/>
      <color theme="1"/>
      <name val="Verdana"/>
      <family val="2"/>
    </font>
    <font>
      <sz val="10"/>
      <color theme="0"/>
      <name val="Verdana"/>
      <family val="2"/>
    </font>
    <font>
      <sz val="12"/>
      <color theme="1"/>
      <name val="Verdana"/>
      <family val="2"/>
    </font>
    <font>
      <sz val="16"/>
      <color theme="1"/>
      <name val="Verdana"/>
      <family val="2"/>
    </font>
    <font>
      <b/>
      <sz val="12"/>
      <color theme="1"/>
      <name val="Verdana"/>
      <family val="2"/>
    </font>
    <font>
      <u/>
      <sz val="20"/>
      <name val="Verdana"/>
      <family val="2"/>
    </font>
    <font>
      <b/>
      <u/>
      <sz val="12"/>
      <name val="Verdana"/>
      <family val="2"/>
    </font>
    <font>
      <u/>
      <sz val="10"/>
      <color theme="10"/>
      <name val="Verdana"/>
      <family val="2"/>
    </font>
    <font>
      <u/>
      <sz val="12"/>
      <color theme="1"/>
      <name val="Verdana"/>
      <family val="2"/>
    </font>
    <font>
      <u/>
      <sz val="10"/>
      <color theme="1"/>
      <name val="Verdana"/>
      <family val="2"/>
    </font>
    <font>
      <sz val="16"/>
      <name val="Verdana"/>
      <family val="2"/>
    </font>
    <font>
      <sz val="9"/>
      <name val="Verdana"/>
      <family val="2"/>
    </font>
    <font>
      <b/>
      <sz val="10"/>
      <name val="Verdana"/>
      <family val="2"/>
    </font>
    <font>
      <u/>
      <sz val="14"/>
      <name val="Verdana"/>
      <family val="2"/>
    </font>
    <font>
      <b/>
      <vertAlign val="subscript"/>
      <sz val="10"/>
      <color theme="1"/>
      <name val="Verdana"/>
      <family val="2"/>
    </font>
    <font>
      <u/>
      <sz val="10"/>
      <name val="Verdana"/>
      <family val="2"/>
    </font>
    <font>
      <sz val="11"/>
      <color rgb="FFFF0000"/>
      <name val="Verdana"/>
      <family val="2"/>
    </font>
    <font>
      <b/>
      <sz val="9"/>
      <color theme="1"/>
      <name val="Verdana"/>
      <family val="2"/>
    </font>
    <font>
      <sz val="10"/>
      <color indexed="8"/>
      <name val="Verdana"/>
      <family val="2"/>
    </font>
    <font>
      <b/>
      <vertAlign val="subscript"/>
      <sz val="10"/>
      <color theme="0"/>
      <name val="Verdana"/>
      <family val="2"/>
    </font>
    <font>
      <u/>
      <sz val="18"/>
      <color rgb="FF425426"/>
      <name val="Verdana"/>
      <family val="2"/>
    </font>
    <font>
      <sz val="18"/>
      <color rgb="FF425426"/>
      <name val="Verdana"/>
      <family val="2"/>
    </font>
    <font>
      <sz val="16"/>
      <color rgb="FF98A03B"/>
      <name val="Verdana"/>
      <family val="2"/>
    </font>
    <font>
      <b/>
      <sz val="12"/>
      <color rgb="FF425426"/>
      <name val="Verdana"/>
      <family val="2"/>
    </font>
    <font>
      <sz val="12"/>
      <name val="Verdana"/>
      <family val="2"/>
    </font>
    <font>
      <u/>
      <sz val="12"/>
      <color indexed="8"/>
      <name val="Verdana"/>
      <family val="2"/>
    </font>
    <font>
      <sz val="12"/>
      <color theme="0"/>
      <name val="Verdana"/>
      <family val="2"/>
    </font>
    <font>
      <u/>
      <sz val="12"/>
      <color theme="0"/>
      <name val="Verdana"/>
      <family val="2"/>
    </font>
    <font>
      <vertAlign val="subscript"/>
      <sz val="10"/>
      <name val="Verdana"/>
      <family val="2"/>
    </font>
    <font>
      <vertAlign val="subscript"/>
      <sz val="10"/>
      <color theme="1"/>
      <name val="Verdana"/>
      <family val="2"/>
    </font>
    <font>
      <b/>
      <sz val="9"/>
      <color theme="0"/>
      <name val="Verdana"/>
      <family val="2"/>
    </font>
    <font>
      <b/>
      <vertAlign val="subscript"/>
      <sz val="9"/>
      <color theme="0"/>
      <name val="Verdana"/>
      <family val="2"/>
    </font>
    <font>
      <b/>
      <sz val="11"/>
      <color theme="1"/>
      <name val="Verdana"/>
      <family val="2"/>
    </font>
    <font>
      <b/>
      <sz val="10"/>
      <color rgb="FF425426"/>
      <name val="Calibri"/>
      <family val="2"/>
      <scheme val="minor"/>
    </font>
    <font>
      <b/>
      <sz val="14"/>
      <color rgb="FF425426"/>
      <name val="Calibri"/>
      <family val="2"/>
      <scheme val="minor"/>
    </font>
    <font>
      <b/>
      <sz val="11"/>
      <color rgb="FF425426"/>
      <name val="Verdana"/>
      <family val="2"/>
    </font>
    <font>
      <sz val="12"/>
      <name val="Calibri"/>
      <family val="2"/>
      <scheme val="minor"/>
    </font>
    <font>
      <sz val="12"/>
      <color rgb="FFFF0000"/>
      <name val="Calibri"/>
      <family val="2"/>
      <scheme val="minor"/>
    </font>
    <font>
      <b/>
      <sz val="14"/>
      <color theme="1"/>
      <name val="Calibri"/>
      <family val="2"/>
      <scheme val="minor"/>
    </font>
    <font>
      <sz val="12"/>
      <color theme="0"/>
      <name val="Calibri"/>
      <family val="2"/>
      <scheme val="minor"/>
    </font>
    <font>
      <sz val="11"/>
      <color theme="1"/>
      <name val="Verdana"/>
      <family val="2"/>
    </font>
    <font>
      <sz val="11"/>
      <name val="Verdana"/>
      <family val="2"/>
    </font>
    <font>
      <sz val="9"/>
      <color theme="1"/>
      <name val="Verdana"/>
      <family val="2"/>
    </font>
    <font>
      <b/>
      <sz val="10"/>
      <color rgb="FFFF0000"/>
      <name val="Verdana"/>
      <family val="2"/>
    </font>
    <font>
      <b/>
      <sz val="11"/>
      <color rgb="FF382573"/>
      <name val="Verdana"/>
      <family val="2"/>
    </font>
    <font>
      <sz val="11"/>
      <color rgb="FF382573"/>
      <name val="Verdana"/>
      <family val="2"/>
    </font>
    <font>
      <b/>
      <sz val="11"/>
      <color rgb="FF382573"/>
      <name val="Gill Sans MT"/>
      <family val="2"/>
    </font>
    <font>
      <b/>
      <sz val="11"/>
      <color theme="0"/>
      <name val="Verdana"/>
      <family val="2"/>
    </font>
    <font>
      <sz val="11"/>
      <color theme="1"/>
      <name val="Gill Sans MT"/>
      <family val="2"/>
    </font>
    <font>
      <sz val="14"/>
      <name val="Verdana"/>
      <family val="2"/>
    </font>
    <font>
      <sz val="12"/>
      <color rgb="FF382573"/>
      <name val="Verdana"/>
      <family val="2"/>
    </font>
    <font>
      <b/>
      <sz val="28"/>
      <color rgb="FF382573"/>
      <name val="Verdana"/>
      <family val="2"/>
    </font>
    <font>
      <b/>
      <sz val="12"/>
      <color theme="0"/>
      <name val="Calibri"/>
      <family val="2"/>
      <scheme val="minor"/>
    </font>
    <font>
      <sz val="10"/>
      <color rgb="FF000000"/>
      <name val="Calibri"/>
      <family val="2"/>
      <scheme val="minor"/>
    </font>
    <font>
      <b/>
      <sz val="11"/>
      <color rgb="FFF4FFF5"/>
      <name val="Verdana"/>
      <family val="2"/>
    </font>
    <font>
      <u/>
      <sz val="11"/>
      <color theme="10"/>
      <name val="Calibri"/>
      <family val="2"/>
      <scheme val="minor"/>
    </font>
    <font>
      <b/>
      <sz val="10"/>
      <color theme="1"/>
      <name val="Gill Sans MT"/>
    </font>
    <font>
      <sz val="10"/>
      <name val="Verdana"/>
    </font>
  </fonts>
  <fills count="2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rgb="FFF2F2F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2DAE76"/>
        <bgColor indexed="64"/>
      </patternFill>
    </fill>
    <fill>
      <patternFill patternType="solid">
        <fgColor rgb="FFF4FFF5"/>
        <bgColor indexed="64"/>
      </patternFill>
    </fill>
    <fill>
      <patternFill patternType="solid">
        <fgColor rgb="FF382573"/>
        <bgColor indexed="64"/>
      </patternFill>
    </fill>
    <fill>
      <patternFill patternType="solid">
        <fgColor rgb="FF6BC3C4"/>
        <bgColor indexed="64"/>
      </patternFill>
    </fill>
    <fill>
      <patternFill patternType="solid">
        <fgColor rgb="FFCAF2E1"/>
        <bgColor indexed="64"/>
      </patternFill>
    </fill>
    <fill>
      <patternFill patternType="solid">
        <fgColor theme="2"/>
        <bgColor indexed="64"/>
      </patternFill>
    </fill>
    <fill>
      <patternFill patternType="solid">
        <fgColor rgb="FFFFFFFF"/>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6"/>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hair">
        <color theme="0" tint="-0.24994659260841701"/>
      </left>
      <right style="hair">
        <color theme="0" tint="-0.24994659260841701"/>
      </right>
      <top style="medium">
        <color indexed="64"/>
      </top>
      <bottom style="medium">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top style="medium">
        <color indexed="64"/>
      </top>
      <bottom style="medium">
        <color indexed="64"/>
      </bottom>
      <diagonal/>
    </border>
    <border>
      <left/>
      <right style="hair">
        <color theme="0" tint="-0.24994659260841701"/>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theme="0" tint="-0.24994659260841701"/>
      </left>
      <right style="medium">
        <color indexed="64"/>
      </right>
      <top style="medium">
        <color indexed="64"/>
      </top>
      <bottom style="medium">
        <color indexed="64"/>
      </bottom>
      <diagonal/>
    </border>
    <border>
      <left/>
      <right style="hair">
        <color theme="0" tint="-0.24994659260841701"/>
      </right>
      <top/>
      <bottom style="hair">
        <color indexed="64"/>
      </bottom>
      <diagonal/>
    </border>
    <border>
      <left style="hair">
        <color theme="0" tint="-0.24994659260841701"/>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theme="0" tint="-0.2499465926084170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theme="0" tint="-0.24994659260841701"/>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thin">
        <color theme="1"/>
      </left>
      <right style="thin">
        <color theme="1"/>
      </right>
      <top style="thin">
        <color theme="1"/>
      </top>
      <bottom style="thin">
        <color theme="1"/>
      </bottom>
      <diagonal/>
    </border>
    <border>
      <left style="medium">
        <color theme="1"/>
      </left>
      <right style="medium">
        <color indexed="64"/>
      </right>
      <top style="medium">
        <color indexed="64"/>
      </top>
      <bottom style="hair">
        <color indexed="64"/>
      </bottom>
      <diagonal/>
    </border>
    <border>
      <left style="medium">
        <color theme="1"/>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auto="1"/>
      </top>
      <bottom/>
      <diagonal/>
    </border>
    <border>
      <left/>
      <right style="medium">
        <color theme="1"/>
      </right>
      <top/>
      <bottom style="thin">
        <color indexed="64"/>
      </bottom>
      <diagonal/>
    </border>
    <border>
      <left style="medium">
        <color theme="1"/>
      </left>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style="hair">
        <color theme="0" tint="-0.24994659260841701"/>
      </right>
      <top style="medium">
        <color indexed="64"/>
      </top>
      <bottom style="medium">
        <color indexed="64"/>
      </bottom>
      <diagonal/>
    </border>
    <border>
      <left style="thin">
        <color theme="1"/>
      </left>
      <right/>
      <top style="thin">
        <color theme="1"/>
      </top>
      <bottom style="thin">
        <color theme="1"/>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theme="1"/>
      </left>
      <right/>
      <top style="thin">
        <color theme="1"/>
      </top>
      <bottom style="medium">
        <color indexed="64"/>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top/>
      <bottom style="medium">
        <color theme="2" tint="-0.249977111117893"/>
      </bottom>
      <diagonal/>
    </border>
    <border>
      <left style="thin">
        <color theme="2" tint="-0.249977111117893"/>
      </left>
      <right style="thin">
        <color theme="2" tint="-0.249977111117893"/>
      </right>
      <top/>
      <bottom style="medium">
        <color theme="2" tint="-0.249977111117893"/>
      </bottom>
      <diagonal/>
    </border>
    <border>
      <left style="medium">
        <color theme="2" tint="-0.249977111117893"/>
      </left>
      <right style="thin">
        <color theme="2" tint="-0.249977111117893"/>
      </right>
      <top style="thin">
        <color theme="2" tint="-9.9978637043366805E-2"/>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thin">
        <color theme="4"/>
      </top>
      <bottom style="medium">
        <color theme="2" tint="-0.249977111117893"/>
      </bottom>
      <diagonal/>
    </border>
    <border>
      <left/>
      <right/>
      <top/>
      <bottom style="thin">
        <color theme="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medium">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theme="2" tint="-0.249977111117893"/>
      </left>
      <right style="thin">
        <color theme="2" tint="-0.249977111117893"/>
      </right>
      <top style="medium">
        <color indexed="64"/>
      </top>
      <bottom/>
      <diagonal/>
    </border>
    <border>
      <left style="medium">
        <color indexed="64"/>
      </left>
      <right style="thin">
        <color theme="2" tint="-0.249977111117893"/>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theme="1"/>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2" tint="-0.249977111117893"/>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theme="1"/>
      </top>
      <bottom/>
      <diagonal/>
    </border>
    <border>
      <left style="medium">
        <color indexed="64"/>
      </left>
      <right/>
      <top style="medium">
        <color indexed="64"/>
      </top>
      <bottom style="medium">
        <color theme="1"/>
      </bottom>
      <diagonal/>
    </border>
    <border>
      <left style="thin">
        <color indexed="64"/>
      </left>
      <right style="thin">
        <color indexed="64"/>
      </right>
      <top/>
      <bottom style="medium">
        <color indexed="64"/>
      </bottom>
      <diagonal/>
    </border>
    <border>
      <left style="medium">
        <color indexed="64"/>
      </left>
      <right style="medium">
        <color indexed="64"/>
      </right>
      <top style="hair">
        <color theme="1"/>
      </top>
      <bottom style="hair">
        <color theme="1"/>
      </bottom>
      <diagonal/>
    </border>
    <border>
      <left style="medium">
        <color indexed="64"/>
      </left>
      <right style="medium">
        <color indexed="64"/>
      </right>
      <top style="hair">
        <color theme="1"/>
      </top>
      <bottom style="medium">
        <color indexed="64"/>
      </bottom>
      <diagonal/>
    </border>
    <border>
      <left/>
      <right style="medium">
        <color indexed="64"/>
      </right>
      <top style="medium">
        <color indexed="64"/>
      </top>
      <bottom style="medium">
        <color theme="1"/>
      </bottom>
      <diagonal/>
    </border>
  </borders>
  <cellStyleXfs count="25">
    <xf numFmtId="0" fontId="0" fillId="0" borderId="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xf numFmtId="0" fontId="8" fillId="0" borderId="0"/>
    <xf numFmtId="9" fontId="9" fillId="0" borderId="0" applyFont="0" applyFill="0" applyBorder="0" applyAlignment="0" applyProtection="0"/>
    <xf numFmtId="0" fontId="9" fillId="0" borderId="0"/>
    <xf numFmtId="0" fontId="7" fillId="0" borderId="0"/>
    <xf numFmtId="0" fontId="6" fillId="0" borderId="0"/>
    <xf numFmtId="9" fontId="6" fillId="0" borderId="0" applyFont="0" applyFill="0" applyBorder="0" applyAlignment="0" applyProtection="0"/>
    <xf numFmtId="0" fontId="6" fillId="0" borderId="0"/>
    <xf numFmtId="0" fontId="9" fillId="0" borderId="0"/>
    <xf numFmtId="0" fontId="26" fillId="0" borderId="0"/>
    <xf numFmtId="0" fontId="20" fillId="0" borderId="0"/>
    <xf numFmtId="0" fontId="27" fillId="0" borderId="0" applyNumberFormat="0" applyFill="0" applyBorder="0" applyAlignment="0" applyProtection="0">
      <alignment vertical="top"/>
      <protection locked="0"/>
    </xf>
    <xf numFmtId="0" fontId="5" fillId="0" borderId="0"/>
    <xf numFmtId="43" fontId="9" fillId="0" borderId="0" applyFont="0" applyFill="0" applyBorder="0" applyAlignment="0" applyProtection="0"/>
    <xf numFmtId="0" fontId="9" fillId="0" borderId="0"/>
    <xf numFmtId="0" fontId="3" fillId="0" borderId="0"/>
    <xf numFmtId="9" fontId="3" fillId="0" borderId="0" applyFont="0" applyFill="0" applyBorder="0" applyAlignment="0" applyProtection="0"/>
    <xf numFmtId="0" fontId="2" fillId="0" borderId="0"/>
    <xf numFmtId="0" fontId="1" fillId="0" borderId="0"/>
    <xf numFmtId="0" fontId="10" fillId="0" borderId="0" applyNumberFormat="0" applyFill="0" applyBorder="0" applyAlignment="0" applyProtection="0">
      <alignment vertical="top"/>
      <protection locked="0"/>
    </xf>
    <xf numFmtId="0" fontId="1" fillId="0" borderId="0"/>
    <xf numFmtId="0" fontId="89" fillId="0" borderId="0" applyNumberFormat="0" applyFill="0" applyBorder="0" applyAlignment="0" applyProtection="0"/>
  </cellStyleXfs>
  <cellXfs count="868">
    <xf numFmtId="0" fontId="0" fillId="0" borderId="0" xfId="0"/>
    <xf numFmtId="0" fontId="0" fillId="0" borderId="0" xfId="0" quotePrefix="1"/>
    <xf numFmtId="0" fontId="0" fillId="3" borderId="0" xfId="0" applyFill="1"/>
    <xf numFmtId="0" fontId="12" fillId="0" borderId="0" xfId="0" applyFont="1"/>
    <xf numFmtId="0" fontId="12" fillId="0" borderId="0" xfId="0" applyFont="1" applyAlignment="1">
      <alignment vertical="center"/>
    </xf>
    <xf numFmtId="0" fontId="18" fillId="5" borderId="0" xfId="0" applyFont="1" applyFill="1" applyAlignment="1">
      <alignment horizontal="center" vertical="center" wrapText="1"/>
    </xf>
    <xf numFmtId="0" fontId="15" fillId="5" borderId="0" xfId="0" applyFont="1" applyFill="1" applyAlignment="1">
      <alignment vertical="center"/>
    </xf>
    <xf numFmtId="0" fontId="18" fillId="5" borderId="0" xfId="0" applyFont="1" applyFill="1" applyAlignment="1">
      <alignment vertical="center"/>
    </xf>
    <xf numFmtId="0" fontId="15" fillId="5" borderId="0" xfId="0" applyFont="1" applyFill="1" applyAlignment="1">
      <alignment horizontal="left" vertical="top" wrapText="1"/>
    </xf>
    <xf numFmtId="0" fontId="15" fillId="5" borderId="0" xfId="0" applyFont="1" applyFill="1" applyAlignment="1" applyProtection="1">
      <alignment horizontal="left" vertical="top" wrapText="1"/>
      <protection hidden="1"/>
    </xf>
    <xf numFmtId="0" fontId="15" fillId="5" borderId="0" xfId="0" applyFont="1" applyFill="1" applyAlignment="1">
      <alignment vertical="center" wrapText="1"/>
    </xf>
    <xf numFmtId="0" fontId="15" fillId="5" borderId="0" xfId="0" applyFont="1" applyFill="1"/>
    <xf numFmtId="0" fontId="15" fillId="5" borderId="0" xfId="0" applyFont="1" applyFill="1" applyAlignment="1">
      <alignment wrapText="1"/>
    </xf>
    <xf numFmtId="0" fontId="20" fillId="3" borderId="0" xfId="0" applyFont="1" applyFill="1"/>
    <xf numFmtId="0" fontId="21" fillId="3" borderId="0" xfId="0" applyFont="1" applyFill="1" applyAlignment="1">
      <alignment vertical="top"/>
    </xf>
    <xf numFmtId="0" fontId="22" fillId="3" borderId="0" xfId="0" applyFont="1" applyFill="1" applyAlignment="1">
      <alignment horizontal="left" vertical="top"/>
    </xf>
    <xf numFmtId="0" fontId="20" fillId="3" borderId="0" xfId="0" applyFont="1" applyFill="1" applyAlignment="1">
      <alignment vertical="top" wrapText="1"/>
    </xf>
    <xf numFmtId="0" fontId="15" fillId="0" borderId="0" xfId="0" applyFont="1" applyAlignment="1">
      <alignment horizontal="center"/>
    </xf>
    <xf numFmtId="166" fontId="15" fillId="0" borderId="0" xfId="0" applyNumberFormat="1" applyFont="1" applyAlignment="1">
      <alignment horizontal="center"/>
    </xf>
    <xf numFmtId="0" fontId="15" fillId="0" borderId="0" xfId="0" applyFont="1" applyAlignment="1">
      <alignment horizontal="left" wrapText="1"/>
    </xf>
    <xf numFmtId="1" fontId="15" fillId="0" borderId="0" xfId="0" applyNumberFormat="1" applyFont="1" applyAlignment="1">
      <alignment horizontal="center"/>
    </xf>
    <xf numFmtId="0" fontId="15" fillId="0" borderId="0" xfId="0" applyFont="1" applyAlignment="1">
      <alignment horizontal="left"/>
    </xf>
    <xf numFmtId="5" fontId="15" fillId="0" borderId="0" xfId="1" applyNumberFormat="1" applyFont="1"/>
    <xf numFmtId="164" fontId="15" fillId="0" borderId="0" xfId="0" applyNumberFormat="1" applyFont="1"/>
    <xf numFmtId="0" fontId="15" fillId="0" borderId="0" xfId="0" applyFont="1"/>
    <xf numFmtId="0" fontId="15" fillId="0" borderId="0" xfId="0" applyFont="1" applyAlignment="1">
      <alignment vertical="center"/>
    </xf>
    <xf numFmtId="0" fontId="15" fillId="5" borderId="0" xfId="0" applyFont="1" applyFill="1" applyAlignment="1">
      <alignment horizontal="center"/>
    </xf>
    <xf numFmtId="166" fontId="15" fillId="5" borderId="0" xfId="0" applyNumberFormat="1" applyFont="1" applyFill="1" applyAlignment="1">
      <alignment horizontal="center"/>
    </xf>
    <xf numFmtId="0" fontId="15" fillId="5" borderId="0" xfId="0" applyFont="1" applyFill="1" applyAlignment="1">
      <alignment horizontal="left" wrapText="1"/>
    </xf>
    <xf numFmtId="1" fontId="15" fillId="5" borderId="0" xfId="0" applyNumberFormat="1" applyFont="1" applyFill="1" applyAlignment="1">
      <alignment horizontal="center"/>
    </xf>
    <xf numFmtId="0" fontId="15" fillId="5" borderId="0" xfId="0" applyFont="1" applyFill="1" applyAlignment="1">
      <alignment horizontal="left"/>
    </xf>
    <xf numFmtId="5" fontId="15" fillId="5" borderId="0" xfId="1" applyNumberFormat="1" applyFont="1" applyFill="1"/>
    <xf numFmtId="164" fontId="15" fillId="5" borderId="0" xfId="0" applyNumberFormat="1" applyFont="1" applyFill="1"/>
    <xf numFmtId="0" fontId="18" fillId="5" borderId="0" xfId="0" applyFont="1" applyFill="1" applyAlignment="1" applyProtection="1">
      <alignment horizontal="left" vertical="top" wrapText="1"/>
      <protection hidden="1"/>
    </xf>
    <xf numFmtId="0" fontId="0" fillId="5" borderId="0" xfId="0" applyFill="1"/>
    <xf numFmtId="0" fontId="18" fillId="5" borderId="0" xfId="0" applyFont="1" applyFill="1" applyAlignment="1">
      <alignment horizontal="left" vertical="top" wrapText="1"/>
    </xf>
    <xf numFmtId="0" fontId="20" fillId="0" borderId="0" xfId="8" applyFont="1" applyAlignment="1" applyProtection="1">
      <alignment vertical="center"/>
      <protection hidden="1"/>
    </xf>
    <xf numFmtId="0" fontId="25" fillId="0" borderId="0" xfId="8" applyFont="1" applyAlignment="1" applyProtection="1">
      <alignment vertical="center"/>
      <protection hidden="1"/>
    </xf>
    <xf numFmtId="0" fontId="20" fillId="0" borderId="0" xfId="8" applyFont="1" applyAlignment="1" applyProtection="1">
      <alignment horizontal="center" vertical="center"/>
      <protection hidden="1"/>
    </xf>
    <xf numFmtId="0" fontId="20" fillId="0" borderId="1" xfId="8" applyFont="1" applyBorder="1" applyAlignment="1" applyProtection="1">
      <alignment vertical="center"/>
      <protection hidden="1"/>
    </xf>
    <xf numFmtId="0" fontId="20" fillId="5" borderId="0" xfId="13" applyFill="1" applyAlignment="1" applyProtection="1">
      <alignment horizontal="left" vertical="top"/>
      <protection hidden="1"/>
    </xf>
    <xf numFmtId="0" fontId="20" fillId="5" borderId="0" xfId="13" applyFill="1" applyAlignment="1" applyProtection="1">
      <alignment horizontal="left" vertical="top" wrapText="1"/>
      <protection hidden="1"/>
    </xf>
    <xf numFmtId="0" fontId="15" fillId="5" borderId="1" xfId="0" applyFont="1" applyFill="1" applyBorder="1" applyAlignment="1" applyProtection="1">
      <alignment horizontal="left" vertical="top" wrapText="1"/>
      <protection hidden="1"/>
    </xf>
    <xf numFmtId="14" fontId="15" fillId="5" borderId="0" xfId="0" applyNumberFormat="1" applyFont="1" applyFill="1" applyAlignment="1">
      <alignment vertical="center"/>
    </xf>
    <xf numFmtId="0" fontId="28" fillId="4" borderId="1" xfId="0" applyFont="1" applyFill="1" applyBorder="1" applyAlignment="1" applyProtection="1">
      <alignment vertical="top" wrapText="1"/>
      <protection locked="0" hidden="1"/>
    </xf>
    <xf numFmtId="0" fontId="15" fillId="0" borderId="0" xfId="0" applyFont="1" applyAlignment="1" applyProtection="1">
      <alignment vertical="top" wrapText="1"/>
      <protection locked="0" hidden="1"/>
    </xf>
    <xf numFmtId="0" fontId="15" fillId="2" borderId="1" xfId="0" applyFont="1" applyFill="1" applyBorder="1" applyAlignment="1" applyProtection="1">
      <alignment horizontal="left" vertical="top" wrapText="1"/>
      <protection locked="0" hidden="1"/>
    </xf>
    <xf numFmtId="1" fontId="15" fillId="0" borderId="0" xfId="0" applyNumberFormat="1" applyFont="1" applyAlignment="1" applyProtection="1">
      <alignment vertical="top" wrapText="1"/>
      <protection locked="0" hidden="1"/>
    </xf>
    <xf numFmtId="5" fontId="15" fillId="0" borderId="0" xfId="0" applyNumberFormat="1" applyFont="1" applyAlignment="1" applyProtection="1">
      <alignment vertical="top" wrapText="1"/>
      <protection locked="0" hidden="1"/>
    </xf>
    <xf numFmtId="9" fontId="15" fillId="0" borderId="0" xfId="0" applyNumberFormat="1" applyFont="1" applyAlignment="1" applyProtection="1">
      <alignment vertical="top" wrapText="1"/>
      <protection locked="0" hidden="1"/>
    </xf>
    <xf numFmtId="2" fontId="15" fillId="0" borderId="0" xfId="0" applyNumberFormat="1" applyFont="1" applyAlignment="1" applyProtection="1">
      <alignment vertical="top" wrapText="1"/>
      <protection locked="0" hidden="1"/>
    </xf>
    <xf numFmtId="43" fontId="15" fillId="0" borderId="0" xfId="0" applyNumberFormat="1" applyFont="1" applyAlignment="1" applyProtection="1">
      <alignment vertical="top" wrapText="1"/>
      <protection locked="0" hidden="1"/>
    </xf>
    <xf numFmtId="0" fontId="29" fillId="0" borderId="0" xfId="0" applyFont="1" applyAlignment="1" applyProtection="1">
      <alignment vertical="top" wrapText="1"/>
      <protection locked="0" hidden="1"/>
    </xf>
    <xf numFmtId="0" fontId="28" fillId="4" borderId="1" xfId="0" applyFont="1" applyFill="1" applyBorder="1" applyAlignment="1" applyProtection="1">
      <alignment horizontal="left" vertical="top" wrapText="1"/>
      <protection locked="0" hidden="1"/>
    </xf>
    <xf numFmtId="14" fontId="15" fillId="2" borderId="1" xfId="0" applyNumberFormat="1" applyFont="1" applyFill="1" applyBorder="1" applyAlignment="1" applyProtection="1">
      <alignment horizontal="left" vertical="top" wrapText="1"/>
      <protection locked="0" hidden="1"/>
    </xf>
    <xf numFmtId="1" fontId="15" fillId="2" borderId="1" xfId="0" applyNumberFormat="1" applyFont="1" applyFill="1" applyBorder="1" applyAlignment="1" applyProtection="1">
      <alignment horizontal="left" vertical="top" wrapText="1"/>
      <protection locked="0" hidden="1"/>
    </xf>
    <xf numFmtId="171" fontId="15" fillId="2" borderId="1" xfId="0" applyNumberFormat="1" applyFont="1" applyFill="1" applyBorder="1" applyAlignment="1" applyProtection="1">
      <alignment horizontal="left" vertical="top" wrapText="1"/>
      <protection locked="0" hidden="1"/>
    </xf>
    <xf numFmtId="9" fontId="15" fillId="2" borderId="1" xfId="5" applyFont="1" applyFill="1" applyBorder="1" applyAlignment="1" applyProtection="1">
      <alignment horizontal="left" vertical="top" wrapText="1"/>
      <protection locked="0" hidden="1"/>
    </xf>
    <xf numFmtId="0" fontId="30" fillId="2" borderId="1" xfId="0" applyFont="1" applyFill="1" applyBorder="1" applyAlignment="1" applyProtection="1">
      <alignment horizontal="left" vertical="top" wrapText="1"/>
      <protection locked="0" hidden="1"/>
    </xf>
    <xf numFmtId="9" fontId="30" fillId="2" borderId="1" xfId="5" applyFont="1" applyFill="1" applyBorder="1" applyAlignment="1" applyProtection="1">
      <alignment horizontal="left" vertical="top" wrapText="1"/>
      <protection locked="0" hidden="1"/>
    </xf>
    <xf numFmtId="2" fontId="15" fillId="2" borderId="1" xfId="0" applyNumberFormat="1" applyFont="1" applyFill="1" applyBorder="1" applyAlignment="1" applyProtection="1">
      <alignment horizontal="left" vertical="top" wrapText="1"/>
      <protection locked="0" hidden="1"/>
    </xf>
    <xf numFmtId="43" fontId="15" fillId="2" borderId="1" xfId="0" applyNumberFormat="1" applyFont="1" applyFill="1" applyBorder="1" applyAlignment="1" applyProtection="1">
      <alignment horizontal="left" vertical="top" wrapText="1"/>
      <protection locked="0" hidden="1"/>
    </xf>
    <xf numFmtId="43" fontId="15" fillId="2" borderId="1" xfId="1" applyFont="1" applyFill="1" applyBorder="1" applyAlignment="1" applyProtection="1">
      <alignment horizontal="left" vertical="top" wrapText="1"/>
      <protection locked="0" hidden="1"/>
    </xf>
    <xf numFmtId="10" fontId="15" fillId="2" borderId="1" xfId="0" applyNumberFormat="1" applyFont="1" applyFill="1" applyBorder="1" applyAlignment="1" applyProtection="1">
      <alignment horizontal="left" vertical="top" wrapText="1"/>
      <protection locked="0" hidden="1"/>
    </xf>
    <xf numFmtId="0" fontId="23" fillId="0" borderId="0" xfId="0" applyFont="1" applyAlignment="1" applyProtection="1">
      <alignment vertical="top" wrapText="1"/>
      <protection locked="0" hidden="1"/>
    </xf>
    <xf numFmtId="0" fontId="15" fillId="0" borderId="0" xfId="0" applyFont="1" applyAlignment="1">
      <alignment horizontal="left" vertical="top"/>
    </xf>
    <xf numFmtId="2" fontId="15" fillId="0" borderId="0" xfId="0" applyNumberFormat="1" applyFont="1"/>
    <xf numFmtId="0" fontId="19"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vertical="center"/>
    </xf>
    <xf numFmtId="2" fontId="18" fillId="0" borderId="0" xfId="0" applyNumberFormat="1" applyFont="1" applyAlignment="1">
      <alignment vertical="center"/>
    </xf>
    <xf numFmtId="0" fontId="16" fillId="0" borderId="0" xfId="0" applyFont="1" applyAlignment="1">
      <alignment horizontal="left" vertical="top"/>
    </xf>
    <xf numFmtId="0" fontId="16" fillId="0" borderId="0" xfId="0" applyFont="1" applyAlignment="1">
      <alignment horizontal="left" vertical="top" wrapText="1"/>
    </xf>
    <xf numFmtId="0" fontId="15" fillId="0" borderId="0" xfId="0" applyFont="1" applyProtection="1">
      <protection hidden="1"/>
    </xf>
    <xf numFmtId="14" fontId="15" fillId="0" borderId="0" xfId="0" applyNumberFormat="1" applyFont="1"/>
    <xf numFmtId="0" fontId="15" fillId="0" borderId="1" xfId="0" applyFont="1" applyBorder="1" applyProtection="1">
      <protection hidden="1"/>
    </xf>
    <xf numFmtId="2" fontId="15" fillId="0" borderId="0" xfId="0" applyNumberFormat="1" applyFont="1" applyProtection="1">
      <protection hidden="1"/>
    </xf>
    <xf numFmtId="43" fontId="15" fillId="0" borderId="0" xfId="0" applyNumberFormat="1" applyFont="1" applyProtection="1">
      <protection hidden="1"/>
    </xf>
    <xf numFmtId="2" fontId="15" fillId="10" borderId="0" xfId="0" applyNumberFormat="1" applyFont="1" applyFill="1"/>
    <xf numFmtId="0" fontId="15" fillId="10" borderId="0" xfId="0" applyFont="1" applyFill="1"/>
    <xf numFmtId="0" fontId="15" fillId="12" borderId="0" xfId="0" applyFont="1" applyFill="1"/>
    <xf numFmtId="2" fontId="15" fillId="13" borderId="0" xfId="0" applyNumberFormat="1" applyFont="1" applyFill="1"/>
    <xf numFmtId="0" fontId="15" fillId="13" borderId="0" xfId="0" applyFont="1" applyFill="1"/>
    <xf numFmtId="0" fontId="15" fillId="6" borderId="0" xfId="0" applyFont="1" applyFill="1"/>
    <xf numFmtId="2" fontId="15" fillId="11" borderId="0" xfId="0" applyNumberFormat="1" applyFont="1" applyFill="1"/>
    <xf numFmtId="0" fontId="15" fillId="11" borderId="0" xfId="0" applyFont="1" applyFill="1"/>
    <xf numFmtId="0" fontId="15" fillId="14" borderId="0" xfId="0" applyFont="1" applyFill="1"/>
    <xf numFmtId="0" fontId="15" fillId="14" borderId="0" xfId="0" applyFont="1" applyFill="1" applyAlignment="1">
      <alignment horizontal="center"/>
    </xf>
    <xf numFmtId="0" fontId="15" fillId="9" borderId="0" xfId="0" applyFont="1" applyFill="1"/>
    <xf numFmtId="0" fontId="15" fillId="2" borderId="0" xfId="0" applyFont="1" applyFill="1"/>
    <xf numFmtId="49" fontId="15" fillId="2" borderId="1" xfId="0" applyNumberFormat="1" applyFont="1" applyFill="1" applyBorder="1" applyAlignment="1" applyProtection="1">
      <alignment horizontal="left" vertical="top" wrapText="1"/>
      <protection locked="0" hidden="1"/>
    </xf>
    <xf numFmtId="0" fontId="20" fillId="5" borderId="77" xfId="13" applyFill="1" applyBorder="1" applyAlignment="1" applyProtection="1">
      <alignment horizontal="left" vertical="top" wrapText="1"/>
      <protection hidden="1"/>
    </xf>
    <xf numFmtId="0" fontId="37" fillId="5" borderId="78" xfId="13" applyFont="1" applyFill="1" applyBorder="1" applyAlignment="1" applyProtection="1">
      <alignment horizontal="left" vertical="top" wrapText="1"/>
      <protection hidden="1"/>
    </xf>
    <xf numFmtId="0" fontId="4" fillId="5" borderId="78" xfId="0" applyFont="1" applyFill="1" applyBorder="1" applyAlignment="1">
      <alignment vertical="center"/>
    </xf>
    <xf numFmtId="0" fontId="38" fillId="5" borderId="78" xfId="13" applyFont="1" applyFill="1" applyBorder="1" applyAlignment="1" applyProtection="1">
      <alignment horizontal="left" vertical="top" wrapText="1"/>
      <protection hidden="1"/>
    </xf>
    <xf numFmtId="0" fontId="4" fillId="5" borderId="78" xfId="13" applyFont="1" applyFill="1" applyBorder="1" applyAlignment="1" applyProtection="1">
      <alignment horizontal="left" vertical="top" wrapText="1"/>
      <protection hidden="1"/>
    </xf>
    <xf numFmtId="0" fontId="20" fillId="15" borderId="79" xfId="13" applyFill="1" applyBorder="1" applyAlignment="1" applyProtection="1">
      <alignment horizontal="left" vertical="top" wrapText="1"/>
      <protection hidden="1"/>
    </xf>
    <xf numFmtId="0" fontId="20" fillId="5" borderId="83" xfId="0" applyFont="1" applyFill="1" applyBorder="1"/>
    <xf numFmtId="0" fontId="20" fillId="5" borderId="0" xfId="0" applyFont="1" applyFill="1"/>
    <xf numFmtId="0" fontId="20" fillId="5" borderId="84" xfId="0" applyFont="1" applyFill="1" applyBorder="1"/>
    <xf numFmtId="0" fontId="21" fillId="5" borderId="83" xfId="0" applyFont="1" applyFill="1" applyBorder="1" applyAlignment="1">
      <alignment vertical="top"/>
    </xf>
    <xf numFmtId="0" fontId="22" fillId="5" borderId="83" xfId="0" applyFont="1" applyFill="1" applyBorder="1" applyAlignment="1">
      <alignment horizontal="left" vertical="top"/>
    </xf>
    <xf numFmtId="0" fontId="20" fillId="5" borderId="84" xfId="0" applyFont="1" applyFill="1" applyBorder="1" applyAlignment="1">
      <alignment horizontal="left" vertical="top" wrapText="1"/>
    </xf>
    <xf numFmtId="0" fontId="39" fillId="5" borderId="0" xfId="0" applyFont="1" applyFill="1" applyAlignment="1">
      <alignment horizontal="left" vertical="top"/>
    </xf>
    <xf numFmtId="0" fontId="36" fillId="5" borderId="84" xfId="0" applyFont="1" applyFill="1" applyBorder="1"/>
    <xf numFmtId="0" fontId="40" fillId="5" borderId="0" xfId="0" applyFont="1" applyFill="1" applyAlignment="1">
      <alignment vertical="top"/>
    </xf>
    <xf numFmtId="0" fontId="36" fillId="5" borderId="0" xfId="0" applyFont="1" applyFill="1"/>
    <xf numFmtId="0" fontId="36" fillId="5" borderId="0" xfId="0" applyFont="1" applyFill="1" applyAlignment="1">
      <alignment horizontal="left" vertical="top" wrapText="1"/>
    </xf>
    <xf numFmtId="0" fontId="4" fillId="5" borderId="0" xfId="0" applyFont="1" applyFill="1" applyAlignment="1">
      <alignment horizontal="left" vertical="top" wrapText="1"/>
    </xf>
    <xf numFmtId="0" fontId="4" fillId="5" borderId="84" xfId="0" applyFont="1" applyFill="1" applyBorder="1" applyAlignment="1">
      <alignment horizontal="left" vertical="top" wrapText="1"/>
    </xf>
    <xf numFmtId="0" fontId="4" fillId="5" borderId="0" xfId="0" applyFont="1" applyFill="1"/>
    <xf numFmtId="0" fontId="4" fillId="5" borderId="84" xfId="0" applyFont="1" applyFill="1" applyBorder="1"/>
    <xf numFmtId="0" fontId="38" fillId="5" borderId="0" xfId="0" applyFont="1" applyFill="1" applyAlignment="1">
      <alignment horizontal="left" vertical="top"/>
    </xf>
    <xf numFmtId="165" fontId="34" fillId="5" borderId="1" xfId="1" applyNumberFormat="1" applyFont="1" applyFill="1" applyBorder="1" applyAlignment="1" applyProtection="1">
      <alignment horizontal="left" vertical="center"/>
      <protection hidden="1"/>
    </xf>
    <xf numFmtId="165" fontId="4" fillId="5" borderId="1" xfId="1" applyNumberFormat="1" applyFont="1" applyFill="1" applyBorder="1" applyAlignment="1" applyProtection="1">
      <alignment vertical="center"/>
      <protection hidden="1"/>
    </xf>
    <xf numFmtId="49" fontId="4" fillId="0" borderId="49" xfId="0" applyNumberFormat="1" applyFont="1" applyBorder="1" applyAlignment="1" applyProtection="1">
      <alignment horizontal="left" vertical="center" wrapText="1"/>
      <protection locked="0"/>
    </xf>
    <xf numFmtId="14" fontId="4" fillId="0" borderId="74" xfId="0" applyNumberFormat="1"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2" fontId="4" fillId="0" borderId="36" xfId="0" applyNumberFormat="1" applyFont="1" applyBorder="1" applyAlignment="1" applyProtection="1">
      <alignment horizontal="center" vertical="center" wrapText="1"/>
      <protection locked="0"/>
    </xf>
    <xf numFmtId="2" fontId="4" fillId="0" borderId="58" xfId="0" applyNumberFormat="1" applyFont="1" applyBorder="1" applyAlignment="1" applyProtection="1">
      <alignment horizontal="center" vertical="center" wrapText="1"/>
      <protection locked="0"/>
    </xf>
    <xf numFmtId="165" fontId="4" fillId="0" borderId="36" xfId="1" applyNumberFormat="1" applyFont="1" applyBorder="1" applyAlignment="1" applyProtection="1">
      <alignment horizontal="center" vertical="center" wrapText="1"/>
      <protection locked="0"/>
    </xf>
    <xf numFmtId="165" fontId="4" fillId="0" borderId="9" xfId="1" applyNumberFormat="1" applyFont="1" applyBorder="1" applyAlignment="1" applyProtection="1">
      <alignment horizontal="center" vertical="center" wrapText="1"/>
      <protection locked="0"/>
    </xf>
    <xf numFmtId="171" fontId="4" fillId="0" borderId="70" xfId="1" applyNumberFormat="1" applyFont="1" applyBorder="1" applyAlignment="1" applyProtection="1">
      <alignment horizontal="center" vertical="center" wrapText="1"/>
      <protection locked="0"/>
    </xf>
    <xf numFmtId="14" fontId="4" fillId="0" borderId="76" xfId="0" applyNumberFormat="1" applyFont="1" applyBorder="1" applyAlignment="1" applyProtection="1">
      <alignment horizontal="center" vertical="center" wrapText="1"/>
      <protection locked="0"/>
    </xf>
    <xf numFmtId="14" fontId="4" fillId="0" borderId="75" xfId="0" applyNumberFormat="1" applyFont="1" applyBorder="1" applyAlignment="1" applyProtection="1">
      <alignment horizontal="center" vertical="center" wrapText="1"/>
      <protection locked="0"/>
    </xf>
    <xf numFmtId="14" fontId="4" fillId="0" borderId="36" xfId="0" applyNumberFormat="1" applyFont="1" applyBorder="1" applyAlignment="1" applyProtection="1">
      <alignment horizontal="center" vertical="center" wrapText="1"/>
      <protection locked="0"/>
    </xf>
    <xf numFmtId="0" fontId="4" fillId="5" borderId="0" xfId="0" applyFont="1" applyFill="1" applyAlignment="1">
      <alignment horizontal="center"/>
    </xf>
    <xf numFmtId="166" fontId="4" fillId="5" borderId="0" xfId="0" applyNumberFormat="1" applyFont="1" applyFill="1" applyAlignment="1">
      <alignment horizontal="center"/>
    </xf>
    <xf numFmtId="0" fontId="4" fillId="5" borderId="0" xfId="0" applyFont="1" applyFill="1" applyAlignment="1">
      <alignment horizontal="left" wrapText="1"/>
    </xf>
    <xf numFmtId="1" fontId="4" fillId="5" borderId="0" xfId="0" applyNumberFormat="1" applyFont="1" applyFill="1" applyAlignment="1">
      <alignment horizontal="center"/>
    </xf>
    <xf numFmtId="0" fontId="4" fillId="5" borderId="0" xfId="0" applyFont="1" applyFill="1" applyAlignment="1">
      <alignment horizontal="left"/>
    </xf>
    <xf numFmtId="5" fontId="4" fillId="5" borderId="0" xfId="1" applyNumberFormat="1" applyFont="1" applyFill="1"/>
    <xf numFmtId="164" fontId="4" fillId="5" borderId="0" xfId="0" applyNumberFormat="1" applyFont="1" applyFill="1"/>
    <xf numFmtId="165" fontId="32" fillId="15" borderId="18" xfId="1" applyNumberFormat="1" applyFont="1" applyFill="1" applyBorder="1" applyAlignment="1" applyProtection="1">
      <alignment vertical="center" wrapText="1"/>
      <protection hidden="1"/>
    </xf>
    <xf numFmtId="165" fontId="34" fillId="15" borderId="30" xfId="1" applyNumberFormat="1" applyFont="1" applyFill="1" applyBorder="1" applyAlignment="1" applyProtection="1">
      <alignment vertical="center"/>
      <protection hidden="1"/>
    </xf>
    <xf numFmtId="0" fontId="32" fillId="15" borderId="12" xfId="0" applyFont="1" applyFill="1" applyBorder="1" applyAlignment="1">
      <alignment horizontal="center" vertical="center" wrapText="1"/>
    </xf>
    <xf numFmtId="0" fontId="32" fillId="15" borderId="35" xfId="0" applyFont="1" applyFill="1" applyBorder="1" applyAlignment="1">
      <alignment vertical="center" wrapText="1"/>
    </xf>
    <xf numFmtId="0" fontId="32" fillId="15" borderId="35" xfId="0" applyFont="1" applyFill="1" applyBorder="1" applyAlignment="1">
      <alignment horizontal="center" vertical="center" wrapText="1"/>
    </xf>
    <xf numFmtId="0" fontId="32" fillId="15" borderId="56" xfId="0" applyFont="1" applyFill="1" applyBorder="1" applyAlignment="1">
      <alignment horizontal="center" vertical="center" wrapText="1"/>
    </xf>
    <xf numFmtId="0" fontId="32" fillId="15" borderId="13" xfId="0" applyFont="1" applyFill="1" applyBorder="1" applyAlignment="1">
      <alignment horizontal="center" vertical="center" wrapText="1"/>
    </xf>
    <xf numFmtId="0" fontId="32" fillId="15" borderId="6" xfId="0" applyFont="1" applyFill="1" applyBorder="1" applyAlignment="1">
      <alignment horizontal="center" vertical="center" wrapText="1"/>
    </xf>
    <xf numFmtId="165" fontId="32" fillId="15" borderId="12" xfId="1" applyNumberFormat="1" applyFont="1" applyFill="1" applyBorder="1" applyAlignment="1">
      <alignment horizontal="center" vertical="center" wrapText="1"/>
    </xf>
    <xf numFmtId="0" fontId="32" fillId="15" borderId="12" xfId="0" applyFont="1" applyFill="1" applyBorder="1" applyAlignment="1">
      <alignment horizontal="center" vertical="center"/>
    </xf>
    <xf numFmtId="0" fontId="32" fillId="15" borderId="17" xfId="0" applyFont="1" applyFill="1" applyBorder="1" applyAlignment="1">
      <alignment horizontal="center" vertical="center" wrapText="1"/>
    </xf>
    <xf numFmtId="9" fontId="4" fillId="16" borderId="59" xfId="5" applyFont="1" applyFill="1" applyBorder="1" applyAlignment="1" applyProtection="1">
      <alignment horizontal="center" vertical="center" wrapText="1"/>
      <protection hidden="1"/>
    </xf>
    <xf numFmtId="170" fontId="4" fillId="16" borderId="71" xfId="1" applyNumberFormat="1" applyFont="1" applyFill="1" applyBorder="1" applyAlignment="1" applyProtection="1">
      <alignment horizontal="center" vertical="center" wrapText="1"/>
      <protection hidden="1"/>
    </xf>
    <xf numFmtId="9" fontId="4" fillId="16" borderId="73" xfId="5" applyFont="1" applyFill="1" applyBorder="1" applyAlignment="1" applyProtection="1">
      <alignment horizontal="center" vertical="center" wrapText="1"/>
      <protection hidden="1"/>
    </xf>
    <xf numFmtId="170" fontId="4" fillId="16" borderId="49" xfId="1" applyNumberFormat="1" applyFont="1" applyFill="1" applyBorder="1" applyAlignment="1" applyProtection="1">
      <alignment horizontal="center" vertical="center" wrapText="1"/>
      <protection hidden="1"/>
    </xf>
    <xf numFmtId="9" fontId="4" fillId="16" borderId="46" xfId="5" applyFont="1" applyFill="1" applyBorder="1" applyAlignment="1" applyProtection="1">
      <alignment horizontal="center" vertical="center" wrapText="1"/>
      <protection hidden="1"/>
    </xf>
    <xf numFmtId="170" fontId="4" fillId="16" borderId="15" xfId="1" applyNumberFormat="1" applyFont="1" applyFill="1" applyBorder="1" applyAlignment="1" applyProtection="1">
      <alignment horizontal="center" vertical="center" wrapText="1"/>
      <protection hidden="1"/>
    </xf>
    <xf numFmtId="170" fontId="4" fillId="16" borderId="72" xfId="1" applyNumberFormat="1" applyFont="1" applyFill="1" applyBorder="1" applyAlignment="1" applyProtection="1">
      <alignment horizontal="center" vertical="center" wrapText="1"/>
      <protection hidden="1"/>
    </xf>
    <xf numFmtId="164" fontId="4" fillId="16" borderId="39" xfId="1" applyNumberFormat="1" applyFont="1" applyFill="1" applyBorder="1" applyAlignment="1" applyProtection="1">
      <alignment horizontal="center" vertical="center" wrapText="1"/>
      <protection hidden="1"/>
    </xf>
    <xf numFmtId="43" fontId="4" fillId="16" borderId="2" xfId="1" applyFont="1" applyFill="1" applyBorder="1" applyAlignment="1" applyProtection="1">
      <alignment horizontal="right" vertical="center" wrapText="1" indent="1"/>
      <protection hidden="1"/>
    </xf>
    <xf numFmtId="167" fontId="4" fillId="16" borderId="43" xfId="1" applyNumberFormat="1" applyFont="1" applyFill="1" applyBorder="1" applyAlignment="1" applyProtection="1">
      <alignment horizontal="right" vertical="center" wrapText="1" indent="1"/>
      <protection hidden="1"/>
    </xf>
    <xf numFmtId="43" fontId="4" fillId="16" borderId="40" xfId="1" applyFont="1" applyFill="1" applyBorder="1" applyAlignment="1" applyProtection="1">
      <alignment horizontal="right" vertical="center" wrapText="1" indent="1"/>
      <protection hidden="1"/>
    </xf>
    <xf numFmtId="43" fontId="4" fillId="16" borderId="3" xfId="1" applyFont="1" applyFill="1" applyBorder="1" applyAlignment="1" applyProtection="1">
      <alignment horizontal="right" vertical="center" wrapText="1" indent="1"/>
      <protection hidden="1"/>
    </xf>
    <xf numFmtId="164" fontId="4" fillId="16" borderId="41" xfId="1" applyNumberFormat="1" applyFont="1" applyFill="1" applyBorder="1" applyAlignment="1" applyProtection="1">
      <alignment horizontal="center" vertical="center" wrapText="1"/>
      <protection hidden="1"/>
    </xf>
    <xf numFmtId="43" fontId="4" fillId="16" borderId="44" xfId="1" applyFont="1" applyFill="1" applyBorder="1" applyAlignment="1" applyProtection="1">
      <alignment horizontal="right" vertical="center" wrapText="1" indent="1"/>
      <protection hidden="1"/>
    </xf>
    <xf numFmtId="43" fontId="4" fillId="16" borderId="42" xfId="1" applyFont="1" applyFill="1" applyBorder="1" applyAlignment="1" applyProtection="1">
      <alignment horizontal="right" vertical="center" wrapText="1" indent="1"/>
      <protection hidden="1"/>
    </xf>
    <xf numFmtId="43" fontId="4" fillId="16" borderId="45" xfId="1" applyFont="1" applyFill="1" applyBorder="1" applyAlignment="1" applyProtection="1">
      <alignment horizontal="right" vertical="center" wrapText="1" indent="1"/>
      <protection hidden="1"/>
    </xf>
    <xf numFmtId="164" fontId="4" fillId="5" borderId="0" xfId="1" applyNumberFormat="1" applyFont="1" applyFill="1" applyBorder="1" applyAlignment="1" applyProtection="1">
      <alignment horizontal="center" vertical="center" wrapText="1"/>
      <protection hidden="1"/>
    </xf>
    <xf numFmtId="43" fontId="4" fillId="5" borderId="0" xfId="1" applyFont="1" applyFill="1" applyBorder="1" applyAlignment="1" applyProtection="1">
      <alignment horizontal="right" vertical="center" wrapText="1" indent="2"/>
      <protection hidden="1"/>
    </xf>
    <xf numFmtId="167" fontId="4" fillId="5" borderId="0" xfId="1" applyNumberFormat="1" applyFont="1" applyFill="1" applyBorder="1" applyAlignment="1" applyProtection="1">
      <alignment horizontal="right" vertical="center" wrapText="1" indent="1"/>
      <protection hidden="1"/>
    </xf>
    <xf numFmtId="43" fontId="4" fillId="5" borderId="0" xfId="1" applyFont="1" applyFill="1" applyBorder="1" applyAlignment="1" applyProtection="1">
      <alignment horizontal="right" vertical="center" wrapText="1" indent="1"/>
      <protection hidden="1"/>
    </xf>
    <xf numFmtId="43" fontId="4" fillId="5" borderId="0" xfId="1" applyFont="1" applyFill="1" applyBorder="1" applyAlignment="1" applyProtection="1">
      <alignment horizontal="left" vertical="center" wrapText="1"/>
      <protection hidden="1"/>
    </xf>
    <xf numFmtId="0" fontId="34" fillId="5" borderId="0" xfId="0" applyFont="1" applyFill="1" applyAlignment="1" applyProtection="1">
      <alignment horizontal="center" vertical="center" wrapText="1"/>
      <protection hidden="1"/>
    </xf>
    <xf numFmtId="0" fontId="4" fillId="5" borderId="83" xfId="0" applyFont="1" applyFill="1" applyBorder="1" applyAlignment="1">
      <alignment horizontal="center" vertical="center"/>
    </xf>
    <xf numFmtId="0" fontId="4" fillId="0" borderId="83"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3" xfId="0" applyFont="1" applyBorder="1" applyAlignment="1">
      <alignment vertical="center"/>
    </xf>
    <xf numFmtId="166" fontId="32" fillId="15" borderId="6" xfId="0" applyNumberFormat="1" applyFont="1" applyFill="1" applyBorder="1" applyAlignment="1">
      <alignment horizontal="center" vertical="center" wrapText="1"/>
    </xf>
    <xf numFmtId="172" fontId="37" fillId="0" borderId="1" xfId="8" applyNumberFormat="1" applyFont="1" applyBorder="1" applyAlignment="1" applyProtection="1">
      <alignment horizontal="left" vertical="center"/>
      <protection locked="0"/>
    </xf>
    <xf numFmtId="49" fontId="38" fillId="0" borderId="20" xfId="8" applyNumberFormat="1" applyFont="1" applyBorder="1" applyAlignment="1" applyProtection="1">
      <alignment horizontal="center" vertical="center" wrapText="1"/>
      <protection locked="0"/>
    </xf>
    <xf numFmtId="14" fontId="36" fillId="0" borderId="65" xfId="10" applyNumberFormat="1" applyFont="1" applyBorder="1" applyAlignment="1" applyProtection="1">
      <alignment horizontal="center" vertical="center"/>
      <protection locked="0"/>
    </xf>
    <xf numFmtId="1" fontId="36" fillId="0" borderId="26" xfId="10" applyNumberFormat="1" applyFont="1" applyBorder="1" applyAlignment="1" applyProtection="1">
      <alignment horizontal="center" vertical="center"/>
      <protection locked="0"/>
    </xf>
    <xf numFmtId="14" fontId="36" fillId="0" borderId="30" xfId="10" applyNumberFormat="1" applyFont="1" applyBorder="1" applyAlignment="1" applyProtection="1">
      <alignment horizontal="center" vertical="center"/>
      <protection locked="0"/>
    </xf>
    <xf numFmtId="166" fontId="4" fillId="0" borderId="0" xfId="8" applyNumberFormat="1" applyFont="1" applyAlignment="1" applyProtection="1">
      <alignment horizontal="center"/>
      <protection hidden="1"/>
    </xf>
    <xf numFmtId="0" fontId="38" fillId="0" borderId="0" xfId="0" applyFont="1" applyAlignment="1" applyProtection="1">
      <alignment vertical="center" wrapText="1"/>
      <protection hidden="1"/>
    </xf>
    <xf numFmtId="0" fontId="38" fillId="0" borderId="62" xfId="0" applyFont="1" applyBorder="1" applyAlignment="1" applyProtection="1">
      <alignment horizontal="right" vertical="center" wrapText="1"/>
      <protection hidden="1"/>
    </xf>
    <xf numFmtId="0" fontId="38" fillId="0" borderId="0" xfId="0" applyFont="1" applyAlignment="1" applyProtection="1">
      <alignment horizontal="right" vertical="center" wrapText="1"/>
      <protection hidden="1"/>
    </xf>
    <xf numFmtId="171" fontId="4" fillId="0" borderId="0" xfId="0" applyNumberFormat="1" applyFont="1" applyAlignment="1" applyProtection="1">
      <alignment horizontal="right" vertical="center" wrapText="1"/>
      <protection hidden="1"/>
    </xf>
    <xf numFmtId="171" fontId="4" fillId="0" borderId="0" xfId="0" applyNumberFormat="1" applyFont="1" applyAlignment="1" applyProtection="1">
      <alignment horizontal="left" vertical="center" wrapText="1"/>
      <protection hidden="1"/>
    </xf>
    <xf numFmtId="0" fontId="32" fillId="17" borderId="66" xfId="10" applyFont="1" applyFill="1" applyBorder="1" applyAlignment="1" applyProtection="1">
      <alignment horizontal="center" vertical="center" wrapText="1"/>
      <protection hidden="1"/>
    </xf>
    <xf numFmtId="0" fontId="32" fillId="17" borderId="67" xfId="10" applyFont="1" applyFill="1" applyBorder="1" applyAlignment="1" applyProtection="1">
      <alignment horizontal="center" vertical="center" wrapText="1"/>
      <protection hidden="1"/>
    </xf>
    <xf numFmtId="0" fontId="32" fillId="17" borderId="68" xfId="10" applyFont="1" applyFill="1" applyBorder="1" applyAlignment="1" applyProtection="1">
      <alignment horizontal="center" vertical="center" wrapText="1"/>
      <protection hidden="1"/>
    </xf>
    <xf numFmtId="0" fontId="4" fillId="8" borderId="26" xfId="10" applyFont="1" applyFill="1" applyBorder="1" applyAlignment="1" applyProtection="1">
      <alignment vertical="center"/>
      <protection hidden="1"/>
    </xf>
    <xf numFmtId="0" fontId="4" fillId="8" borderId="21" xfId="10" applyFont="1" applyFill="1" applyBorder="1" applyAlignment="1" applyProtection="1">
      <alignment vertical="center"/>
      <protection hidden="1"/>
    </xf>
    <xf numFmtId="0" fontId="36" fillId="17" borderId="21" xfId="10" applyFont="1" applyFill="1" applyBorder="1" applyAlignment="1" applyProtection="1">
      <alignment vertical="center"/>
      <protection hidden="1"/>
    </xf>
    <xf numFmtId="14" fontId="36" fillId="17" borderId="65" xfId="10" applyNumberFormat="1" applyFont="1" applyFill="1" applyBorder="1" applyAlignment="1" applyProtection="1">
      <alignment horizontal="center" vertical="center"/>
      <protection locked="0"/>
    </xf>
    <xf numFmtId="1" fontId="36" fillId="17" borderId="26" xfId="10" applyNumberFormat="1" applyFont="1" applyFill="1" applyBorder="1" applyAlignment="1" applyProtection="1">
      <alignment horizontal="center" vertical="center"/>
      <protection locked="0"/>
    </xf>
    <xf numFmtId="0" fontId="4" fillId="8" borderId="91" xfId="10" applyFont="1" applyFill="1" applyBorder="1" applyAlignment="1" applyProtection="1">
      <alignment vertical="center"/>
      <protection hidden="1"/>
    </xf>
    <xf numFmtId="0" fontId="36" fillId="0" borderId="0" xfId="8" applyFont="1" applyAlignment="1" applyProtection="1">
      <alignment vertical="center"/>
      <protection hidden="1"/>
    </xf>
    <xf numFmtId="1" fontId="60" fillId="0" borderId="0" xfId="8" applyNumberFormat="1" applyFont="1" applyAlignment="1" applyProtection="1">
      <alignment vertical="center"/>
      <protection hidden="1"/>
    </xf>
    <xf numFmtId="14" fontId="36" fillId="0" borderId="63" xfId="10" applyNumberFormat="1" applyFont="1" applyBorder="1" applyAlignment="1" applyProtection="1">
      <alignment horizontal="center" vertical="center"/>
      <protection locked="0"/>
    </xf>
    <xf numFmtId="1" fontId="36" fillId="0" borderId="92" xfId="10" applyNumberFormat="1" applyFont="1" applyBorder="1" applyAlignment="1" applyProtection="1">
      <alignment horizontal="center" vertical="center"/>
      <protection locked="0"/>
    </xf>
    <xf numFmtId="14" fontId="36" fillId="0" borderId="88" xfId="10" applyNumberFormat="1" applyFont="1" applyBorder="1" applyAlignment="1" applyProtection="1">
      <alignment horizontal="center" vertical="center"/>
      <protection locked="0"/>
    </xf>
    <xf numFmtId="166" fontId="4" fillId="0" borderId="80" xfId="8" applyNumberFormat="1" applyFont="1" applyBorder="1" applyAlignment="1" applyProtection="1">
      <alignment horizontal="center"/>
      <protection hidden="1"/>
    </xf>
    <xf numFmtId="166" fontId="4" fillId="0" borderId="81" xfId="8" applyNumberFormat="1" applyFont="1" applyBorder="1" applyAlignment="1" applyProtection="1">
      <alignment horizontal="center"/>
      <protection hidden="1"/>
    </xf>
    <xf numFmtId="166" fontId="4" fillId="0" borderId="82" xfId="8" applyNumberFormat="1" applyFont="1" applyBorder="1" applyAlignment="1" applyProtection="1">
      <alignment horizontal="center"/>
      <protection hidden="1"/>
    </xf>
    <xf numFmtId="166" fontId="37" fillId="0" borderId="83" xfId="8" applyNumberFormat="1" applyFont="1" applyBorder="1" applyAlignment="1" applyProtection="1">
      <alignment horizontal="left"/>
      <protection hidden="1"/>
    </xf>
    <xf numFmtId="166" fontId="4" fillId="0" borderId="84" xfId="8" applyNumberFormat="1" applyFont="1" applyBorder="1" applyAlignment="1" applyProtection="1">
      <alignment horizontal="center"/>
      <protection hidden="1"/>
    </xf>
    <xf numFmtId="0" fontId="36" fillId="0" borderId="83" xfId="8" applyFont="1" applyBorder="1" applyAlignment="1" applyProtection="1">
      <alignment horizontal="left" vertical="center"/>
      <protection hidden="1"/>
    </xf>
    <xf numFmtId="0" fontId="36" fillId="0" borderId="84" xfId="8" applyFont="1" applyBorder="1" applyAlignment="1" applyProtection="1">
      <alignment vertical="center"/>
      <protection hidden="1"/>
    </xf>
    <xf numFmtId="0" fontId="38" fillId="0" borderId="83" xfId="8" applyFont="1" applyBorder="1" applyAlignment="1" applyProtection="1">
      <alignment vertical="center"/>
      <protection hidden="1"/>
    </xf>
    <xf numFmtId="0" fontId="55" fillId="0" borderId="0" xfId="8" applyFont="1" applyAlignment="1" applyProtection="1">
      <alignment horizontal="left" vertical="center" wrapText="1"/>
      <protection hidden="1"/>
    </xf>
    <xf numFmtId="0" fontId="55" fillId="0" borderId="84" xfId="8" applyFont="1" applyBorder="1" applyAlignment="1" applyProtection="1">
      <alignment horizontal="left" vertical="center" wrapText="1"/>
      <protection hidden="1"/>
    </xf>
    <xf numFmtId="0" fontId="34" fillId="0" borderId="83" xfId="8" applyFont="1" applyBorder="1" applyAlignment="1" applyProtection="1">
      <alignment vertical="center"/>
      <protection hidden="1"/>
    </xf>
    <xf numFmtId="0" fontId="4" fillId="0" borderId="83" xfId="8" applyFont="1" applyBorder="1" applyAlignment="1" applyProtection="1">
      <alignment vertical="center"/>
      <protection hidden="1"/>
    </xf>
    <xf numFmtId="0" fontId="56" fillId="0" borderId="0" xfId="8" applyFont="1" applyAlignment="1" applyProtection="1">
      <alignment horizontal="right"/>
      <protection hidden="1"/>
    </xf>
    <xf numFmtId="171" fontId="36" fillId="0" borderId="94" xfId="0" applyNumberFormat="1" applyFont="1" applyBorder="1" applyAlignment="1" applyProtection="1">
      <alignment horizontal="right" vertical="center" wrapText="1"/>
      <protection locked="0"/>
    </xf>
    <xf numFmtId="171" fontId="38" fillId="0" borderId="95" xfId="0" applyNumberFormat="1" applyFont="1" applyBorder="1" applyAlignment="1" applyProtection="1">
      <alignment horizontal="right" vertical="center" wrapText="1"/>
      <protection hidden="1"/>
    </xf>
    <xf numFmtId="171" fontId="38" fillId="0" borderId="84" xfId="0" applyNumberFormat="1" applyFont="1" applyBorder="1" applyAlignment="1" applyProtection="1">
      <alignment horizontal="right" vertical="center" wrapText="1"/>
      <protection hidden="1"/>
    </xf>
    <xf numFmtId="0" fontId="36" fillId="0" borderId="0" xfId="8" applyFont="1" applyAlignment="1" applyProtection="1">
      <alignment horizontal="right" vertical="center"/>
      <protection hidden="1"/>
    </xf>
    <xf numFmtId="49" fontId="42" fillId="0" borderId="0" xfId="8" applyNumberFormat="1" applyFont="1" applyAlignment="1" applyProtection="1">
      <alignment horizontal="left" vertical="center" wrapText="1"/>
      <protection hidden="1"/>
    </xf>
    <xf numFmtId="171" fontId="4" fillId="16" borderId="94" xfId="0" applyNumberFormat="1" applyFont="1" applyFill="1" applyBorder="1" applyAlignment="1">
      <alignment horizontal="right" vertical="center" wrapText="1"/>
    </xf>
    <xf numFmtId="0" fontId="4" fillId="0" borderId="0" xfId="8" applyFont="1" applyAlignment="1" applyProtection="1">
      <alignment horizontal="right" vertical="center"/>
      <protection hidden="1"/>
    </xf>
    <xf numFmtId="0" fontId="58" fillId="0" borderId="0" xfId="8" applyFont="1" applyAlignment="1" applyProtection="1">
      <alignment horizontal="left" vertical="center" wrapText="1"/>
      <protection hidden="1"/>
    </xf>
    <xf numFmtId="166" fontId="4" fillId="0" borderId="83" xfId="8" applyNumberFormat="1" applyFont="1" applyBorder="1" applyAlignment="1" applyProtection="1">
      <alignment horizontal="center"/>
      <protection hidden="1"/>
    </xf>
    <xf numFmtId="0" fontId="4" fillId="0" borderId="0" xfId="8" applyFont="1" applyAlignment="1" applyProtection="1">
      <alignment vertical="center"/>
      <protection hidden="1"/>
    </xf>
    <xf numFmtId="0" fontId="4" fillId="0" borderId="0" xfId="8" applyFont="1" applyAlignment="1" applyProtection="1">
      <alignment horizontal="center" vertical="center"/>
      <protection hidden="1"/>
    </xf>
    <xf numFmtId="0" fontId="41" fillId="0" borderId="0" xfId="2" applyFont="1" applyBorder="1" applyAlignment="1" applyProtection="1">
      <alignment vertical="center"/>
      <protection hidden="1"/>
    </xf>
    <xf numFmtId="15" fontId="61" fillId="15" borderId="53" xfId="0" applyNumberFormat="1" applyFont="1" applyFill="1" applyBorder="1" applyAlignment="1">
      <alignment horizontal="center"/>
    </xf>
    <xf numFmtId="0" fontId="61" fillId="15" borderId="54" xfId="0" applyFont="1" applyFill="1" applyBorder="1" applyAlignment="1">
      <alignment horizontal="center"/>
    </xf>
    <xf numFmtId="0" fontId="61" fillId="15" borderId="54" xfId="0" applyFont="1" applyFill="1" applyBorder="1" applyAlignment="1">
      <alignment horizontal="left"/>
    </xf>
    <xf numFmtId="0" fontId="61" fillId="15" borderId="55" xfId="0" applyFont="1" applyFill="1" applyBorder="1" applyAlignment="1">
      <alignment horizontal="left"/>
    </xf>
    <xf numFmtId="17" fontId="26" fillId="5" borderId="25" xfId="0" applyNumberFormat="1" applyFont="1" applyFill="1" applyBorder="1" applyAlignment="1">
      <alignment horizontal="center" vertical="top"/>
    </xf>
    <xf numFmtId="0" fontId="26" fillId="5" borderId="20" xfId="0" applyFont="1" applyFill="1" applyBorder="1" applyAlignment="1">
      <alignment horizontal="center" vertical="top"/>
    </xf>
    <xf numFmtId="0" fontId="26" fillId="5" borderId="20" xfId="0" applyFont="1" applyFill="1" applyBorder="1" applyAlignment="1">
      <alignment horizontal="left" vertical="top" wrapText="1"/>
    </xf>
    <xf numFmtId="0" fontId="26" fillId="5" borderId="26" xfId="0" applyFont="1" applyFill="1" applyBorder="1" applyAlignment="1">
      <alignment horizontal="left" vertical="top"/>
    </xf>
    <xf numFmtId="17" fontId="26" fillId="5" borderId="19" xfId="0" applyNumberFormat="1" applyFont="1" applyFill="1" applyBorder="1" applyAlignment="1">
      <alignment horizontal="center" vertical="top"/>
    </xf>
    <xf numFmtId="0" fontId="26" fillId="5" borderId="1" xfId="0" applyFont="1" applyFill="1" applyBorder="1" applyAlignment="1">
      <alignment horizontal="center" vertical="top"/>
    </xf>
    <xf numFmtId="0" fontId="26" fillId="5" borderId="1" xfId="0" applyFont="1" applyFill="1" applyBorder="1" applyAlignment="1">
      <alignment horizontal="left" vertical="top" wrapText="1"/>
    </xf>
    <xf numFmtId="0" fontId="26" fillId="5" borderId="21" xfId="0" applyFont="1" applyFill="1" applyBorder="1" applyAlignment="1">
      <alignment horizontal="left" vertical="top"/>
    </xf>
    <xf numFmtId="0" fontId="26" fillId="5" borderId="1" xfId="0" applyFont="1" applyFill="1" applyBorder="1" applyAlignment="1">
      <alignment horizontal="left" wrapText="1"/>
    </xf>
    <xf numFmtId="17" fontId="4" fillId="5" borderId="25" xfId="0" applyNumberFormat="1" applyFont="1" applyFill="1" applyBorder="1" applyAlignment="1">
      <alignment horizontal="center" vertical="top"/>
    </xf>
    <xf numFmtId="0" fontId="26" fillId="5" borderId="27" xfId="0" applyFont="1" applyFill="1" applyBorder="1" applyAlignment="1">
      <alignment horizontal="left" vertical="top" wrapText="1"/>
    </xf>
    <xf numFmtId="0" fontId="4" fillId="5" borderId="20" xfId="0" applyFont="1" applyFill="1" applyBorder="1" applyAlignment="1">
      <alignment horizontal="center" vertical="top"/>
    </xf>
    <xf numFmtId="0" fontId="4" fillId="5" borderId="20" xfId="0" applyFont="1" applyFill="1" applyBorder="1" applyAlignment="1">
      <alignment vertical="top" wrapText="1"/>
    </xf>
    <xf numFmtId="0" fontId="26" fillId="5" borderId="26" xfId="0" applyFont="1" applyFill="1" applyBorder="1" applyAlignment="1">
      <alignment vertical="top"/>
    </xf>
    <xf numFmtId="17" fontId="4" fillId="5" borderId="19" xfId="0" applyNumberFormat="1" applyFont="1" applyFill="1" applyBorder="1" applyAlignment="1">
      <alignment horizontal="center" vertical="top"/>
    </xf>
    <xf numFmtId="0" fontId="4" fillId="5" borderId="1" xfId="0" applyFont="1" applyFill="1" applyBorder="1" applyAlignment="1">
      <alignment horizontal="center" vertical="top"/>
    </xf>
    <xf numFmtId="0" fontId="4" fillId="5" borderId="1" xfId="0" applyFont="1" applyFill="1" applyBorder="1" applyAlignment="1">
      <alignment vertical="top" wrapText="1"/>
    </xf>
    <xf numFmtId="0" fontId="26" fillId="5" borderId="21" xfId="0" applyFont="1" applyFill="1" applyBorder="1" applyAlignment="1">
      <alignment vertical="top"/>
    </xf>
    <xf numFmtId="17" fontId="4" fillId="5" borderId="22" xfId="0" applyNumberFormat="1" applyFont="1" applyFill="1" applyBorder="1" applyAlignment="1">
      <alignment horizontal="center" vertical="top"/>
    </xf>
    <xf numFmtId="0" fontId="4" fillId="5" borderId="23" xfId="0" applyFont="1" applyFill="1" applyBorder="1" applyAlignment="1">
      <alignment horizontal="center" vertical="top"/>
    </xf>
    <xf numFmtId="0" fontId="4" fillId="5" borderId="23" xfId="0" applyFont="1" applyFill="1" applyBorder="1" applyAlignment="1">
      <alignment vertical="top" wrapText="1"/>
    </xf>
    <xf numFmtId="0" fontId="26" fillId="5" borderId="24" xfId="0" applyFont="1" applyFill="1" applyBorder="1" applyAlignment="1">
      <alignment vertical="top"/>
    </xf>
    <xf numFmtId="0" fontId="17" fillId="0" borderId="0" xfId="2" applyFont="1" applyFill="1" applyAlignment="1" applyProtection="1">
      <alignment vertical="center"/>
    </xf>
    <xf numFmtId="0" fontId="17" fillId="15" borderId="14" xfId="2" applyFont="1" applyFill="1" applyBorder="1" applyAlignment="1" applyProtection="1">
      <alignment vertical="center"/>
    </xf>
    <xf numFmtId="0" fontId="12" fillId="15" borderId="12" xfId="0" applyFont="1" applyFill="1" applyBorder="1" applyAlignment="1">
      <alignment vertical="center"/>
    </xf>
    <xf numFmtId="0" fontId="12" fillId="15" borderId="17" xfId="0" applyFont="1" applyFill="1" applyBorder="1" applyAlignment="1">
      <alignment vertical="center"/>
    </xf>
    <xf numFmtId="0" fontId="17" fillId="0" borderId="0" xfId="2" applyFont="1" applyFill="1" applyAlignment="1" applyProtection="1"/>
    <xf numFmtId="0" fontId="26" fillId="0" borderId="50" xfId="4" applyFont="1" applyBorder="1" applyAlignment="1">
      <alignment horizontal="left" vertical="center"/>
    </xf>
    <xf numFmtId="169" fontId="26" fillId="0" borderId="31" xfId="0" applyNumberFormat="1" applyFont="1" applyBorder="1" applyAlignment="1">
      <alignment horizontal="center" vertical="center"/>
    </xf>
    <xf numFmtId="0" fontId="26" fillId="0" borderId="52" xfId="4" applyFont="1" applyBorder="1" applyAlignment="1">
      <alignment horizontal="left" vertical="center"/>
    </xf>
    <xf numFmtId="169" fontId="26" fillId="0" borderId="28" xfId="0" applyNumberFormat="1" applyFont="1" applyBorder="1" applyAlignment="1">
      <alignment horizontal="center" vertical="center"/>
    </xf>
    <xf numFmtId="0" fontId="4" fillId="0" borderId="51" xfId="0" applyFont="1" applyBorder="1" applyAlignment="1">
      <alignment horizontal="left" vertical="center"/>
    </xf>
    <xf numFmtId="0" fontId="26" fillId="0" borderId="51" xfId="4" applyFont="1" applyBorder="1" applyAlignment="1">
      <alignment horizontal="left" vertical="center"/>
    </xf>
    <xf numFmtId="169" fontId="26" fillId="0" borderId="28" xfId="4" applyNumberFormat="1" applyFont="1" applyBorder="1" applyAlignment="1">
      <alignment horizontal="center" vertical="center"/>
    </xf>
    <xf numFmtId="0" fontId="4" fillId="0" borderId="51" xfId="0" applyFont="1" applyBorder="1" applyAlignment="1">
      <alignment vertical="center"/>
    </xf>
    <xf numFmtId="0" fontId="4" fillId="0" borderId="15" xfId="0" applyFont="1" applyBorder="1" applyAlignment="1">
      <alignment vertical="center"/>
    </xf>
    <xf numFmtId="0" fontId="26" fillId="0" borderId="51" xfId="0" applyFont="1" applyBorder="1" applyAlignment="1">
      <alignment vertical="center"/>
    </xf>
    <xf numFmtId="169" fontId="26" fillId="0" borderId="29" xfId="4" applyNumberFormat="1" applyFont="1" applyBorder="1" applyAlignment="1">
      <alignment horizontal="center" vertical="center"/>
    </xf>
    <xf numFmtId="14" fontId="26" fillId="5" borderId="48" xfId="6" applyNumberFormat="1" applyFont="1" applyFill="1" applyBorder="1" applyAlignment="1">
      <alignment horizontal="left" vertical="center"/>
    </xf>
    <xf numFmtId="0" fontId="26" fillId="5" borderId="48" xfId="6" applyFont="1" applyFill="1" applyBorder="1" applyAlignment="1">
      <alignment horizontal="left" vertical="center"/>
    </xf>
    <xf numFmtId="0" fontId="26" fillId="5" borderId="32" xfId="6" applyFont="1" applyFill="1" applyBorder="1" applyAlignment="1">
      <alignment horizontal="left" vertical="center" wrapText="1"/>
    </xf>
    <xf numFmtId="0" fontId="26" fillId="5" borderId="34" xfId="6" applyFont="1" applyFill="1" applyBorder="1" applyAlignment="1">
      <alignment horizontal="left" vertical="center"/>
    </xf>
    <xf numFmtId="0" fontId="26" fillId="5" borderId="47" xfId="6" applyFont="1" applyFill="1" applyBorder="1" applyAlignment="1">
      <alignment horizontal="left" vertical="center"/>
    </xf>
    <xf numFmtId="0" fontId="26" fillId="5" borderId="33" xfId="6" applyFont="1" applyFill="1" applyBorder="1" applyAlignment="1">
      <alignment horizontal="left" vertical="center" wrapText="1"/>
    </xf>
    <xf numFmtId="0" fontId="34" fillId="5" borderId="8" xfId="0" applyFont="1" applyFill="1" applyBorder="1" applyAlignment="1">
      <alignment vertical="top" wrapText="1"/>
    </xf>
    <xf numFmtId="0" fontId="13" fillId="15" borderId="101" xfId="0" applyFont="1" applyFill="1" applyBorder="1" applyAlignment="1">
      <alignment vertical="top" wrapText="1"/>
    </xf>
    <xf numFmtId="0" fontId="13" fillId="15" borderId="102" xfId="0" applyFont="1" applyFill="1" applyBorder="1" applyAlignment="1">
      <alignment vertical="top" wrapText="1"/>
    </xf>
    <xf numFmtId="0" fontId="13" fillId="15" borderId="103" xfId="0" applyFont="1" applyFill="1" applyBorder="1" applyAlignment="1">
      <alignment vertical="top" wrapText="1"/>
    </xf>
    <xf numFmtId="166" fontId="15" fillId="15" borderId="101" xfId="8" applyNumberFormat="1" applyFont="1" applyFill="1" applyBorder="1" applyAlignment="1" applyProtection="1">
      <alignment horizontal="center"/>
      <protection hidden="1"/>
    </xf>
    <xf numFmtId="166" fontId="15" fillId="15" borderId="102" xfId="8" applyNumberFormat="1" applyFont="1" applyFill="1" applyBorder="1" applyAlignment="1" applyProtection="1">
      <alignment horizontal="center"/>
      <protection hidden="1"/>
    </xf>
    <xf numFmtId="166" fontId="15" fillId="15" borderId="103" xfId="8" applyNumberFormat="1" applyFont="1" applyFill="1" applyBorder="1" applyAlignment="1" applyProtection="1">
      <alignment horizontal="center"/>
      <protection hidden="1"/>
    </xf>
    <xf numFmtId="164" fontId="64" fillId="15" borderId="14" xfId="1" applyNumberFormat="1" applyFont="1" applyFill="1" applyBorder="1" applyAlignment="1" applyProtection="1">
      <alignment horizontal="center" vertical="center" wrapText="1"/>
      <protection hidden="1"/>
    </xf>
    <xf numFmtId="0" fontId="4" fillId="15" borderId="14" xfId="0" applyFont="1" applyFill="1" applyBorder="1" applyAlignment="1">
      <alignment vertical="center"/>
    </xf>
    <xf numFmtId="0" fontId="4" fillId="15" borderId="12" xfId="0" applyFont="1" applyFill="1" applyBorder="1" applyAlignment="1">
      <alignment vertical="center"/>
    </xf>
    <xf numFmtId="0" fontId="4" fillId="15" borderId="17" xfId="0" applyFont="1" applyFill="1" applyBorder="1" applyAlignment="1">
      <alignment vertical="center"/>
    </xf>
    <xf numFmtId="171" fontId="4" fillId="5" borderId="5" xfId="1" applyNumberFormat="1" applyFont="1" applyFill="1" applyBorder="1" applyAlignment="1" applyProtection="1">
      <alignment horizontal="center" vertical="center" wrapText="1"/>
      <protection locked="0"/>
    </xf>
    <xf numFmtId="171" fontId="4" fillId="16" borderId="5" xfId="1" applyNumberFormat="1" applyFont="1" applyFill="1" applyBorder="1" applyAlignment="1" applyProtection="1">
      <alignment horizontal="center" vertical="center" wrapText="1"/>
      <protection hidden="1"/>
    </xf>
    <xf numFmtId="164" fontId="4" fillId="16" borderId="6" xfId="1" applyNumberFormat="1" applyFont="1" applyFill="1" applyBorder="1" applyAlignment="1" applyProtection="1">
      <alignment horizontal="center" vertical="center" wrapText="1"/>
      <protection hidden="1"/>
    </xf>
    <xf numFmtId="2" fontId="4" fillId="16" borderId="6" xfId="1" applyNumberFormat="1" applyFont="1" applyFill="1" applyBorder="1" applyAlignment="1" applyProtection="1">
      <alignment horizontal="center" vertical="center" wrapText="1"/>
      <protection hidden="1"/>
    </xf>
    <xf numFmtId="167" fontId="4" fillId="16" borderId="6" xfId="1" applyNumberFormat="1" applyFont="1" applyFill="1" applyBorder="1" applyAlignment="1" applyProtection="1">
      <alignment horizontal="right" vertical="center" wrapText="1" indent="1"/>
      <protection hidden="1"/>
    </xf>
    <xf numFmtId="43" fontId="4" fillId="16" borderId="6" xfId="1" applyFont="1" applyFill="1" applyBorder="1" applyAlignment="1" applyProtection="1">
      <alignment horizontal="right" vertical="center" wrapText="1" indent="1"/>
      <protection hidden="1"/>
    </xf>
    <xf numFmtId="43" fontId="4" fillId="16" borderId="6" xfId="1" applyFont="1" applyFill="1" applyBorder="1" applyAlignment="1" applyProtection="1">
      <alignment horizontal="left" vertical="center" wrapText="1"/>
      <protection hidden="1"/>
    </xf>
    <xf numFmtId="43" fontId="4" fillId="16" borderId="7" xfId="1" applyFont="1" applyFill="1" applyBorder="1" applyAlignment="1" applyProtection="1">
      <alignment horizontal="left" vertical="center" wrapText="1"/>
      <protection hidden="1"/>
    </xf>
    <xf numFmtId="0" fontId="34" fillId="16" borderId="7" xfId="0" applyFont="1" applyFill="1" applyBorder="1" applyAlignment="1" applyProtection="1">
      <alignment horizontal="center" vertical="center" wrapText="1"/>
      <protection hidden="1"/>
    </xf>
    <xf numFmtId="164" fontId="32" fillId="15" borderId="14" xfId="0" applyNumberFormat="1" applyFont="1" applyFill="1" applyBorder="1" applyAlignment="1">
      <alignment horizontal="center" vertical="center" wrapText="1"/>
    </xf>
    <xf numFmtId="164" fontId="32" fillId="15" borderId="12" xfId="0" applyNumberFormat="1" applyFont="1" applyFill="1" applyBorder="1" applyAlignment="1">
      <alignment horizontal="center" vertical="center" wrapText="1"/>
    </xf>
    <xf numFmtId="0" fontId="32" fillId="15" borderId="17" xfId="0" applyFont="1" applyFill="1" applyBorder="1" applyAlignment="1">
      <alignment horizontal="center" vertical="center"/>
    </xf>
    <xf numFmtId="165" fontId="32" fillId="15" borderId="14" xfId="1" applyNumberFormat="1" applyFont="1" applyFill="1" applyBorder="1" applyAlignment="1">
      <alignment horizontal="center" vertical="center" wrapText="1"/>
    </xf>
    <xf numFmtId="165" fontId="32" fillId="15" borderId="17" xfId="1" applyNumberFormat="1" applyFont="1" applyFill="1" applyBorder="1" applyAlignment="1">
      <alignment horizontal="center" vertical="center" wrapText="1"/>
    </xf>
    <xf numFmtId="9" fontId="34" fillId="0" borderId="15" xfId="5" applyFont="1" applyBorder="1" applyAlignment="1" applyProtection="1">
      <alignment horizontal="center" vertical="center" wrapText="1"/>
      <protection hidden="1"/>
    </xf>
    <xf numFmtId="166" fontId="4" fillId="0" borderId="35" xfId="0" applyNumberFormat="1" applyFont="1" applyBorder="1" applyAlignment="1" applyProtection="1">
      <alignment horizontal="center" vertical="center" wrapText="1"/>
      <protection locked="0"/>
    </xf>
    <xf numFmtId="49" fontId="4" fillId="0" borderId="35" xfId="0" applyNumberFormat="1" applyFont="1" applyBorder="1" applyAlignment="1" applyProtection="1">
      <alignment horizontal="left" vertical="center" wrapText="1"/>
      <protection locked="0"/>
    </xf>
    <xf numFmtId="1" fontId="4" fillId="0" borderId="35" xfId="0" applyNumberFormat="1" applyFont="1" applyBorder="1" applyAlignment="1" applyProtection="1">
      <alignment horizontal="center" vertical="center" wrapText="1"/>
      <protection locked="0"/>
    </xf>
    <xf numFmtId="0" fontId="36" fillId="0" borderId="83" xfId="8" applyFont="1" applyBorder="1" applyAlignment="1" applyProtection="1">
      <alignment vertical="center"/>
      <protection hidden="1"/>
    </xf>
    <xf numFmtId="0" fontId="4" fillId="8" borderId="113" xfId="10" applyFont="1" applyFill="1" applyBorder="1" applyAlignment="1" applyProtection="1">
      <alignment vertical="center"/>
      <protection hidden="1"/>
    </xf>
    <xf numFmtId="14" fontId="36" fillId="0" borderId="107" xfId="10" applyNumberFormat="1" applyFont="1" applyBorder="1" applyAlignment="1" applyProtection="1">
      <alignment horizontal="center" vertical="center"/>
      <protection locked="0"/>
    </xf>
    <xf numFmtId="1" fontId="36" fillId="0" borderId="108" xfId="10" applyNumberFormat="1" applyFont="1" applyBorder="1" applyAlignment="1" applyProtection="1">
      <alignment horizontal="center" vertical="center"/>
      <protection locked="0"/>
    </xf>
    <xf numFmtId="14" fontId="36" fillId="0" borderId="109" xfId="10" applyNumberFormat="1" applyFont="1" applyBorder="1" applyAlignment="1" applyProtection="1">
      <alignment horizontal="center" vertical="center"/>
      <protection locked="0"/>
    </xf>
    <xf numFmtId="14" fontId="36" fillId="0" borderId="110" xfId="10" applyNumberFormat="1" applyFont="1" applyBorder="1" applyAlignment="1" applyProtection="1">
      <alignment horizontal="center" vertical="center"/>
      <protection locked="0"/>
    </xf>
    <xf numFmtId="1" fontId="36" fillId="0" borderId="111" xfId="10" applyNumberFormat="1" applyFont="1" applyBorder="1" applyAlignment="1" applyProtection="1">
      <alignment horizontal="center" vertical="center"/>
      <protection locked="0"/>
    </xf>
    <xf numFmtId="14" fontId="36" fillId="0" borderId="114" xfId="10" applyNumberFormat="1" applyFont="1" applyBorder="1" applyAlignment="1" applyProtection="1">
      <alignment horizontal="center" vertical="center"/>
      <protection locked="0"/>
    </xf>
    <xf numFmtId="14" fontId="36" fillId="0" borderId="115" xfId="10" applyNumberFormat="1" applyFont="1" applyBorder="1" applyAlignment="1" applyProtection="1">
      <alignment horizontal="center" vertical="center"/>
      <protection locked="0"/>
    </xf>
    <xf numFmtId="1" fontId="36" fillId="0" borderId="116" xfId="10" applyNumberFormat="1" applyFont="1" applyBorder="1" applyAlignment="1" applyProtection="1">
      <alignment horizontal="center" vertical="center"/>
      <protection locked="0"/>
    </xf>
    <xf numFmtId="0" fontId="32" fillId="17" borderId="117" xfId="10" applyFont="1" applyFill="1" applyBorder="1" applyAlignment="1" applyProtection="1">
      <alignment horizontal="center" vertical="center" wrapText="1"/>
      <protection hidden="1"/>
    </xf>
    <xf numFmtId="0" fontId="59" fillId="17" borderId="19" xfId="10" applyFont="1" applyFill="1" applyBorder="1" applyAlignment="1" applyProtection="1">
      <alignment horizontal="center" vertical="center" wrapText="1"/>
      <protection hidden="1"/>
    </xf>
    <xf numFmtId="0" fontId="4" fillId="8" borderId="119" xfId="10" applyFont="1" applyFill="1" applyBorder="1" applyAlignment="1" applyProtection="1">
      <alignment vertical="center"/>
      <protection hidden="1"/>
    </xf>
    <xf numFmtId="0" fontId="52" fillId="8" borderId="19" xfId="10" applyFont="1" applyFill="1" applyBorder="1" applyAlignment="1" applyProtection="1">
      <alignment horizontal="center" vertical="center"/>
      <protection hidden="1"/>
    </xf>
    <xf numFmtId="0" fontId="52" fillId="8" borderId="118" xfId="10" applyFont="1" applyFill="1" applyBorder="1" applyAlignment="1" applyProtection="1">
      <alignment horizontal="center" vertical="center"/>
      <protection hidden="1"/>
    </xf>
    <xf numFmtId="0" fontId="4" fillId="5" borderId="12" xfId="0" applyFont="1" applyFill="1" applyBorder="1"/>
    <xf numFmtId="0" fontId="4" fillId="5" borderId="17" xfId="0" applyFont="1" applyFill="1" applyBorder="1"/>
    <xf numFmtId="0" fontId="37" fillId="0" borderId="14" xfId="0" applyFont="1" applyBorder="1" applyAlignment="1">
      <alignment horizontal="left" vertical="center"/>
    </xf>
    <xf numFmtId="0" fontId="4" fillId="0" borderId="12" xfId="0" applyFont="1" applyBorder="1"/>
    <xf numFmtId="0" fontId="4" fillId="0" borderId="17" xfId="0" applyFont="1" applyBorder="1"/>
    <xf numFmtId="0" fontId="37" fillId="5" borderId="14" xfId="0" applyFont="1" applyFill="1" applyBorder="1" applyAlignment="1">
      <alignment horizontal="left" vertical="center"/>
    </xf>
    <xf numFmtId="0" fontId="20" fillId="0" borderId="0" xfId="18" applyFont="1" applyAlignment="1" applyProtection="1">
      <alignment vertical="center"/>
      <protection hidden="1"/>
    </xf>
    <xf numFmtId="0" fontId="25" fillId="0" borderId="0" xfId="18" applyFont="1" applyAlignment="1" applyProtection="1">
      <alignment vertical="center"/>
      <protection hidden="1"/>
    </xf>
    <xf numFmtId="0" fontId="15" fillId="0" borderId="0" xfId="18" applyFont="1" applyAlignment="1" applyProtection="1">
      <alignment vertical="center"/>
      <protection hidden="1"/>
    </xf>
    <xf numFmtId="0" fontId="25" fillId="0" borderId="80" xfId="18" applyFont="1" applyBorder="1" applyAlignment="1" applyProtection="1">
      <alignment vertical="center"/>
      <protection hidden="1"/>
    </xf>
    <xf numFmtId="0" fontId="20" fillId="0" borderId="81" xfId="18" applyFont="1" applyBorder="1" applyAlignment="1" applyProtection="1">
      <alignment vertical="center"/>
      <protection hidden="1"/>
    </xf>
    <xf numFmtId="0" fontId="20" fillId="0" borderId="82" xfId="18" applyFont="1" applyBorder="1" applyAlignment="1" applyProtection="1">
      <alignment vertical="center"/>
      <protection hidden="1"/>
    </xf>
    <xf numFmtId="0" fontId="25" fillId="0" borderId="83" xfId="18" applyFont="1" applyBorder="1" applyAlignment="1" applyProtection="1">
      <alignment vertical="center"/>
      <protection hidden="1"/>
    </xf>
    <xf numFmtId="0" fontId="20" fillId="0" borderId="84" xfId="18" applyFont="1" applyBorder="1" applyAlignment="1" applyProtection="1">
      <alignment vertical="center"/>
      <protection hidden="1"/>
    </xf>
    <xf numFmtId="0" fontId="25" fillId="5" borderId="83" xfId="18" applyFont="1" applyFill="1" applyBorder="1" applyAlignment="1" applyProtection="1">
      <alignment vertical="center"/>
      <protection hidden="1"/>
    </xf>
    <xf numFmtId="0" fontId="20" fillId="5" borderId="0" xfId="18" applyFont="1" applyFill="1" applyAlignment="1" applyProtection="1">
      <alignment vertical="center"/>
      <protection hidden="1"/>
    </xf>
    <xf numFmtId="0" fontId="20" fillId="5" borderId="84" xfId="18" applyFont="1" applyFill="1" applyBorder="1" applyAlignment="1" applyProtection="1">
      <alignment vertical="center"/>
      <protection hidden="1"/>
    </xf>
    <xf numFmtId="0" fontId="38" fillId="0" borderId="83" xfId="18" applyFont="1" applyBorder="1" applyAlignment="1" applyProtection="1">
      <alignment vertical="center"/>
      <protection hidden="1"/>
    </xf>
    <xf numFmtId="0" fontId="66" fillId="0" borderId="83" xfId="18" applyFont="1" applyBorder="1" applyAlignment="1" applyProtection="1">
      <alignment vertical="center"/>
      <protection hidden="1"/>
    </xf>
    <xf numFmtId="0" fontId="38" fillId="0" borderId="0" xfId="18" applyFont="1" applyAlignment="1" applyProtection="1">
      <alignment vertical="center"/>
      <protection hidden="1"/>
    </xf>
    <xf numFmtId="0" fontId="4" fillId="0" borderId="83" xfId="18" applyFont="1" applyBorder="1" applyAlignment="1" applyProtection="1">
      <alignment vertical="center"/>
      <protection hidden="1"/>
    </xf>
    <xf numFmtId="0" fontId="34" fillId="0" borderId="83" xfId="18" applyFont="1" applyBorder="1" applyAlignment="1" applyProtection="1">
      <alignment vertical="center"/>
      <protection hidden="1"/>
    </xf>
    <xf numFmtId="0" fontId="4" fillId="0" borderId="0" xfId="18" applyFont="1" applyAlignment="1" applyProtection="1">
      <alignment vertical="center"/>
      <protection hidden="1"/>
    </xf>
    <xf numFmtId="0" fontId="20" fillId="0" borderId="0" xfId="18" applyFont="1" applyAlignment="1" applyProtection="1">
      <alignment vertical="center" wrapText="1"/>
      <protection hidden="1"/>
    </xf>
    <xf numFmtId="0" fontId="26" fillId="0" borderId="83" xfId="17" applyFont="1" applyBorder="1" applyAlignment="1" applyProtection="1">
      <alignment vertical="center" wrapText="1"/>
      <protection hidden="1"/>
    </xf>
    <xf numFmtId="0" fontId="46" fillId="0" borderId="0" xfId="17" applyFont="1" applyAlignment="1" applyProtection="1">
      <alignment horizontal="center" vertical="center" wrapText="1"/>
      <protection hidden="1"/>
    </xf>
    <xf numFmtId="0" fontId="26" fillId="0" borderId="0" xfId="17" applyFont="1" applyAlignment="1" applyProtection="1">
      <alignment horizontal="left" vertical="top" wrapText="1"/>
      <protection hidden="1"/>
    </xf>
    <xf numFmtId="0" fontId="4" fillId="0" borderId="0" xfId="18" applyFont="1" applyAlignment="1" applyProtection="1">
      <alignment horizontal="left" vertical="top"/>
      <protection hidden="1"/>
    </xf>
    <xf numFmtId="0" fontId="4" fillId="0" borderId="84" xfId="18" applyFont="1" applyBorder="1" applyAlignment="1" applyProtection="1">
      <alignment horizontal="left" vertical="top"/>
      <protection hidden="1"/>
    </xf>
    <xf numFmtId="0" fontId="15" fillId="0" borderId="0" xfId="18" applyFont="1" applyAlignment="1" applyProtection="1">
      <alignment vertical="center" wrapText="1"/>
      <protection hidden="1"/>
    </xf>
    <xf numFmtId="0" fontId="26" fillId="0" borderId="0" xfId="17" applyFont="1" applyAlignment="1" applyProtection="1">
      <alignment vertical="center" wrapText="1"/>
      <protection hidden="1"/>
    </xf>
    <xf numFmtId="0" fontId="4" fillId="0" borderId="84" xfId="18" applyFont="1" applyBorder="1" applyAlignment="1" applyProtection="1">
      <alignment vertical="center"/>
      <protection hidden="1"/>
    </xf>
    <xf numFmtId="0" fontId="26" fillId="0" borderId="0" xfId="17" applyFont="1" applyAlignment="1" applyProtection="1">
      <alignment vertical="top" wrapText="1"/>
      <protection hidden="1"/>
    </xf>
    <xf numFmtId="0" fontId="4" fillId="0" borderId="0" xfId="18" applyFont="1" applyAlignment="1" applyProtection="1">
      <alignment vertical="top"/>
      <protection hidden="1"/>
    </xf>
    <xf numFmtId="0" fontId="4" fillId="0" borderId="84" xfId="18" applyFont="1" applyBorder="1" applyAlignment="1" applyProtection="1">
      <alignment vertical="top"/>
      <protection hidden="1"/>
    </xf>
    <xf numFmtId="0" fontId="20" fillId="0" borderId="0" xfId="18" applyFont="1" applyAlignment="1" applyProtection="1">
      <alignment vertical="top"/>
      <protection hidden="1"/>
    </xf>
    <xf numFmtId="0" fontId="20" fillId="0" borderId="84" xfId="18" applyFont="1" applyBorder="1" applyAlignment="1" applyProtection="1">
      <alignment vertical="top"/>
      <protection hidden="1"/>
    </xf>
    <xf numFmtId="0" fontId="35" fillId="17" borderId="98" xfId="17" applyFont="1" applyFill="1" applyBorder="1" applyAlignment="1" applyProtection="1">
      <alignment vertical="top" wrapText="1"/>
      <protection hidden="1"/>
    </xf>
    <xf numFmtId="0" fontId="67" fillId="0" borderId="83" xfId="18" applyFont="1" applyBorder="1" applyAlignment="1" applyProtection="1">
      <alignment horizontal="left" vertical="center"/>
      <protection hidden="1"/>
    </xf>
    <xf numFmtId="0" fontId="67" fillId="0" borderId="0" xfId="18" applyFont="1" applyAlignment="1" applyProtection="1">
      <alignment horizontal="left" vertical="center"/>
      <protection hidden="1"/>
    </xf>
    <xf numFmtId="0" fontId="67" fillId="0" borderId="84" xfId="18" applyFont="1" applyBorder="1" applyAlignment="1" applyProtection="1">
      <alignment horizontal="left" vertical="center"/>
      <protection hidden="1"/>
    </xf>
    <xf numFmtId="0" fontId="68" fillId="0" borderId="0" xfId="18" applyFont="1" applyAlignment="1" applyProtection="1">
      <alignment horizontal="left" vertical="center"/>
      <protection hidden="1"/>
    </xf>
    <xf numFmtId="0" fontId="38" fillId="0" borderId="83" xfId="18" applyFont="1" applyBorder="1" applyAlignment="1" applyProtection="1">
      <alignment horizontal="left" vertical="center"/>
      <protection hidden="1"/>
    </xf>
    <xf numFmtId="0" fontId="69" fillId="0" borderId="0" xfId="18" applyFont="1" applyAlignment="1" applyProtection="1">
      <alignment horizontal="left" vertical="center"/>
      <protection hidden="1"/>
    </xf>
    <xf numFmtId="0" fontId="69" fillId="0" borderId="84" xfId="18" applyFont="1" applyBorder="1" applyAlignment="1" applyProtection="1">
      <alignment horizontal="left" vertical="center"/>
      <protection hidden="1"/>
    </xf>
    <xf numFmtId="0" fontId="71" fillId="0" borderId="0" xfId="18" applyFont="1" applyAlignment="1" applyProtection="1">
      <alignment vertical="center"/>
      <protection hidden="1"/>
    </xf>
    <xf numFmtId="0" fontId="72" fillId="0" borderId="0" xfId="18" applyFont="1" applyAlignment="1" applyProtection="1">
      <alignment horizontal="center" vertical="center"/>
      <protection hidden="1"/>
    </xf>
    <xf numFmtId="9" fontId="72" fillId="0" borderId="0" xfId="19" applyFont="1" applyBorder="1" applyAlignment="1" applyProtection="1">
      <alignment horizontal="center" vertical="center"/>
      <protection hidden="1"/>
    </xf>
    <xf numFmtId="9" fontId="72" fillId="0" borderId="84" xfId="19" applyFont="1" applyBorder="1" applyAlignment="1" applyProtection="1">
      <alignment horizontal="center" vertical="center"/>
      <protection hidden="1"/>
    </xf>
    <xf numFmtId="0" fontId="73" fillId="0" borderId="0" xfId="18" applyFont="1" applyAlignment="1" applyProtection="1">
      <alignment vertical="center"/>
      <protection hidden="1"/>
    </xf>
    <xf numFmtId="9" fontId="73" fillId="0" borderId="0" xfId="18" applyNumberFormat="1" applyFont="1" applyAlignment="1" applyProtection="1">
      <alignment vertical="center"/>
      <protection hidden="1"/>
    </xf>
    <xf numFmtId="0" fontId="25" fillId="0" borderId="97" xfId="18" applyFont="1" applyBorder="1" applyAlignment="1" applyProtection="1">
      <alignment vertical="center"/>
      <protection hidden="1"/>
    </xf>
    <xf numFmtId="0" fontId="20" fillId="0" borderId="48" xfId="18" applyFont="1" applyBorder="1" applyAlignment="1" applyProtection="1">
      <alignment vertical="center"/>
      <protection hidden="1"/>
    </xf>
    <xf numFmtId="0" fontId="72" fillId="0" borderId="48" xfId="18" applyFont="1" applyBorder="1" applyAlignment="1" applyProtection="1">
      <alignment horizontal="center" vertical="center"/>
      <protection hidden="1"/>
    </xf>
    <xf numFmtId="9" fontId="72" fillId="0" borderId="48" xfId="19" applyFont="1" applyBorder="1" applyAlignment="1" applyProtection="1">
      <alignment horizontal="center" vertical="center"/>
      <protection hidden="1"/>
    </xf>
    <xf numFmtId="9" fontId="72" fillId="0" borderId="96" xfId="19" applyFont="1" applyBorder="1" applyAlignment="1" applyProtection="1">
      <alignment horizontal="center" vertical="center"/>
      <protection hidden="1"/>
    </xf>
    <xf numFmtId="0" fontId="34" fillId="0" borderId="83" xfId="18" applyFont="1" applyBorder="1" applyAlignment="1" applyProtection="1">
      <alignment vertical="top"/>
      <protection hidden="1"/>
    </xf>
    <xf numFmtId="0" fontId="46" fillId="0" borderId="83" xfId="17" applyFont="1" applyBorder="1" applyAlignment="1" applyProtection="1">
      <alignment horizontal="left" vertical="top" wrapText="1"/>
      <protection hidden="1"/>
    </xf>
    <xf numFmtId="0" fontId="34" fillId="0" borderId="0" xfId="18" applyFont="1" applyAlignment="1" applyProtection="1">
      <alignment horizontal="center" vertical="center"/>
      <protection hidden="1"/>
    </xf>
    <xf numFmtId="0" fontId="20" fillId="0" borderId="0" xfId="18" applyFont="1" applyAlignment="1" applyProtection="1">
      <alignment horizontal="left" vertical="top"/>
      <protection hidden="1"/>
    </xf>
    <xf numFmtId="0" fontId="20" fillId="0" borderId="84" xfId="18" applyFont="1" applyBorder="1" applyAlignment="1" applyProtection="1">
      <alignment horizontal="left" vertical="top"/>
      <protection hidden="1"/>
    </xf>
    <xf numFmtId="0" fontId="46" fillId="0" borderId="98" xfId="17" applyFont="1" applyBorder="1" applyAlignment="1" applyProtection="1">
      <alignment vertical="top" wrapText="1"/>
      <protection hidden="1"/>
    </xf>
    <xf numFmtId="1" fontId="34" fillId="0" borderId="1" xfId="18" applyNumberFormat="1" applyFont="1" applyBorder="1" applyAlignment="1" applyProtection="1">
      <alignment horizontal="center" vertical="center"/>
      <protection hidden="1"/>
    </xf>
    <xf numFmtId="0" fontId="74" fillId="0" borderId="0" xfId="18" applyFont="1" applyAlignment="1" applyProtection="1">
      <alignment vertical="center"/>
      <protection hidden="1"/>
    </xf>
    <xf numFmtId="0" fontId="74" fillId="0" borderId="84" xfId="18" applyFont="1" applyBorder="1" applyAlignment="1" applyProtection="1">
      <alignment vertical="center"/>
      <protection hidden="1"/>
    </xf>
    <xf numFmtId="0" fontId="75" fillId="0" borderId="83" xfId="17" applyFont="1" applyBorder="1" applyAlignment="1" applyProtection="1">
      <alignment vertical="center" wrapText="1"/>
      <protection hidden="1"/>
    </xf>
    <xf numFmtId="0" fontId="75" fillId="5" borderId="0" xfId="17" applyFont="1" applyFill="1" applyAlignment="1" applyProtection="1">
      <alignment horizontal="center" vertical="center" wrapText="1"/>
      <protection hidden="1"/>
    </xf>
    <xf numFmtId="0" fontId="75" fillId="5" borderId="0" xfId="17" applyFont="1" applyFill="1" applyAlignment="1" applyProtection="1">
      <alignment vertical="center" wrapText="1"/>
      <protection hidden="1"/>
    </xf>
    <xf numFmtId="0" fontId="76" fillId="0" borderId="0" xfId="18" applyFont="1" applyAlignment="1" applyProtection="1">
      <alignment vertical="center"/>
      <protection hidden="1"/>
    </xf>
    <xf numFmtId="0" fontId="31" fillId="0" borderId="0" xfId="18" applyFont="1" applyAlignment="1" applyProtection="1">
      <alignment vertical="center"/>
      <protection hidden="1"/>
    </xf>
    <xf numFmtId="49" fontId="4" fillId="0" borderId="0" xfId="18" applyNumberFormat="1" applyFont="1" applyAlignment="1" applyProtection="1">
      <alignment vertical="center" wrapText="1"/>
      <protection hidden="1"/>
    </xf>
    <xf numFmtId="0" fontId="4" fillId="0" borderId="27" xfId="18" applyFont="1" applyBorder="1" applyAlignment="1" applyProtection="1">
      <alignment vertical="center" wrapText="1"/>
      <protection hidden="1"/>
    </xf>
    <xf numFmtId="0" fontId="4" fillId="0" borderId="48" xfId="18" applyFont="1" applyBorder="1" applyAlignment="1" applyProtection="1">
      <alignment vertical="center" wrapText="1"/>
      <protection hidden="1"/>
    </xf>
    <xf numFmtId="0" fontId="4" fillId="0" borderId="84" xfId="18" applyFont="1" applyBorder="1" applyAlignment="1" applyProtection="1">
      <alignment horizontal="right" vertical="center"/>
      <protection hidden="1"/>
    </xf>
    <xf numFmtId="0" fontId="25" fillId="15" borderId="101" xfId="18" applyFont="1" applyFill="1" applyBorder="1" applyAlignment="1" applyProtection="1">
      <alignment vertical="center"/>
      <protection hidden="1"/>
    </xf>
    <xf numFmtId="0" fontId="20" fillId="15" borderId="102" xfId="18" applyFont="1" applyFill="1" applyBorder="1" applyAlignment="1" applyProtection="1">
      <alignment vertical="center"/>
      <protection hidden="1"/>
    </xf>
    <xf numFmtId="0" fontId="20" fillId="15" borderId="103" xfId="18" applyFont="1" applyFill="1" applyBorder="1" applyAlignment="1" applyProtection="1">
      <alignment vertical="center"/>
      <protection hidden="1"/>
    </xf>
    <xf numFmtId="0" fontId="76" fillId="0" borderId="57" xfId="0" applyFont="1" applyBorder="1" applyAlignment="1" applyProtection="1">
      <alignment horizontal="left" vertical="center" wrapText="1"/>
      <protection locked="0"/>
    </xf>
    <xf numFmtId="0" fontId="4" fillId="0" borderId="0" xfId="18" applyFont="1" applyAlignment="1" applyProtection="1">
      <alignment vertical="center" wrapText="1"/>
      <protection hidden="1"/>
    </xf>
    <xf numFmtId="0" fontId="4" fillId="0" borderId="0" xfId="18" applyFont="1" applyAlignment="1" applyProtection="1">
      <alignment horizontal="left" vertical="center"/>
      <protection hidden="1"/>
    </xf>
    <xf numFmtId="0" fontId="15" fillId="19" borderId="0" xfId="0" applyFont="1" applyFill="1"/>
    <xf numFmtId="0" fontId="20" fillId="0" borderId="15" xfId="8" applyFont="1" applyBorder="1" applyAlignment="1" applyProtection="1">
      <alignment vertical="center"/>
      <protection hidden="1"/>
    </xf>
    <xf numFmtId="0" fontId="38" fillId="0" borderId="33" xfId="0" applyFont="1" applyBorder="1" applyAlignment="1" applyProtection="1">
      <alignment horizontal="right" vertical="center" wrapText="1"/>
      <protection hidden="1"/>
    </xf>
    <xf numFmtId="0" fontId="20" fillId="5" borderId="0" xfId="0" applyFont="1" applyFill="1" applyAlignment="1">
      <alignment horizontal="left" vertical="top" wrapText="1"/>
    </xf>
    <xf numFmtId="0" fontId="4" fillId="0" borderId="0" xfId="8"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52" fillId="8" borderId="19" xfId="10" applyFont="1" applyFill="1" applyBorder="1" applyAlignment="1" applyProtection="1">
      <alignment horizontal="center" vertical="center" wrapText="1"/>
      <protection hidden="1"/>
    </xf>
    <xf numFmtId="171" fontId="4" fillId="0" borderId="0" xfId="0" applyNumberFormat="1" applyFont="1" applyAlignment="1">
      <alignment horizontal="left" vertical="center" wrapText="1"/>
    </xf>
    <xf numFmtId="171" fontId="36" fillId="0" borderId="0" xfId="0" applyNumberFormat="1" applyFont="1" applyAlignment="1">
      <alignment horizontal="right" vertical="center" wrapText="1"/>
    </xf>
    <xf numFmtId="49" fontId="36" fillId="0" borderId="0" xfId="8" applyNumberFormat="1" applyFont="1" applyAlignment="1">
      <alignment horizontal="left" vertical="top" wrapText="1"/>
    </xf>
    <xf numFmtId="49" fontId="36" fillId="0" borderId="84" xfId="8" applyNumberFormat="1" applyFont="1" applyBorder="1" applyAlignment="1">
      <alignment horizontal="left" vertical="top" wrapText="1"/>
    </xf>
    <xf numFmtId="0" fontId="4" fillId="0" borderId="0" xfId="0" applyFont="1"/>
    <xf numFmtId="0" fontId="4" fillId="0" borderId="84" xfId="0" applyFont="1" applyBorder="1"/>
    <xf numFmtId="171" fontId="36" fillId="0" borderId="84" xfId="0" applyNumberFormat="1" applyFont="1" applyBorder="1" applyAlignment="1">
      <alignment horizontal="right" vertical="center" wrapText="1"/>
    </xf>
    <xf numFmtId="171" fontId="36" fillId="0" borderId="96" xfId="0" applyNumberFormat="1" applyFont="1" applyBorder="1" applyAlignment="1">
      <alignment horizontal="right" vertical="center" wrapText="1"/>
    </xf>
    <xf numFmtId="0" fontId="32" fillId="15" borderId="14" xfId="0" applyFont="1" applyFill="1" applyBorder="1" applyAlignment="1">
      <alignment horizontal="center" vertical="center" wrapText="1"/>
    </xf>
    <xf numFmtId="0" fontId="32" fillId="15" borderId="38" xfId="0" applyFont="1" applyFill="1" applyBorder="1" applyAlignment="1">
      <alignment horizontal="center" vertical="center"/>
    </xf>
    <xf numFmtId="0" fontId="4" fillId="0" borderId="0" xfId="0" applyFont="1" applyAlignment="1">
      <alignment vertical="center"/>
    </xf>
    <xf numFmtId="0" fontId="35" fillId="0" borderId="0" xfId="0" applyFont="1" applyAlignment="1">
      <alignment vertical="center"/>
    </xf>
    <xf numFmtId="0" fontId="4" fillId="0" borderId="0" xfId="0" applyFont="1" applyAlignment="1">
      <alignment horizontal="center" vertical="center" wrapText="1"/>
    </xf>
    <xf numFmtId="2" fontId="4" fillId="0" borderId="0" xfId="0" applyNumberFormat="1" applyFont="1" applyAlignment="1">
      <alignment horizontal="center" vertical="center" wrapText="1"/>
    </xf>
    <xf numFmtId="2" fontId="4" fillId="0" borderId="0" xfId="0" applyNumberFormat="1" applyFont="1" applyAlignment="1">
      <alignment horizontal="left" vertical="center" wrapText="1"/>
    </xf>
    <xf numFmtId="170" fontId="4" fillId="0" borderId="0" xfId="1" applyNumberFormat="1" applyFont="1" applyBorder="1" applyAlignment="1" applyProtection="1">
      <alignment horizontal="center" vertical="center" wrapText="1"/>
    </xf>
    <xf numFmtId="0" fontId="4" fillId="5" borderId="0" xfId="0" applyFont="1" applyFill="1" applyAlignment="1">
      <alignment horizontal="center" vertical="center" wrapText="1"/>
    </xf>
    <xf numFmtId="2" fontId="4" fillId="5" borderId="0" xfId="0" applyNumberFormat="1" applyFont="1" applyFill="1" applyAlignment="1">
      <alignment horizontal="center" vertical="center" wrapText="1"/>
    </xf>
    <xf numFmtId="2" fontId="4" fillId="5" borderId="0" xfId="0" applyNumberFormat="1" applyFont="1" applyFill="1" applyAlignment="1">
      <alignment horizontal="left" vertical="center" wrapText="1"/>
    </xf>
    <xf numFmtId="170" fontId="4" fillId="5" borderId="0" xfId="1" applyNumberFormat="1" applyFont="1" applyFill="1" applyBorder="1" applyAlignment="1" applyProtection="1">
      <alignment horizontal="center" vertical="center" wrapText="1"/>
    </xf>
    <xf numFmtId="9" fontId="4" fillId="5" borderId="0" xfId="1" applyNumberFormat="1" applyFont="1" applyFill="1" applyBorder="1" applyAlignment="1" applyProtection="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52" fillId="0" borderId="0" xfId="0" applyFont="1" applyAlignment="1">
      <alignment horizontal="left" vertical="top" wrapText="1"/>
    </xf>
    <xf numFmtId="0" fontId="52" fillId="0" borderId="17" xfId="0" applyFont="1" applyBorder="1" applyAlignment="1">
      <alignment horizontal="left" vertical="top" wrapText="1"/>
    </xf>
    <xf numFmtId="0" fontId="4" fillId="5" borderId="0" xfId="0" applyFont="1" applyFill="1" applyAlignment="1">
      <alignment vertical="center"/>
    </xf>
    <xf numFmtId="0" fontId="4" fillId="5" borderId="84" xfId="0" applyFont="1" applyFill="1" applyBorder="1" applyAlignment="1">
      <alignment vertical="center"/>
    </xf>
    <xf numFmtId="0" fontId="4" fillId="0" borderId="84" xfId="0" applyFont="1" applyBorder="1" applyAlignment="1">
      <alignment vertical="center"/>
    </xf>
    <xf numFmtId="166" fontId="49" fillId="5" borderId="6" xfId="0" applyNumberFormat="1" applyFont="1" applyFill="1" applyBorder="1" applyAlignment="1">
      <alignment horizontal="center"/>
    </xf>
    <xf numFmtId="0" fontId="49" fillId="5" borderId="6" xfId="0" applyFont="1" applyFill="1" applyBorder="1" applyAlignment="1">
      <alignment horizontal="left" wrapText="1"/>
    </xf>
    <xf numFmtId="1" fontId="49" fillId="5" borderId="6" xfId="0" applyNumberFormat="1" applyFont="1" applyFill="1" applyBorder="1" applyAlignment="1">
      <alignment horizontal="center"/>
    </xf>
    <xf numFmtId="0" fontId="49" fillId="5" borderId="6" xfId="0" applyFont="1" applyFill="1" applyBorder="1" applyAlignment="1">
      <alignment horizontal="left"/>
    </xf>
    <xf numFmtId="5" fontId="49" fillId="5" borderId="6" xfId="1" applyNumberFormat="1" applyFont="1" applyFill="1" applyBorder="1" applyProtection="1"/>
    <xf numFmtId="166" fontId="47" fillId="5" borderId="15" xfId="0" applyNumberFormat="1" applyFont="1" applyFill="1" applyBorder="1"/>
    <xf numFmtId="5" fontId="4" fillId="5" borderId="0" xfId="1" applyNumberFormat="1" applyFont="1" applyFill="1" applyBorder="1" applyAlignment="1" applyProtection="1">
      <alignment vertical="center"/>
    </xf>
    <xf numFmtId="0" fontId="26" fillId="5" borderId="6" xfId="0" applyFont="1" applyFill="1" applyBorder="1"/>
    <xf numFmtId="0" fontId="26" fillId="5" borderId="6" xfId="0" applyFont="1" applyFill="1" applyBorder="1" applyAlignment="1">
      <alignment horizontal="left"/>
    </xf>
    <xf numFmtId="5" fontId="34" fillId="0" borderId="0" xfId="1" applyNumberFormat="1" applyFont="1" applyBorder="1" applyAlignment="1" applyProtection="1">
      <alignment horizontal="center" vertical="center" wrapText="1"/>
    </xf>
    <xf numFmtId="0" fontId="43" fillId="0" borderId="83" xfId="2" applyFont="1" applyBorder="1" applyAlignment="1" applyProtection="1">
      <protection locked="0" hidden="1"/>
    </xf>
    <xf numFmtId="0" fontId="12" fillId="7" borderId="0" xfId="0" applyFont="1" applyFill="1" applyProtection="1">
      <protection hidden="1"/>
    </xf>
    <xf numFmtId="15" fontId="12" fillId="7" borderId="0" xfId="0" applyNumberFormat="1" applyFont="1" applyFill="1" applyAlignment="1" applyProtection="1">
      <alignment horizontal="center"/>
      <protection hidden="1"/>
    </xf>
    <xf numFmtId="0" fontId="14" fillId="7" borderId="0" xfId="0" applyFont="1" applyFill="1" applyAlignment="1" applyProtection="1">
      <alignment vertical="top"/>
      <protection hidden="1"/>
    </xf>
    <xf numFmtId="0" fontId="12" fillId="7" borderId="0" xfId="0" applyFont="1" applyFill="1" applyAlignment="1" applyProtection="1">
      <alignment vertical="top"/>
      <protection hidden="1"/>
    </xf>
    <xf numFmtId="0" fontId="12" fillId="7" borderId="0" xfId="0" applyFont="1" applyFill="1" applyAlignment="1" applyProtection="1">
      <alignment horizontal="center" vertical="top"/>
      <protection hidden="1"/>
    </xf>
    <xf numFmtId="0" fontId="12" fillId="20" borderId="0" xfId="0" applyFont="1" applyFill="1" applyProtection="1">
      <protection hidden="1"/>
    </xf>
    <xf numFmtId="0" fontId="12" fillId="5" borderId="0" xfId="0" applyFont="1" applyFill="1" applyProtection="1">
      <protection hidden="1"/>
    </xf>
    <xf numFmtId="168" fontId="78" fillId="0" borderId="120" xfId="1" applyNumberFormat="1" applyFont="1" applyBorder="1" applyAlignment="1" applyProtection="1">
      <alignment horizontal="left" vertical="center" indent="1"/>
      <protection hidden="1"/>
    </xf>
    <xf numFmtId="0" fontId="79" fillId="0" borderId="121" xfId="0" applyFont="1" applyBorder="1" applyAlignment="1" applyProtection="1">
      <alignment horizontal="center" vertical="center"/>
      <protection hidden="1"/>
    </xf>
    <xf numFmtId="0" fontId="79" fillId="0" borderId="122" xfId="0" applyFont="1" applyBorder="1" applyAlignment="1" applyProtection="1">
      <alignment horizontal="left" vertical="center" indent="1"/>
      <protection hidden="1"/>
    </xf>
    <xf numFmtId="0" fontId="79" fillId="0" borderId="123" xfId="0" applyFont="1" applyBorder="1" applyAlignment="1" applyProtection="1">
      <alignment horizontal="left" vertical="center" indent="1"/>
      <protection hidden="1"/>
    </xf>
    <xf numFmtId="0" fontId="4" fillId="20" borderId="0" xfId="0" applyFont="1" applyFill="1" applyProtection="1">
      <protection hidden="1"/>
    </xf>
    <xf numFmtId="0" fontId="4" fillId="5" borderId="0" xfId="0" applyFont="1" applyFill="1" applyProtection="1">
      <protection hidden="1"/>
    </xf>
    <xf numFmtId="168" fontId="78" fillId="0" borderId="124" xfId="1" applyNumberFormat="1" applyFont="1" applyBorder="1" applyAlignment="1" applyProtection="1">
      <alignment horizontal="left" vertical="center" indent="1"/>
      <protection hidden="1"/>
    </xf>
    <xf numFmtId="0" fontId="79" fillId="0" borderId="125" xfId="0" applyFont="1" applyBorder="1" applyAlignment="1" applyProtection="1">
      <alignment horizontal="center" vertical="center"/>
      <protection hidden="1"/>
    </xf>
    <xf numFmtId="0" fontId="79" fillId="0" borderId="126" xfId="0" applyFont="1" applyBorder="1" applyAlignment="1" applyProtection="1">
      <alignment horizontal="left" vertical="center" indent="1"/>
      <protection hidden="1"/>
    </xf>
    <xf numFmtId="0" fontId="79" fillId="0" borderId="127" xfId="0" applyFont="1" applyBorder="1" applyAlignment="1" applyProtection="1">
      <alignment horizontal="left" vertical="center" indent="1"/>
      <protection hidden="1"/>
    </xf>
    <xf numFmtId="0" fontId="4" fillId="20" borderId="0" xfId="0" applyFont="1" applyFill="1" applyAlignment="1" applyProtection="1">
      <alignment horizontal="center"/>
      <protection hidden="1"/>
    </xf>
    <xf numFmtId="0" fontId="4" fillId="5" borderId="0" xfId="0" applyFont="1" applyFill="1" applyAlignment="1" applyProtection="1">
      <alignment horizontal="center"/>
      <protection hidden="1"/>
    </xf>
    <xf numFmtId="0" fontId="78" fillId="0" borderId="127" xfId="0" applyFont="1" applyBorder="1" applyAlignment="1" applyProtection="1">
      <alignment horizontal="left" vertical="center" indent="1"/>
      <protection hidden="1"/>
    </xf>
    <xf numFmtId="168" fontId="78" fillId="0" borderId="128" xfId="1" applyNumberFormat="1" applyFont="1" applyBorder="1" applyAlignment="1" applyProtection="1">
      <alignment horizontal="left" vertical="center" indent="1"/>
      <protection hidden="1"/>
    </xf>
    <xf numFmtId="0" fontId="79" fillId="0" borderId="129" xfId="0" applyFont="1" applyBorder="1" applyAlignment="1" applyProtection="1">
      <alignment horizontal="center" vertical="center"/>
      <protection hidden="1"/>
    </xf>
    <xf numFmtId="0" fontId="79" fillId="0" borderId="130" xfId="0" applyFont="1" applyBorder="1" applyAlignment="1" applyProtection="1">
      <alignment horizontal="left" vertical="center" indent="1"/>
      <protection hidden="1"/>
    </xf>
    <xf numFmtId="0" fontId="78" fillId="0" borderId="131" xfId="0" applyFont="1" applyBorder="1" applyAlignment="1" applyProtection="1">
      <alignment horizontal="left" vertical="center" indent="1"/>
      <protection hidden="1"/>
    </xf>
    <xf numFmtId="0" fontId="78" fillId="0" borderId="123" xfId="0" applyFont="1" applyBorder="1" applyAlignment="1" applyProtection="1">
      <alignment horizontal="left" vertical="center" indent="1"/>
      <protection hidden="1"/>
    </xf>
    <xf numFmtId="168" fontId="78" fillId="0" borderId="132" xfId="1" applyNumberFormat="1" applyFont="1" applyBorder="1" applyAlignment="1" applyProtection="1">
      <alignment horizontal="left" vertical="center" indent="1"/>
      <protection hidden="1"/>
    </xf>
    <xf numFmtId="0" fontId="79" fillId="0" borderId="133" xfId="0" applyFont="1" applyBorder="1" applyAlignment="1" applyProtection="1">
      <alignment horizontal="center" vertical="center"/>
      <protection hidden="1"/>
    </xf>
    <xf numFmtId="0" fontId="79" fillId="0" borderId="134" xfId="0" applyFont="1" applyBorder="1" applyAlignment="1" applyProtection="1">
      <alignment horizontal="left" vertical="center" indent="1"/>
      <protection hidden="1"/>
    </xf>
    <xf numFmtId="0" fontId="78" fillId="0" borderId="135" xfId="0" applyFont="1" applyBorder="1" applyAlignment="1" applyProtection="1">
      <alignment horizontal="left" vertical="center" indent="1"/>
      <protection hidden="1"/>
    </xf>
    <xf numFmtId="168" fontId="78" fillId="0" borderId="136" xfId="1" applyNumberFormat="1" applyFont="1" applyBorder="1" applyAlignment="1" applyProtection="1">
      <alignment horizontal="left" vertical="center" indent="1"/>
      <protection hidden="1"/>
    </xf>
    <xf numFmtId="0" fontId="79" fillId="0" borderId="137" xfId="0" applyFont="1" applyBorder="1" applyAlignment="1" applyProtection="1">
      <alignment horizontal="center" vertical="center"/>
      <protection hidden="1"/>
    </xf>
    <xf numFmtId="0" fontId="79" fillId="0" borderId="138" xfId="0" applyFont="1" applyBorder="1" applyAlignment="1" applyProtection="1">
      <alignment horizontal="left" vertical="center" indent="1"/>
      <protection hidden="1"/>
    </xf>
    <xf numFmtId="0" fontId="78" fillId="0" borderId="139" xfId="0" applyFont="1" applyBorder="1" applyAlignment="1" applyProtection="1">
      <alignment horizontal="left" vertical="center" indent="1"/>
      <protection hidden="1"/>
    </xf>
    <xf numFmtId="168" fontId="78" fillId="0" borderId="120" xfId="1" applyNumberFormat="1" applyFont="1" applyFill="1" applyBorder="1" applyAlignment="1" applyProtection="1">
      <alignment horizontal="left" vertical="center" indent="1"/>
      <protection hidden="1"/>
    </xf>
    <xf numFmtId="0" fontId="79" fillId="0" borderId="140" xfId="0" applyFont="1" applyBorder="1" applyAlignment="1" applyProtection="1">
      <alignment horizontal="center" vertical="center"/>
      <protection hidden="1"/>
    </xf>
    <xf numFmtId="0" fontId="79" fillId="0" borderId="141" xfId="0" applyFont="1" applyBorder="1" applyAlignment="1" applyProtection="1">
      <alignment horizontal="left" vertical="center" indent="1"/>
      <protection hidden="1"/>
    </xf>
    <xf numFmtId="0" fontId="79" fillId="0" borderId="142" xfId="0" applyFont="1" applyBorder="1" applyAlignment="1" applyProtection="1">
      <alignment horizontal="left" vertical="center" indent="1"/>
      <protection hidden="1"/>
    </xf>
    <xf numFmtId="0" fontId="79" fillId="0" borderId="121" xfId="0" applyFont="1" applyBorder="1" applyAlignment="1" applyProtection="1">
      <alignment horizontal="center" vertical="center" wrapText="1"/>
      <protection hidden="1"/>
    </xf>
    <xf numFmtId="0" fontId="79" fillId="0" borderId="122" xfId="0" applyFont="1" applyBorder="1" applyAlignment="1" applyProtection="1">
      <alignment horizontal="left" vertical="center" wrapText="1" indent="1"/>
      <protection hidden="1"/>
    </xf>
    <xf numFmtId="0" fontId="79" fillId="0" borderId="129" xfId="0" applyFont="1" applyBorder="1" applyAlignment="1" applyProtection="1">
      <alignment horizontal="center" vertical="center" wrapText="1"/>
      <protection hidden="1"/>
    </xf>
    <xf numFmtId="0" fontId="79" fillId="0" borderId="130" xfId="0" applyFont="1" applyBorder="1" applyAlignment="1" applyProtection="1">
      <alignment horizontal="left" vertical="center" wrapText="1" indent="1"/>
      <protection hidden="1"/>
    </xf>
    <xf numFmtId="0" fontId="79" fillId="0" borderId="125" xfId="0" applyFont="1" applyBorder="1" applyAlignment="1" applyProtection="1">
      <alignment horizontal="center" vertical="center" wrapText="1"/>
      <protection hidden="1"/>
    </xf>
    <xf numFmtId="0" fontId="79" fillId="0" borderId="126" xfId="0" applyFont="1" applyBorder="1" applyAlignment="1" applyProtection="1">
      <alignment horizontal="left" vertical="center" wrapText="1" indent="1"/>
      <protection hidden="1"/>
    </xf>
    <xf numFmtId="0" fontId="78" fillId="0" borderId="143" xfId="0" applyFont="1" applyBorder="1" applyAlignment="1" applyProtection="1">
      <alignment horizontal="left" vertical="center" indent="1"/>
      <protection hidden="1"/>
    </xf>
    <xf numFmtId="0" fontId="79" fillId="0" borderId="144" xfId="0" applyFont="1" applyBorder="1" applyAlignment="1" applyProtection="1">
      <alignment horizontal="center" vertical="center"/>
      <protection hidden="1"/>
    </xf>
    <xf numFmtId="168" fontId="78" fillId="21" borderId="124" xfId="1" applyNumberFormat="1" applyFont="1" applyFill="1" applyBorder="1" applyAlignment="1" applyProtection="1">
      <alignment horizontal="left" vertical="center" indent="1"/>
      <protection hidden="1"/>
    </xf>
    <xf numFmtId="0" fontId="79" fillId="21" borderId="126" xfId="0" applyFont="1" applyFill="1" applyBorder="1" applyAlignment="1" applyProtection="1">
      <alignment horizontal="left" vertical="center" indent="1"/>
      <protection hidden="1"/>
    </xf>
    <xf numFmtId="0" fontId="78" fillId="21" borderId="127" xfId="0" applyFont="1" applyFill="1" applyBorder="1" applyAlignment="1" applyProtection="1">
      <alignment horizontal="left" vertical="center" indent="1"/>
      <protection hidden="1"/>
    </xf>
    <xf numFmtId="168" fontId="78" fillId="21" borderId="132" xfId="1" applyNumberFormat="1" applyFont="1" applyFill="1" applyBorder="1" applyAlignment="1" applyProtection="1">
      <alignment horizontal="left" vertical="center" indent="1"/>
      <protection hidden="1"/>
    </xf>
    <xf numFmtId="0" fontId="79" fillId="21" borderId="134" xfId="0" applyFont="1" applyFill="1" applyBorder="1" applyAlignment="1" applyProtection="1">
      <alignment horizontal="left" vertical="center" indent="1"/>
      <protection hidden="1"/>
    </xf>
    <xf numFmtId="0" fontId="80" fillId="21" borderId="127" xfId="0" applyFont="1" applyFill="1" applyBorder="1" applyAlignment="1" applyProtection="1">
      <alignment horizontal="left" indent="1"/>
      <protection hidden="1"/>
    </xf>
    <xf numFmtId="0" fontId="78" fillId="21" borderId="143" xfId="0" applyFont="1" applyFill="1" applyBorder="1" applyAlignment="1" applyProtection="1">
      <alignment horizontal="left" vertical="center" indent="1"/>
      <protection hidden="1"/>
    </xf>
    <xf numFmtId="0" fontId="79" fillId="0" borderId="130" xfId="0" applyFont="1" applyBorder="1" applyAlignment="1" applyProtection="1">
      <alignment horizontal="center" vertical="center"/>
      <protection hidden="1"/>
    </xf>
    <xf numFmtId="0" fontId="79" fillId="0" borderId="145" xfId="0" applyFont="1" applyBorder="1" applyAlignment="1" applyProtection="1">
      <alignment horizontal="center" vertical="center"/>
      <protection hidden="1"/>
    </xf>
    <xf numFmtId="0" fontId="79" fillId="5" borderId="126" xfId="0" applyFont="1" applyFill="1" applyBorder="1" applyAlignment="1" applyProtection="1">
      <alignment horizontal="left" vertical="center" indent="1"/>
      <protection hidden="1"/>
    </xf>
    <xf numFmtId="168" fontId="78" fillId="0" borderId="146" xfId="1" applyNumberFormat="1" applyFont="1" applyBorder="1" applyAlignment="1" applyProtection="1">
      <alignment horizontal="left" vertical="center" indent="1"/>
      <protection hidden="1"/>
    </xf>
    <xf numFmtId="0" fontId="79" fillId="0" borderId="145" xfId="0" applyFont="1" applyBorder="1" applyAlignment="1" applyProtection="1">
      <alignment horizontal="left" vertical="center" indent="1"/>
      <protection hidden="1"/>
    </xf>
    <xf numFmtId="0" fontId="78" fillId="0" borderId="147" xfId="0" applyFont="1" applyBorder="1" applyAlignment="1" applyProtection="1">
      <alignment horizontal="left" vertical="center" indent="1"/>
      <protection hidden="1"/>
    </xf>
    <xf numFmtId="0" fontId="78" fillId="0" borderId="131" xfId="0" applyFont="1" applyBorder="1" applyAlignment="1" applyProtection="1">
      <alignment horizontal="left" vertical="center" wrapText="1" indent="1"/>
      <protection hidden="1"/>
    </xf>
    <xf numFmtId="0" fontId="81" fillId="15" borderId="148" xfId="0" applyFont="1" applyFill="1" applyBorder="1" applyAlignment="1" applyProtection="1">
      <alignment horizontal="left" vertical="center" wrapText="1" indent="1"/>
      <protection hidden="1"/>
    </xf>
    <xf numFmtId="0" fontId="81" fillId="15" borderId="149" xfId="0" applyFont="1" applyFill="1" applyBorder="1" applyAlignment="1" applyProtection="1">
      <alignment horizontal="left" vertical="center" wrapText="1" indent="1"/>
      <protection hidden="1"/>
    </xf>
    <xf numFmtId="0" fontId="81" fillId="15" borderId="150" xfId="0" applyFont="1" applyFill="1" applyBorder="1" applyAlignment="1" applyProtection="1">
      <alignment horizontal="left" vertical="center" indent="1"/>
      <protection hidden="1"/>
    </xf>
    <xf numFmtId="0" fontId="81" fillId="15" borderId="151" xfId="0" applyFont="1" applyFill="1" applyBorder="1" applyAlignment="1" applyProtection="1">
      <alignment horizontal="left" vertical="center" indent="1"/>
      <protection hidden="1"/>
    </xf>
    <xf numFmtId="0" fontId="79" fillId="0" borderId="121" xfId="0" applyFont="1" applyBorder="1" applyAlignment="1" applyProtection="1">
      <alignment horizontal="left" vertical="center" indent="1"/>
      <protection hidden="1"/>
    </xf>
    <xf numFmtId="168" fontId="78" fillId="0" borderId="146" xfId="1" applyNumberFormat="1" applyFont="1" applyFill="1" applyBorder="1" applyAlignment="1" applyProtection="1">
      <alignment horizontal="left" vertical="center" indent="1"/>
      <protection hidden="1"/>
    </xf>
    <xf numFmtId="0" fontId="79" fillId="0" borderId="144" xfId="0" applyFont="1" applyBorder="1" applyAlignment="1" applyProtection="1">
      <alignment horizontal="left" vertical="center" indent="1"/>
      <protection hidden="1"/>
    </xf>
    <xf numFmtId="0" fontId="82" fillId="7" borderId="0" xfId="0" applyFont="1" applyFill="1" applyAlignment="1" applyProtection="1">
      <alignment wrapText="1"/>
      <protection hidden="1"/>
    </xf>
    <xf numFmtId="0" fontId="82" fillId="20" borderId="0" xfId="0" applyFont="1" applyFill="1" applyProtection="1">
      <protection hidden="1"/>
    </xf>
    <xf numFmtId="0" fontId="74" fillId="20" borderId="0" xfId="0" applyFont="1" applyFill="1" applyAlignment="1" applyProtection="1">
      <alignment horizontal="center"/>
      <protection hidden="1"/>
    </xf>
    <xf numFmtId="0" fontId="74" fillId="5" borderId="0" xfId="0" applyFont="1" applyFill="1" applyAlignment="1" applyProtection="1">
      <alignment horizontal="center"/>
      <protection hidden="1"/>
    </xf>
    <xf numFmtId="0" fontId="82" fillId="5" borderId="0" xfId="0" applyFont="1" applyFill="1" applyAlignment="1" applyProtection="1">
      <alignment wrapText="1"/>
      <protection hidden="1"/>
    </xf>
    <xf numFmtId="0" fontId="82" fillId="20" borderId="0" xfId="0" applyFont="1" applyFill="1" applyAlignment="1" applyProtection="1">
      <alignment wrapText="1"/>
      <protection hidden="1"/>
    </xf>
    <xf numFmtId="0" fontId="12" fillId="7" borderId="0" xfId="0" applyFont="1" applyFill="1" applyAlignment="1" applyProtection="1">
      <alignment wrapText="1"/>
      <protection hidden="1"/>
    </xf>
    <xf numFmtId="168" fontId="78" fillId="0" borderId="124" xfId="1" applyNumberFormat="1" applyFont="1" applyFill="1" applyBorder="1" applyAlignment="1" applyProtection="1">
      <alignment horizontal="left" vertical="center" indent="1"/>
      <protection hidden="1"/>
    </xf>
    <xf numFmtId="0" fontId="79" fillId="0" borderId="125" xfId="0" applyFont="1" applyBorder="1" applyAlignment="1" applyProtection="1">
      <alignment horizontal="left" vertical="center" indent="1"/>
      <protection hidden="1"/>
    </xf>
    <xf numFmtId="0" fontId="12" fillId="5" borderId="0" xfId="0" applyFont="1" applyFill="1" applyAlignment="1" applyProtection="1">
      <alignment wrapText="1"/>
      <protection hidden="1"/>
    </xf>
    <xf numFmtId="0" fontId="12" fillId="20" borderId="0" xfId="0" applyFont="1" applyFill="1" applyAlignment="1" applyProtection="1">
      <alignment wrapText="1"/>
      <protection hidden="1"/>
    </xf>
    <xf numFmtId="0" fontId="79" fillId="0" borderId="133" xfId="0" applyFont="1" applyBorder="1" applyAlignment="1" applyProtection="1">
      <alignment horizontal="left" vertical="center" indent="1"/>
      <protection hidden="1"/>
    </xf>
    <xf numFmtId="0" fontId="79" fillId="0" borderId="129" xfId="0" applyFont="1" applyBorder="1" applyAlignment="1" applyProtection="1">
      <alignment horizontal="left" vertical="center" indent="1"/>
      <protection hidden="1"/>
    </xf>
    <xf numFmtId="0" fontId="82" fillId="7" borderId="0" xfId="0" applyFont="1" applyFill="1" applyProtection="1">
      <protection hidden="1"/>
    </xf>
    <xf numFmtId="0" fontId="81" fillId="15" borderId="149" xfId="0" applyFont="1" applyFill="1" applyBorder="1" applyAlignment="1" applyProtection="1">
      <alignment horizontal="left" vertical="center" indent="1"/>
      <protection hidden="1"/>
    </xf>
    <xf numFmtId="0" fontId="82" fillId="5" borderId="0" xfId="0" applyFont="1" applyFill="1" applyProtection="1">
      <protection hidden="1"/>
    </xf>
    <xf numFmtId="0" fontId="44" fillId="0" borderId="153" xfId="0" applyFont="1" applyBorder="1" applyAlignment="1" applyProtection="1">
      <alignment horizontal="left" vertical="center"/>
      <protection hidden="1"/>
    </xf>
    <xf numFmtId="0" fontId="85" fillId="0" borderId="0" xfId="0" applyFont="1" applyAlignment="1" applyProtection="1">
      <alignment vertical="center"/>
      <protection hidden="1"/>
    </xf>
    <xf numFmtId="15" fontId="12" fillId="20" borderId="0" xfId="0" applyNumberFormat="1" applyFont="1" applyFill="1" applyAlignment="1" applyProtection="1">
      <alignment horizontal="center"/>
      <protection hidden="1"/>
    </xf>
    <xf numFmtId="15" fontId="12" fillId="5" borderId="0" xfId="0" applyNumberFormat="1" applyFont="1" applyFill="1" applyAlignment="1" applyProtection="1">
      <alignment horizontal="center"/>
      <protection hidden="1"/>
    </xf>
    <xf numFmtId="0" fontId="14" fillId="5" borderId="0" xfId="0" applyFont="1" applyFill="1" applyAlignment="1" applyProtection="1">
      <alignment vertical="top"/>
      <protection hidden="1"/>
    </xf>
    <xf numFmtId="0" fontId="12" fillId="5" borderId="0" xfId="0" applyFont="1" applyFill="1" applyAlignment="1" applyProtection="1">
      <alignment vertical="top"/>
      <protection hidden="1"/>
    </xf>
    <xf numFmtId="0" fontId="14" fillId="20" borderId="0" xfId="0" applyFont="1" applyFill="1" applyAlignment="1" applyProtection="1">
      <alignment vertical="top"/>
      <protection hidden="1"/>
    </xf>
    <xf numFmtId="0" fontId="12" fillId="20" borderId="0" xfId="0" applyFont="1" applyFill="1" applyAlignment="1" applyProtection="1">
      <alignment vertical="top"/>
      <protection hidden="1"/>
    </xf>
    <xf numFmtId="0" fontId="12" fillId="20" borderId="0" xfId="0" applyFont="1" applyFill="1" applyAlignment="1" applyProtection="1">
      <alignment horizontal="center" vertical="top"/>
      <protection hidden="1"/>
    </xf>
    <xf numFmtId="0" fontId="4" fillId="18" borderId="98" xfId="17" applyFont="1" applyFill="1" applyBorder="1" applyAlignment="1" applyProtection="1">
      <alignment horizontal="left" vertical="top" wrapText="1"/>
      <protection hidden="1"/>
    </xf>
    <xf numFmtId="0" fontId="4" fillId="0" borderId="0" xfId="18" applyFont="1" applyAlignment="1" applyProtection="1">
      <alignment horizontal="left" vertical="center" wrapText="1"/>
      <protection hidden="1"/>
    </xf>
    <xf numFmtId="0" fontId="35" fillId="17" borderId="98" xfId="17" applyFont="1" applyFill="1" applyBorder="1" applyAlignment="1" applyProtection="1">
      <alignment horizontal="left" vertical="top" wrapText="1"/>
      <protection hidden="1"/>
    </xf>
    <xf numFmtId="0" fontId="4" fillId="15" borderId="98" xfId="17" applyFont="1" applyFill="1" applyBorder="1" applyAlignment="1" applyProtection="1">
      <alignment horizontal="left" vertical="top" wrapText="1"/>
      <protection hidden="1"/>
    </xf>
    <xf numFmtId="0" fontId="32" fillId="0" borderId="30" xfId="17" applyFont="1" applyBorder="1" applyAlignment="1" applyProtection="1">
      <alignment horizontal="center" vertical="center" wrapText="1"/>
      <protection locked="0"/>
    </xf>
    <xf numFmtId="0" fontId="28" fillId="22" borderId="154" xfId="20" applyFont="1" applyFill="1" applyBorder="1"/>
    <xf numFmtId="0" fontId="86" fillId="22" borderId="154" xfId="20" applyFont="1" applyFill="1" applyBorder="1" applyAlignment="1">
      <alignment vertical="center"/>
    </xf>
    <xf numFmtId="0" fontId="15" fillId="23" borderId="88" xfId="20" applyFont="1" applyFill="1" applyBorder="1"/>
    <xf numFmtId="0" fontId="20" fillId="23" borderId="88" xfId="20" applyFont="1" applyFill="1" applyBorder="1" applyAlignment="1">
      <alignment vertical="center"/>
    </xf>
    <xf numFmtId="0" fontId="15" fillId="0" borderId="88" xfId="20" applyFont="1" applyBorder="1"/>
    <xf numFmtId="0" fontId="15" fillId="0" borderId="155" xfId="20" applyFont="1" applyBorder="1" applyAlignment="1">
      <alignment vertical="top" wrapText="1"/>
    </xf>
    <xf numFmtId="0" fontId="18" fillId="0" borderId="155" xfId="20" applyFont="1" applyBorder="1" applyAlignment="1">
      <alignment vertical="top" wrapText="1"/>
    </xf>
    <xf numFmtId="0" fontId="20" fillId="0" borderId="155" xfId="20" applyFont="1" applyBorder="1" applyAlignment="1">
      <alignment vertical="center"/>
    </xf>
    <xf numFmtId="0" fontId="32" fillId="0" borderId="1" xfId="17" applyFont="1" applyBorder="1" applyAlignment="1" applyProtection="1">
      <alignment horizontal="center" vertical="center" wrapText="1"/>
      <protection locked="0"/>
    </xf>
    <xf numFmtId="0" fontId="32" fillId="0" borderId="34" xfId="17" applyFont="1" applyBorder="1" applyAlignment="1" applyProtection="1">
      <alignment horizontal="center" vertical="center" wrapText="1"/>
      <protection locked="0"/>
    </xf>
    <xf numFmtId="0" fontId="4" fillId="0" borderId="83" xfId="18" applyFont="1" applyBorder="1" applyAlignment="1" applyProtection="1">
      <alignment vertical="top" wrapText="1"/>
      <protection hidden="1"/>
    </xf>
    <xf numFmtId="0" fontId="19" fillId="24" borderId="13" xfId="0" applyFont="1" applyFill="1" applyBorder="1" applyAlignment="1">
      <alignment horizontal="center" vertical="center"/>
    </xf>
    <xf numFmtId="0" fontId="12" fillId="3" borderId="0" xfId="0" applyFont="1" applyFill="1"/>
    <xf numFmtId="169" fontId="15" fillId="25" borderId="156" xfId="0" applyNumberFormat="1" applyFont="1" applyFill="1" applyBorder="1" applyAlignment="1">
      <alignment horizontal="center" vertical="center"/>
    </xf>
    <xf numFmtId="169" fontId="15" fillId="25" borderId="28" xfId="0" applyNumberFormat="1" applyFont="1" applyFill="1" applyBorder="1" applyAlignment="1">
      <alignment horizontal="center" vertical="center"/>
    </xf>
    <xf numFmtId="0" fontId="15" fillId="25" borderId="28" xfId="0" applyFont="1" applyFill="1" applyBorder="1" applyAlignment="1">
      <alignment horizontal="center" vertical="center"/>
    </xf>
    <xf numFmtId="169" fontId="16" fillId="25" borderId="28" xfId="4" applyNumberFormat="1" applyFont="1" applyFill="1" applyBorder="1" applyAlignment="1">
      <alignment horizontal="center" vertical="center"/>
    </xf>
    <xf numFmtId="173" fontId="16" fillId="25" borderId="29" xfId="4" applyNumberFormat="1" applyFont="1" applyFill="1" applyBorder="1" applyAlignment="1">
      <alignment horizontal="center" vertical="center"/>
    </xf>
    <xf numFmtId="165" fontId="4" fillId="5" borderId="1" xfId="1" applyNumberFormat="1" applyFont="1" applyFill="1" applyBorder="1" applyAlignment="1" applyProtection="1">
      <alignment vertical="center" wrapText="1"/>
      <protection hidden="1"/>
    </xf>
    <xf numFmtId="0" fontId="85" fillId="0" borderId="0" xfId="0" applyFont="1" applyAlignment="1" applyProtection="1">
      <alignment horizontal="left" vertical="center" wrapText="1"/>
      <protection hidden="1"/>
    </xf>
    <xf numFmtId="0" fontId="85" fillId="0" borderId="153" xfId="0" applyFont="1" applyBorder="1" applyAlignment="1" applyProtection="1">
      <alignment horizontal="left" vertical="center" wrapText="1"/>
      <protection hidden="1"/>
    </xf>
    <xf numFmtId="0" fontId="44" fillId="5" borderId="14" xfId="0" applyFont="1" applyFill="1" applyBorder="1" applyAlignment="1">
      <alignment vertical="center"/>
    </xf>
    <xf numFmtId="0" fontId="32" fillId="15" borderId="5" xfId="0" applyFont="1" applyFill="1" applyBorder="1" applyAlignment="1">
      <alignment vertical="center" wrapText="1"/>
    </xf>
    <xf numFmtId="0" fontId="64" fillId="15" borderId="10" xfId="0" applyFont="1" applyFill="1" applyBorder="1" applyAlignment="1">
      <alignment horizontal="center" vertical="center"/>
    </xf>
    <xf numFmtId="0" fontId="35" fillId="15" borderId="7" xfId="0" applyFont="1" applyFill="1" applyBorder="1" applyAlignment="1">
      <alignment vertical="center"/>
    </xf>
    <xf numFmtId="166" fontId="4" fillId="0" borderId="12" xfId="0" applyNumberFormat="1" applyFont="1" applyBorder="1" applyAlignment="1" applyProtection="1">
      <alignment horizontal="center" vertical="center" wrapText="1"/>
      <protection locked="0"/>
    </xf>
    <xf numFmtId="166" fontId="49" fillId="5" borderId="0" xfId="0" applyNumberFormat="1" applyFont="1" applyFill="1" applyAlignment="1">
      <alignment horizontal="center"/>
    </xf>
    <xf numFmtId="0" fontId="4" fillId="0" borderId="13" xfId="0" applyFont="1" applyBorder="1" applyAlignment="1">
      <alignment horizontal="center" vertical="center"/>
    </xf>
    <xf numFmtId="0" fontId="35" fillId="15" borderId="13" xfId="0" applyFont="1" applyFill="1" applyBorder="1" applyAlignment="1">
      <alignment horizontal="center" vertical="center"/>
    </xf>
    <xf numFmtId="0" fontId="15" fillId="0" borderId="16" xfId="0" applyFont="1" applyBorder="1" applyAlignment="1">
      <alignment horizontal="center"/>
    </xf>
    <xf numFmtId="166" fontId="15" fillId="0" borderId="2" xfId="0" applyNumberFormat="1" applyFont="1" applyBorder="1" applyAlignment="1">
      <alignment horizontal="center"/>
    </xf>
    <xf numFmtId="0" fontId="15" fillId="0" borderId="2" xfId="0" applyFont="1" applyBorder="1" applyAlignment="1">
      <alignment horizontal="left" wrapText="1"/>
    </xf>
    <xf numFmtId="1" fontId="15" fillId="0" borderId="2" xfId="0" applyNumberFormat="1" applyFont="1" applyBorder="1" applyAlignment="1">
      <alignment horizontal="center"/>
    </xf>
    <xf numFmtId="0" fontId="15" fillId="0" borderId="2" xfId="0" applyFont="1" applyBorder="1" applyAlignment="1">
      <alignment horizontal="left"/>
    </xf>
    <xf numFmtId="5" fontId="15" fillId="0" borderId="2" xfId="1" applyNumberFormat="1" applyFont="1" applyBorder="1" applyProtection="1"/>
    <xf numFmtId="164" fontId="15" fillId="0" borderId="2" xfId="0" applyNumberFormat="1" applyFont="1" applyBorder="1"/>
    <xf numFmtId="0" fontId="15" fillId="0" borderId="2" xfId="0" applyFont="1" applyBorder="1"/>
    <xf numFmtId="0" fontId="15" fillId="0" borderId="2" xfId="0" applyFont="1" applyBorder="1" applyAlignment="1">
      <alignment horizontal="center"/>
    </xf>
    <xf numFmtId="0" fontId="15" fillId="0" borderId="3" xfId="0" applyFont="1" applyBorder="1"/>
    <xf numFmtId="166" fontId="45" fillId="5" borderId="15" xfId="0" applyNumberFormat="1" applyFont="1" applyFill="1" applyBorder="1" applyAlignment="1">
      <alignment horizontal="left" vertical="center"/>
    </xf>
    <xf numFmtId="0" fontId="26" fillId="5" borderId="0" xfId="0" applyFont="1" applyFill="1" applyAlignment="1" applyProtection="1">
      <alignment vertical="center"/>
      <protection hidden="1"/>
    </xf>
    <xf numFmtId="166" fontId="47" fillId="5" borderId="0" xfId="0" applyNumberFormat="1" applyFont="1" applyFill="1" applyAlignment="1">
      <alignment horizontal="left"/>
    </xf>
    <xf numFmtId="166" fontId="44" fillId="5" borderId="0" xfId="0" applyNumberFormat="1" applyFont="1" applyFill="1" applyAlignment="1">
      <alignment horizontal="left"/>
    </xf>
    <xf numFmtId="0" fontId="26" fillId="5" borderId="0" xfId="0" applyFont="1" applyFill="1" applyAlignment="1">
      <alignment horizontal="left"/>
    </xf>
    <xf numFmtId="164" fontId="26" fillId="5" borderId="0" xfId="0" applyNumberFormat="1" applyFont="1" applyFill="1"/>
    <xf numFmtId="0" fontId="46" fillId="5" borderId="0" xfId="0" applyFont="1" applyFill="1" applyAlignment="1">
      <alignment horizontal="center" vertical="center"/>
    </xf>
    <xf numFmtId="0" fontId="4" fillId="0" borderId="0" xfId="0" applyFont="1" applyAlignment="1">
      <alignment vertical="center" wrapText="1"/>
    </xf>
    <xf numFmtId="0" fontId="46" fillId="5" borderId="0" xfId="0" applyFont="1" applyFill="1" applyAlignment="1">
      <alignment horizontal="left" vertical="center" wrapText="1"/>
    </xf>
    <xf numFmtId="0" fontId="26" fillId="5" borderId="0" xfId="0" applyFont="1" applyFill="1"/>
    <xf numFmtId="166" fontId="45" fillId="5" borderId="15" xfId="0" applyNumberFormat="1" applyFont="1" applyFill="1" applyBorder="1" applyAlignment="1">
      <alignment vertical="center"/>
    </xf>
    <xf numFmtId="14" fontId="26" fillId="5" borderId="0" xfId="0" applyNumberFormat="1" applyFont="1" applyFill="1" applyAlignment="1" applyProtection="1">
      <alignment vertical="center"/>
      <protection hidden="1"/>
    </xf>
    <xf numFmtId="166" fontId="44" fillId="5" borderId="0" xfId="0" applyNumberFormat="1" applyFont="1" applyFill="1"/>
    <xf numFmtId="0" fontId="26" fillId="5" borderId="0" xfId="0" applyFont="1" applyFill="1" applyAlignment="1">
      <alignment vertical="center"/>
    </xf>
    <xf numFmtId="0" fontId="26" fillId="5" borderId="0" xfId="0" applyFont="1" applyFill="1" applyAlignment="1">
      <alignment horizontal="left" vertical="center"/>
    </xf>
    <xf numFmtId="166" fontId="47" fillId="5" borderId="0" xfId="0" applyNumberFormat="1" applyFont="1" applyFill="1"/>
    <xf numFmtId="0" fontId="45" fillId="5" borderId="15" xfId="0" applyFont="1" applyFill="1" applyBorder="1" applyAlignment="1">
      <alignment horizontal="left" vertical="center"/>
    </xf>
    <xf numFmtId="0" fontId="49" fillId="5" borderId="15" xfId="0" applyFont="1" applyFill="1" applyBorder="1" applyAlignment="1">
      <alignment horizontal="center"/>
    </xf>
    <xf numFmtId="166" fontId="47" fillId="5" borderId="15" xfId="0" applyNumberFormat="1" applyFont="1" applyFill="1" applyBorder="1" applyAlignment="1">
      <alignment horizontal="left"/>
    </xf>
    <xf numFmtId="0" fontId="34" fillId="0" borderId="0" xfId="0" applyFont="1" applyAlignment="1" applyProtection="1">
      <alignment wrapText="1"/>
      <protection hidden="1"/>
    </xf>
    <xf numFmtId="0" fontId="34" fillId="0" borderId="4" xfId="0" applyFont="1" applyBorder="1" applyAlignment="1" applyProtection="1">
      <alignment wrapText="1"/>
      <protection hidden="1"/>
    </xf>
    <xf numFmtId="0" fontId="33" fillId="0" borderId="5" xfId="0" applyFont="1" applyBorder="1"/>
    <xf numFmtId="0" fontId="88" fillId="17" borderId="158" xfId="0" applyFont="1" applyFill="1" applyBorder="1" applyAlignment="1" applyProtection="1">
      <alignment horizontal="left" vertical="center" wrapText="1"/>
      <protection hidden="1"/>
    </xf>
    <xf numFmtId="0" fontId="15" fillId="0" borderId="157" xfId="0" applyFont="1" applyBorder="1"/>
    <xf numFmtId="43" fontId="15" fillId="0" borderId="39" xfId="1" applyFont="1" applyFill="1" applyBorder="1" applyAlignment="1" applyProtection="1">
      <alignment horizontal="right" vertical="center" wrapText="1" indent="1"/>
      <protection hidden="1"/>
    </xf>
    <xf numFmtId="0" fontId="15" fillId="0" borderId="160" xfId="0" applyFont="1" applyBorder="1" applyAlignment="1">
      <alignment vertical="center"/>
    </xf>
    <xf numFmtId="43" fontId="15" fillId="0" borderId="41" xfId="1" applyFont="1" applyFill="1" applyBorder="1" applyAlignment="1" applyProtection="1">
      <alignment horizontal="right" vertical="center" wrapText="1" indent="1"/>
      <protection hidden="1"/>
    </xf>
    <xf numFmtId="0" fontId="15" fillId="0" borderId="157" xfId="0" applyFont="1" applyBorder="1" applyAlignment="1">
      <alignment vertical="center"/>
    </xf>
    <xf numFmtId="43" fontId="15" fillId="0" borderId="163" xfId="1" applyFont="1" applyFill="1" applyBorder="1" applyAlignment="1" applyProtection="1">
      <alignment horizontal="right" vertical="center" wrapText="1" indent="1"/>
      <protection hidden="1"/>
    </xf>
    <xf numFmtId="0" fontId="15" fillId="0" borderId="164" xfId="0" applyFont="1" applyBorder="1" applyAlignment="1">
      <alignment vertical="center"/>
    </xf>
    <xf numFmtId="0" fontId="88" fillId="17" borderId="158" xfId="0" applyFont="1" applyFill="1" applyBorder="1" applyAlignment="1" applyProtection="1">
      <alignment horizontal="center" vertical="center"/>
      <protection hidden="1"/>
    </xf>
    <xf numFmtId="0" fontId="88" fillId="17" borderId="159" xfId="0" applyFont="1" applyFill="1" applyBorder="1" applyAlignment="1" applyProtection="1">
      <alignment horizontal="center" vertical="center" wrapText="1"/>
      <protection hidden="1"/>
    </xf>
    <xf numFmtId="0" fontId="88" fillId="17" borderId="158" xfId="0" applyFont="1" applyFill="1" applyBorder="1" applyAlignment="1" applyProtection="1">
      <alignment horizontal="center" vertical="center" wrapText="1"/>
      <protection hidden="1"/>
    </xf>
    <xf numFmtId="0" fontId="15" fillId="0" borderId="10" xfId="0" applyFont="1" applyBorder="1"/>
    <xf numFmtId="0" fontId="15" fillId="26" borderId="157" xfId="0" applyFont="1" applyFill="1" applyBorder="1"/>
    <xf numFmtId="169" fontId="87" fillId="0" borderId="157" xfId="0" applyNumberFormat="1" applyFont="1" applyBorder="1" applyAlignment="1">
      <alignment horizontal="right" vertical="center"/>
    </xf>
    <xf numFmtId="1" fontId="32" fillId="15" borderId="35" xfId="0" applyNumberFormat="1" applyFont="1" applyFill="1" applyBorder="1" applyAlignment="1">
      <alignment horizontal="center" vertical="center" wrapText="1"/>
    </xf>
    <xf numFmtId="166" fontId="32" fillId="15" borderId="35" xfId="0" applyNumberFormat="1" applyFont="1" applyFill="1" applyBorder="1" applyAlignment="1">
      <alignment horizontal="center" vertical="center" wrapText="1"/>
    </xf>
    <xf numFmtId="0" fontId="32" fillId="15" borderId="112" xfId="0" applyFont="1" applyFill="1" applyBorder="1" applyAlignment="1">
      <alignment horizontal="center" vertical="center" wrapText="1"/>
    </xf>
    <xf numFmtId="170" fontId="15" fillId="0" borderId="0" xfId="0" applyNumberFormat="1" applyFont="1" applyAlignment="1">
      <alignment vertical="center"/>
    </xf>
    <xf numFmtId="43" fontId="15" fillId="0" borderId="0" xfId="0" applyNumberFormat="1" applyFont="1" applyAlignment="1">
      <alignment vertical="center"/>
    </xf>
    <xf numFmtId="0" fontId="88" fillId="17" borderId="166" xfId="0" applyFont="1" applyFill="1" applyBorder="1" applyAlignment="1" applyProtection="1">
      <alignment horizontal="center" vertical="center" wrapText="1"/>
      <protection hidden="1"/>
    </xf>
    <xf numFmtId="170" fontId="15" fillId="0" borderId="167" xfId="0" applyNumberFormat="1" applyFont="1" applyBorder="1" applyAlignment="1">
      <alignment vertical="center"/>
    </xf>
    <xf numFmtId="43" fontId="15" fillId="0" borderId="168" xfId="0" applyNumberFormat="1" applyFont="1" applyBorder="1" applyAlignment="1">
      <alignment vertical="center"/>
    </xf>
    <xf numFmtId="43" fontId="15" fillId="0" borderId="169" xfId="0" applyNumberFormat="1" applyFont="1" applyBorder="1" applyAlignment="1">
      <alignment vertical="center"/>
    </xf>
    <xf numFmtId="0" fontId="88" fillId="17" borderId="161" xfId="0" applyFont="1" applyFill="1" applyBorder="1" applyAlignment="1" applyProtection="1">
      <alignment horizontal="center" vertical="center" wrapText="1"/>
      <protection hidden="1"/>
    </xf>
    <xf numFmtId="174" fontId="15" fillId="0" borderId="162" xfId="0" applyNumberFormat="1" applyFont="1" applyBorder="1" applyAlignment="1">
      <alignment vertical="center"/>
    </xf>
    <xf numFmtId="174" fontId="15" fillId="0" borderId="165" xfId="0" applyNumberFormat="1" applyFont="1" applyBorder="1" applyAlignment="1">
      <alignment vertical="center"/>
    </xf>
    <xf numFmtId="0" fontId="24" fillId="27" borderId="1" xfId="0" applyFont="1" applyFill="1" applyBorder="1" applyAlignment="1" applyProtection="1">
      <alignment vertical="top"/>
      <protection hidden="1"/>
    </xf>
    <xf numFmtId="0" fontId="24" fillId="27" borderId="1" xfId="0" applyFont="1" applyFill="1" applyBorder="1" applyProtection="1">
      <protection hidden="1"/>
    </xf>
    <xf numFmtId="0" fontId="32" fillId="15" borderId="6" xfId="0" applyFont="1" applyFill="1" applyBorder="1" applyAlignment="1">
      <alignment horizontal="left" vertical="center"/>
    </xf>
    <xf numFmtId="0" fontId="75" fillId="0" borderId="0" xfId="0" applyFont="1" applyAlignment="1" applyProtection="1">
      <alignment vertical="top" wrapText="1"/>
      <protection hidden="1"/>
    </xf>
    <xf numFmtId="167" fontId="4" fillId="16" borderId="42" xfId="1" applyNumberFormat="1" applyFont="1" applyFill="1" applyBorder="1" applyAlignment="1" applyProtection="1">
      <alignment horizontal="right" vertical="center" wrapText="1" indent="1"/>
      <protection hidden="1"/>
    </xf>
    <xf numFmtId="0" fontId="38" fillId="0" borderId="83" xfId="8" applyFont="1" applyBorder="1" applyProtection="1">
      <protection hidden="1"/>
    </xf>
    <xf numFmtId="0" fontId="36" fillId="0" borderId="0" xfId="8" applyFont="1" applyProtection="1">
      <protection hidden="1"/>
    </xf>
    <xf numFmtId="0" fontId="36" fillId="0" borderId="84" xfId="8" applyFont="1" applyBorder="1" applyProtection="1">
      <protection hidden="1"/>
    </xf>
    <xf numFmtId="0" fontId="20" fillId="0" borderId="0" xfId="8" applyFont="1" applyProtection="1">
      <protection hidden="1"/>
    </xf>
    <xf numFmtId="49" fontId="36" fillId="0" borderId="53" xfId="8" applyNumberFormat="1" applyFont="1" applyBorder="1" applyAlignment="1" applyProtection="1">
      <alignment horizontal="left" vertical="top" wrapText="1"/>
      <protection locked="0"/>
    </xf>
    <xf numFmtId="49" fontId="38" fillId="0" borderId="54" xfId="8" applyNumberFormat="1" applyFont="1" applyBorder="1" applyAlignment="1" applyProtection="1">
      <alignment horizontal="center" vertical="center" wrapText="1"/>
      <protection locked="0"/>
    </xf>
    <xf numFmtId="49" fontId="36" fillId="0" borderId="19" xfId="8" applyNumberFormat="1" applyFont="1" applyBorder="1" applyAlignment="1" applyProtection="1">
      <alignment horizontal="left" vertical="top" wrapText="1"/>
      <protection locked="0"/>
    </xf>
    <xf numFmtId="49" fontId="36" fillId="0" borderId="22" xfId="8" applyNumberFormat="1" applyFont="1" applyBorder="1" applyAlignment="1" applyProtection="1">
      <alignment horizontal="left" vertical="top" wrapText="1"/>
      <protection locked="0"/>
    </xf>
    <xf numFmtId="49" fontId="38" fillId="0" borderId="172" xfId="8" applyNumberFormat="1" applyFont="1" applyBorder="1" applyAlignment="1" applyProtection="1">
      <alignment horizontal="center" vertical="center" wrapText="1"/>
      <protection locked="0"/>
    </xf>
    <xf numFmtId="0" fontId="32" fillId="15" borderId="13" xfId="0" applyFont="1" applyFill="1" applyBorder="1" applyAlignment="1" applyProtection="1">
      <alignment horizontal="center" vertical="center" wrapText="1"/>
      <protection hidden="1"/>
    </xf>
    <xf numFmtId="0" fontId="51" fillId="16" borderId="173" xfId="0" applyFont="1" applyFill="1" applyBorder="1" applyAlignment="1" applyProtection="1">
      <alignment horizontal="center" vertical="center" wrapText="1"/>
      <protection hidden="1"/>
    </xf>
    <xf numFmtId="0" fontId="51" fillId="16" borderId="174" xfId="0" applyFont="1" applyFill="1" applyBorder="1" applyAlignment="1" applyProtection="1">
      <alignment horizontal="center" vertical="center" wrapText="1"/>
      <protection hidden="1"/>
    </xf>
    <xf numFmtId="0" fontId="20" fillId="15" borderId="85" xfId="0" applyFont="1" applyFill="1" applyBorder="1" applyAlignment="1">
      <alignment horizontal="center"/>
    </xf>
    <xf numFmtId="0" fontId="20" fillId="15" borderId="86" xfId="0" applyFont="1" applyFill="1" applyBorder="1" applyAlignment="1">
      <alignment horizontal="center"/>
    </xf>
    <xf numFmtId="0" fontId="20" fillId="15" borderId="87" xfId="0" applyFont="1" applyFill="1" applyBorder="1" applyAlignment="1">
      <alignment horizontal="center"/>
    </xf>
    <xf numFmtId="0" fontId="44" fillId="5" borderId="0" xfId="0" applyFont="1" applyFill="1" applyAlignment="1">
      <alignment horizontal="left" vertical="top"/>
    </xf>
    <xf numFmtId="0" fontId="4" fillId="5" borderId="0" xfId="0" applyFont="1" applyFill="1" applyAlignment="1">
      <alignment horizontal="left" vertical="top" wrapText="1"/>
    </xf>
    <xf numFmtId="0" fontId="4" fillId="5" borderId="84" xfId="0" applyFont="1" applyFill="1" applyBorder="1" applyAlignment="1">
      <alignment horizontal="left" vertical="top" wrapText="1"/>
    </xf>
    <xf numFmtId="0" fontId="20" fillId="5" borderId="16"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xf numFmtId="0" fontId="20" fillId="5" borderId="15" xfId="0" applyFont="1" applyFill="1" applyBorder="1" applyAlignment="1">
      <alignment horizontal="left" vertical="top" wrapText="1"/>
    </xf>
    <xf numFmtId="0" fontId="20" fillId="5" borderId="0" xfId="0" applyFont="1" applyFill="1" applyAlignment="1">
      <alignment horizontal="left" vertical="top" wrapText="1"/>
    </xf>
    <xf numFmtId="0" fontId="20" fillId="5" borderId="4" xfId="0" applyFont="1" applyFill="1" applyBorder="1" applyAlignment="1">
      <alignment horizontal="left" vertical="top" wrapText="1"/>
    </xf>
    <xf numFmtId="0" fontId="20" fillId="5" borderId="5" xfId="0" applyFont="1" applyFill="1" applyBorder="1" applyAlignment="1">
      <alignment horizontal="left" vertical="top" wrapText="1"/>
    </xf>
    <xf numFmtId="0" fontId="20" fillId="5" borderId="6" xfId="0" applyFont="1" applyFill="1" applyBorder="1" applyAlignment="1">
      <alignment horizontal="left" vertical="top" wrapText="1"/>
    </xf>
    <xf numFmtId="0" fontId="20" fillId="5" borderId="7" xfId="0" applyFont="1" applyFill="1" applyBorder="1" applyAlignment="1">
      <alignment horizontal="left" vertical="top" wrapText="1"/>
    </xf>
    <xf numFmtId="0" fontId="20" fillId="0" borderId="80" xfId="0" applyFont="1" applyBorder="1" applyAlignment="1">
      <alignment horizontal="center"/>
    </xf>
    <xf numFmtId="0" fontId="20" fillId="0" borderId="81" xfId="0" applyFont="1" applyBorder="1" applyAlignment="1">
      <alignment horizontal="center"/>
    </xf>
    <xf numFmtId="0" fontId="20" fillId="0" borderId="82" xfId="0" applyFont="1" applyBorder="1" applyAlignment="1">
      <alignment horizontal="center"/>
    </xf>
    <xf numFmtId="0" fontId="41" fillId="5" borderId="0" xfId="2" applyFont="1" applyFill="1" applyBorder="1" applyAlignment="1" applyProtection="1">
      <alignment horizontal="left" vertical="top" wrapText="1"/>
      <protection locked="0"/>
    </xf>
    <xf numFmtId="0" fontId="43" fillId="5" borderId="0" xfId="0" applyFont="1" applyFill="1" applyAlignment="1">
      <alignment horizontal="left" vertical="top" wrapText="1"/>
    </xf>
    <xf numFmtId="0" fontId="43" fillId="5" borderId="84" xfId="0" applyFont="1" applyFill="1" applyBorder="1" applyAlignment="1">
      <alignment horizontal="left" vertical="top" wrapText="1"/>
    </xf>
    <xf numFmtId="0" fontId="41" fillId="5" borderId="0" xfId="2" applyFont="1" applyFill="1" applyBorder="1" applyAlignment="1" applyProtection="1">
      <alignment horizontal="left" vertical="top" wrapText="1"/>
    </xf>
    <xf numFmtId="0" fontId="77" fillId="5" borderId="0" xfId="0" applyFont="1" applyFill="1" applyAlignment="1">
      <alignment horizontal="left" vertical="center"/>
    </xf>
    <xf numFmtId="0" fontId="33" fillId="5" borderId="0" xfId="0" applyFont="1" applyFill="1" applyAlignment="1">
      <alignment horizontal="left" vertical="center"/>
    </xf>
    <xf numFmtId="0" fontId="4" fillId="0" borderId="6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166" fontId="32" fillId="15" borderId="109" xfId="0" applyNumberFormat="1" applyFont="1" applyFill="1" applyBorder="1" applyAlignment="1">
      <alignment horizontal="left" vertical="center"/>
    </xf>
    <xf numFmtId="166" fontId="32" fillId="15" borderId="110" xfId="0" applyNumberFormat="1" applyFont="1" applyFill="1" applyBorder="1" applyAlignment="1">
      <alignment horizontal="left" vertical="center"/>
    </xf>
    <xf numFmtId="0" fontId="32" fillId="15" borderId="37" xfId="0" applyFont="1" applyFill="1" applyBorder="1" applyAlignment="1">
      <alignment horizontal="center" vertical="center" wrapText="1"/>
    </xf>
    <xf numFmtId="0" fontId="32" fillId="15" borderId="38" xfId="0" applyFont="1" applyFill="1" applyBorder="1" applyAlignment="1">
      <alignment horizontal="center" vertical="center" wrapText="1"/>
    </xf>
    <xf numFmtId="164" fontId="50" fillId="5" borderId="47" xfId="0" applyNumberFormat="1" applyFont="1" applyFill="1" applyBorder="1" applyAlignment="1">
      <alignment horizontal="center" vertical="center" wrapText="1"/>
    </xf>
    <xf numFmtId="164" fontId="50" fillId="5" borderId="0" xfId="0" applyNumberFormat="1" applyFont="1" applyFill="1" applyAlignment="1">
      <alignment horizontal="center" vertical="center" wrapText="1"/>
    </xf>
    <xf numFmtId="14" fontId="26" fillId="5" borderId="110" xfId="0" applyNumberFormat="1" applyFont="1" applyFill="1" applyBorder="1" applyAlignment="1" applyProtection="1">
      <alignment horizontal="left" vertical="center"/>
      <protection locked="0"/>
    </xf>
    <xf numFmtId="14" fontId="26" fillId="5" borderId="111" xfId="0" applyNumberFormat="1" applyFont="1" applyFill="1" applyBorder="1" applyAlignment="1" applyProtection="1">
      <alignment horizontal="left" vertical="center"/>
      <protection locked="0"/>
    </xf>
    <xf numFmtId="0" fontId="49" fillId="5" borderId="0" xfId="0" applyFont="1" applyFill="1" applyAlignment="1">
      <alignment horizontal="center" vertical="center"/>
    </xf>
    <xf numFmtId="0" fontId="38" fillId="16" borderId="170" xfId="0" applyFont="1" applyFill="1" applyBorder="1" applyAlignment="1">
      <alignment horizontal="left" vertical="center" wrapText="1"/>
    </xf>
    <xf numFmtId="0" fontId="38" fillId="16" borderId="81" xfId="0" applyFont="1" applyFill="1" applyBorder="1" applyAlignment="1">
      <alignment horizontal="left" vertical="center" wrapText="1"/>
    </xf>
    <xf numFmtId="0" fontId="38" fillId="16" borderId="82" xfId="0" applyFont="1" applyFill="1" applyBorder="1" applyAlignment="1">
      <alignment horizontal="left" vertical="center" wrapText="1"/>
    </xf>
    <xf numFmtId="0" fontId="52" fillId="16" borderId="5" xfId="0" applyFont="1" applyFill="1" applyBorder="1" applyAlignment="1">
      <alignment horizontal="left" vertical="top" wrapText="1"/>
    </xf>
    <xf numFmtId="0" fontId="52" fillId="16" borderId="6" xfId="0" applyFont="1" applyFill="1" applyBorder="1" applyAlignment="1">
      <alignment horizontal="left" vertical="top" wrapText="1"/>
    </xf>
    <xf numFmtId="0" fontId="52" fillId="16" borderId="7" xfId="0" applyFont="1" applyFill="1" applyBorder="1" applyAlignment="1">
      <alignment horizontal="left" vertical="top" wrapText="1"/>
    </xf>
    <xf numFmtId="0" fontId="4" fillId="15" borderId="14" xfId="0" applyFont="1" applyFill="1" applyBorder="1" applyAlignment="1">
      <alignment horizontal="center"/>
    </xf>
    <xf numFmtId="0" fontId="4" fillId="15" borderId="12" xfId="0" applyFont="1" applyFill="1" applyBorder="1" applyAlignment="1">
      <alignment horizontal="center"/>
    </xf>
    <xf numFmtId="0" fontId="4" fillId="15" borderId="17" xfId="0" applyFont="1" applyFill="1" applyBorder="1" applyAlignment="1">
      <alignment horizontal="center"/>
    </xf>
    <xf numFmtId="0" fontId="4" fillId="16" borderId="15" xfId="0" applyFont="1" applyFill="1" applyBorder="1" applyAlignment="1">
      <alignment horizontal="left" vertical="top" wrapText="1"/>
    </xf>
    <xf numFmtId="0" fontId="4" fillId="16" borderId="0" xfId="0" applyFont="1" applyFill="1" applyAlignment="1">
      <alignment horizontal="left" vertical="top" wrapText="1"/>
    </xf>
    <xf numFmtId="0" fontId="4" fillId="16" borderId="84" xfId="0" applyFont="1" applyFill="1" applyBorder="1" applyAlignment="1">
      <alignment horizontal="left" vertical="top" wrapText="1"/>
    </xf>
    <xf numFmtId="0" fontId="32" fillId="15" borderId="12" xfId="0" applyFont="1" applyFill="1" applyBorder="1" applyAlignment="1">
      <alignment horizontal="center" vertical="center" wrapText="1"/>
    </xf>
    <xf numFmtId="0" fontId="32" fillId="15" borderId="17" xfId="0" applyFont="1" applyFill="1" applyBorder="1" applyAlignment="1">
      <alignment horizontal="center" vertical="center" wrapText="1"/>
    </xf>
    <xf numFmtId="0" fontId="26" fillId="5" borderId="105" xfId="0" applyFont="1" applyFill="1" applyBorder="1" applyAlignment="1" applyProtection="1">
      <alignment horizontal="left" vertical="center"/>
      <protection locked="0"/>
    </xf>
    <xf numFmtId="0" fontId="26" fillId="5" borderId="106" xfId="0" applyFont="1" applyFill="1" applyBorder="1" applyAlignment="1" applyProtection="1">
      <alignment horizontal="left" vertical="center"/>
      <protection locked="0"/>
    </xf>
    <xf numFmtId="166" fontId="32" fillId="15" borderId="104" xfId="0" applyNumberFormat="1" applyFont="1" applyFill="1" applyBorder="1" applyAlignment="1">
      <alignment horizontal="left" vertical="center"/>
    </xf>
    <xf numFmtId="166" fontId="32" fillId="15" borderId="105" xfId="0" applyNumberFormat="1" applyFont="1" applyFill="1" applyBorder="1" applyAlignment="1">
      <alignment horizontal="left" vertical="center"/>
    </xf>
    <xf numFmtId="0" fontId="33" fillId="0" borderId="6" xfId="0" applyFont="1" applyBorder="1" applyAlignment="1">
      <alignment horizontal="center"/>
    </xf>
    <xf numFmtId="0" fontId="33" fillId="0" borderId="7" xfId="0" applyFont="1" applyBorder="1" applyAlignment="1">
      <alignment horizontal="center"/>
    </xf>
    <xf numFmtId="0" fontId="26" fillId="5" borderId="0" xfId="0" applyFont="1" applyFill="1" applyAlignment="1">
      <alignment horizontal="center"/>
    </xf>
    <xf numFmtId="0" fontId="26" fillId="5" borderId="4" xfId="0" applyFont="1" applyFill="1" applyBorder="1" applyAlignment="1">
      <alignment horizontal="center"/>
    </xf>
    <xf numFmtId="1" fontId="4" fillId="0" borderId="37" xfId="0" applyNumberFormat="1" applyFont="1" applyBorder="1" applyAlignment="1" applyProtection="1">
      <alignment horizontal="left" vertical="center" wrapText="1"/>
      <protection locked="0"/>
    </xf>
    <xf numFmtId="1" fontId="4" fillId="0" borderId="12" xfId="0" applyNumberFormat="1" applyFont="1" applyBorder="1" applyAlignment="1" applyProtection="1">
      <alignment horizontal="left" vertical="center" wrapText="1"/>
      <protection locked="0"/>
    </xf>
    <xf numFmtId="1" fontId="4" fillId="0" borderId="17" xfId="0" applyNumberFormat="1" applyFont="1" applyBorder="1" applyAlignment="1" applyProtection="1">
      <alignment horizontal="left" vertical="center" wrapText="1"/>
      <protection locked="0"/>
    </xf>
    <xf numFmtId="0" fontId="34" fillId="16" borderId="14" xfId="0" applyFont="1" applyFill="1" applyBorder="1" applyAlignment="1" applyProtection="1">
      <alignment horizontal="center" vertical="center" wrapText="1"/>
      <protection hidden="1"/>
    </xf>
    <xf numFmtId="0" fontId="34" fillId="16" borderId="17" xfId="0" applyFont="1" applyFill="1" applyBorder="1" applyAlignment="1" applyProtection="1">
      <alignment horizontal="center" vertical="center" wrapText="1"/>
      <protection hidden="1"/>
    </xf>
    <xf numFmtId="0" fontId="32" fillId="15" borderId="14" xfId="0" applyFont="1" applyFill="1" applyBorder="1" applyAlignment="1">
      <alignment horizontal="center" vertical="center" wrapText="1"/>
    </xf>
    <xf numFmtId="49" fontId="58" fillId="0" borderId="99" xfId="8" applyNumberFormat="1" applyFont="1" applyBorder="1" applyAlignment="1" applyProtection="1">
      <alignment horizontal="left" vertical="top" wrapText="1"/>
      <protection locked="0"/>
    </xf>
    <xf numFmtId="49" fontId="58" fillId="0" borderId="34" xfId="8" applyNumberFormat="1" applyFont="1" applyBorder="1" applyAlignment="1" applyProtection="1">
      <alignment horizontal="left" vertical="top" wrapText="1"/>
      <protection locked="0"/>
    </xf>
    <xf numFmtId="49" fontId="58" fillId="0" borderId="93" xfId="8" applyNumberFormat="1" applyFont="1" applyBorder="1" applyAlignment="1" applyProtection="1">
      <alignment horizontal="left" vertical="top" wrapText="1"/>
      <protection locked="0"/>
    </xf>
    <xf numFmtId="0" fontId="36" fillId="0" borderId="51" xfId="8" applyFont="1" applyBorder="1" applyAlignment="1" applyProtection="1">
      <alignment horizontal="left" vertical="top" wrapText="1"/>
      <protection locked="0" hidden="1"/>
    </xf>
    <xf numFmtId="0" fontId="36" fillId="0" borderId="34" xfId="8" applyFont="1" applyBorder="1" applyAlignment="1" applyProtection="1">
      <alignment horizontal="left" vertical="top"/>
      <protection locked="0" hidden="1"/>
    </xf>
    <xf numFmtId="0" fontId="36" fillId="0" borderId="32" xfId="8" applyFont="1" applyBorder="1" applyAlignment="1" applyProtection="1">
      <alignment horizontal="left" vertical="top"/>
      <protection locked="0" hidden="1"/>
    </xf>
    <xf numFmtId="0" fontId="4" fillId="0" borderId="83" xfId="8" applyFont="1" applyBorder="1" applyAlignment="1" applyProtection="1">
      <alignment horizontal="left" vertical="top"/>
      <protection hidden="1"/>
    </xf>
    <xf numFmtId="0" fontId="4" fillId="0" borderId="0" xfId="8" applyFont="1" applyAlignment="1" applyProtection="1">
      <alignment horizontal="left" vertical="top"/>
      <protection hidden="1"/>
    </xf>
    <xf numFmtId="0" fontId="4" fillId="0" borderId="4" xfId="8" applyFont="1" applyBorder="1" applyAlignment="1" applyProtection="1">
      <alignment horizontal="left" vertical="top"/>
      <protection hidden="1"/>
    </xf>
    <xf numFmtId="0" fontId="4" fillId="0" borderId="0" xfId="0" applyFont="1" applyAlignment="1" applyProtection="1">
      <alignment horizontal="left" vertical="center" wrapText="1"/>
      <protection hidden="1"/>
    </xf>
    <xf numFmtId="0" fontId="4" fillId="0" borderId="63" xfId="0" applyFont="1" applyBorder="1" applyAlignment="1" applyProtection="1">
      <alignment horizontal="left" vertical="center" wrapText="1"/>
      <protection hidden="1"/>
    </xf>
    <xf numFmtId="0" fontId="4" fillId="0" borderId="0" xfId="8" applyFont="1" applyAlignment="1" applyProtection="1">
      <alignment horizontal="right" vertical="top" wrapText="1"/>
      <protection hidden="1"/>
    </xf>
    <xf numFmtId="0" fontId="4" fillId="0" borderId="84" xfId="8" applyFont="1" applyBorder="1" applyAlignment="1" applyProtection="1">
      <alignment horizontal="right" vertical="top" wrapText="1"/>
      <protection hidden="1"/>
    </xf>
    <xf numFmtId="0" fontId="4" fillId="0" borderId="83" xfId="8" applyFont="1" applyBorder="1" applyAlignment="1" applyProtection="1">
      <alignment horizontal="left" vertical="top" wrapText="1"/>
      <protection hidden="1"/>
    </xf>
    <xf numFmtId="0" fontId="4" fillId="0" borderId="0" xfId="8" applyFont="1" applyAlignment="1" applyProtection="1">
      <alignment horizontal="left" vertical="top" wrapText="1"/>
      <protection hidden="1"/>
    </xf>
    <xf numFmtId="0" fontId="4" fillId="0" borderId="84" xfId="8" applyFont="1" applyBorder="1" applyAlignment="1" applyProtection="1">
      <alignment horizontal="left" vertical="top" wrapText="1"/>
      <protection hidden="1"/>
    </xf>
    <xf numFmtId="49" fontId="36" fillId="0" borderId="99" xfId="8" applyNumberFormat="1" applyFont="1" applyBorder="1" applyAlignment="1" applyProtection="1">
      <alignment horizontal="left" vertical="top" wrapText="1"/>
      <protection locked="0"/>
    </xf>
    <xf numFmtId="49" fontId="36" fillId="0" borderId="34" xfId="8" applyNumberFormat="1" applyFont="1" applyBorder="1" applyAlignment="1" applyProtection="1">
      <alignment horizontal="left" vertical="top" wrapText="1"/>
      <protection locked="0"/>
    </xf>
    <xf numFmtId="49" fontId="36" fillId="0" borderId="93" xfId="8" applyNumberFormat="1" applyFont="1" applyBorder="1" applyAlignment="1" applyProtection="1">
      <alignment horizontal="left" vertical="top" wrapText="1"/>
      <protection locked="0"/>
    </xf>
    <xf numFmtId="0" fontId="52" fillId="8" borderId="25" xfId="10" applyFont="1" applyFill="1" applyBorder="1" applyAlignment="1" applyProtection="1">
      <alignment horizontal="center" vertical="center" wrapText="1"/>
      <protection hidden="1"/>
    </xf>
    <xf numFmtId="0" fontId="52" fillId="8" borderId="19" xfId="10" applyFont="1" applyFill="1" applyBorder="1" applyAlignment="1" applyProtection="1">
      <alignment horizontal="center" vertical="center" wrapText="1"/>
      <protection hidden="1"/>
    </xf>
    <xf numFmtId="0" fontId="52" fillId="8" borderId="107" xfId="10" applyFont="1" applyFill="1" applyBorder="1" applyAlignment="1" applyProtection="1">
      <alignment horizontal="center" vertical="center"/>
      <protection hidden="1"/>
    </xf>
    <xf numFmtId="0" fontId="52" fillId="8" borderId="109" xfId="10" applyFont="1" applyFill="1" applyBorder="1" applyAlignment="1" applyProtection="1">
      <alignment horizontal="center" vertical="center"/>
      <protection hidden="1"/>
    </xf>
    <xf numFmtId="0" fontId="4" fillId="0" borderId="83" xfId="8" applyFont="1" applyBorder="1" applyProtection="1">
      <protection hidden="1"/>
    </xf>
    <xf numFmtId="0" fontId="4" fillId="0" borderId="0" xfId="8" applyFont="1" applyProtection="1">
      <protection hidden="1"/>
    </xf>
    <xf numFmtId="0" fontId="4" fillId="0" borderId="84" xfId="8" applyFont="1" applyBorder="1" applyProtection="1">
      <protection hidden="1"/>
    </xf>
    <xf numFmtId="49" fontId="36" fillId="0" borderId="1" xfId="8" applyNumberFormat="1" applyFont="1" applyBorder="1" applyAlignment="1" applyProtection="1">
      <alignment horizontal="left" vertical="top" wrapText="1"/>
      <protection locked="0"/>
    </xf>
    <xf numFmtId="49" fontId="36" fillId="0" borderId="21" xfId="8" applyNumberFormat="1" applyFont="1" applyBorder="1" applyAlignment="1" applyProtection="1">
      <alignment horizontal="left" vertical="top" wrapText="1"/>
      <protection locked="0"/>
    </xf>
    <xf numFmtId="0" fontId="26" fillId="0" borderId="97" xfId="8" applyFont="1" applyBorder="1" applyAlignment="1" applyProtection="1">
      <alignment horizontal="left" vertical="center" wrapText="1"/>
      <protection hidden="1"/>
    </xf>
    <xf numFmtId="0" fontId="26" fillId="0" borderId="48" xfId="8" applyFont="1" applyBorder="1" applyAlignment="1" applyProtection="1">
      <alignment horizontal="left" vertical="center" wrapText="1"/>
      <protection hidden="1"/>
    </xf>
    <xf numFmtId="0" fontId="26" fillId="0" borderId="96" xfId="8" applyFont="1" applyBorder="1" applyAlignment="1" applyProtection="1">
      <alignment horizontal="left" vertical="center" wrapText="1"/>
      <protection hidden="1"/>
    </xf>
    <xf numFmtId="49" fontId="36" fillId="0" borderId="1" xfId="8" applyNumberFormat="1" applyFont="1" applyBorder="1" applyAlignment="1" applyProtection="1">
      <alignment vertical="center" wrapText="1"/>
      <protection locked="0"/>
    </xf>
    <xf numFmtId="49" fontId="43" fillId="0" borderId="1" xfId="2" applyNumberFormat="1" applyFont="1" applyBorder="1" applyAlignment="1">
      <alignment horizontal="left" vertical="center" wrapText="1"/>
      <protection locked="0"/>
    </xf>
    <xf numFmtId="49" fontId="42" fillId="0" borderId="1" xfId="8" applyNumberFormat="1" applyFont="1" applyBorder="1" applyAlignment="1" applyProtection="1">
      <alignment horizontal="left" vertical="center" wrapText="1"/>
      <protection locked="0"/>
    </xf>
    <xf numFmtId="0" fontId="4" fillId="0" borderId="83" xfId="8" applyFont="1" applyBorder="1" applyAlignment="1" applyProtection="1">
      <alignment horizontal="left" wrapText="1"/>
      <protection hidden="1"/>
    </xf>
    <xf numFmtId="0" fontId="4" fillId="0" borderId="0" xfId="8" applyFont="1" applyAlignment="1" applyProtection="1">
      <alignment horizontal="left" wrapText="1"/>
      <protection hidden="1"/>
    </xf>
    <xf numFmtId="0" fontId="4" fillId="0" borderId="84" xfId="8" applyFont="1" applyBorder="1" applyAlignment="1" applyProtection="1">
      <alignment horizontal="left" wrapText="1"/>
      <protection hidden="1"/>
    </xf>
    <xf numFmtId="49" fontId="36" fillId="0" borderId="23" xfId="8" applyNumberFormat="1" applyFont="1" applyBorder="1" applyAlignment="1" applyProtection="1">
      <alignment horizontal="left" vertical="top" wrapText="1"/>
      <protection locked="0"/>
    </xf>
    <xf numFmtId="49" fontId="36" fillId="0" borderId="24" xfId="8" applyNumberFormat="1" applyFont="1" applyBorder="1" applyAlignment="1" applyProtection="1">
      <alignment horizontal="left" vertical="top" wrapText="1"/>
      <protection locked="0"/>
    </xf>
    <xf numFmtId="0" fontId="4" fillId="0" borderId="83" xfId="8" applyFont="1" applyBorder="1" applyAlignment="1" applyProtection="1">
      <alignment horizontal="left" vertical="center" wrapText="1"/>
      <protection hidden="1"/>
    </xf>
    <xf numFmtId="0" fontId="4" fillId="0" borderId="0" xfId="8" applyFont="1" applyAlignment="1" applyProtection="1">
      <alignment horizontal="left" vertical="center" wrapText="1"/>
      <protection hidden="1"/>
    </xf>
    <xf numFmtId="0" fontId="4" fillId="0" borderId="84" xfId="8" applyFont="1" applyBorder="1" applyAlignment="1" applyProtection="1">
      <alignment horizontal="left" vertical="center" wrapText="1"/>
      <protection hidden="1"/>
    </xf>
    <xf numFmtId="0" fontId="32" fillId="17" borderId="66" xfId="10" applyFont="1" applyFill="1" applyBorder="1" applyAlignment="1" applyProtection="1">
      <alignment horizontal="center" vertical="center" wrapText="1"/>
      <protection hidden="1"/>
    </xf>
    <xf numFmtId="0" fontId="32" fillId="17" borderId="67" xfId="10" applyFont="1" applyFill="1" applyBorder="1" applyAlignment="1" applyProtection="1">
      <alignment horizontal="center" vertical="center" wrapText="1"/>
      <protection hidden="1"/>
    </xf>
    <xf numFmtId="49" fontId="36" fillId="0" borderId="54" xfId="8" applyNumberFormat="1" applyFont="1" applyBorder="1" applyAlignment="1" applyProtection="1">
      <alignment horizontal="left" vertical="top" wrapText="1"/>
      <protection locked="0"/>
    </xf>
    <xf numFmtId="49" fontId="36" fillId="0" borderId="55" xfId="8" applyNumberFormat="1" applyFont="1" applyBorder="1" applyAlignment="1" applyProtection="1">
      <alignment horizontal="left" vertical="top" wrapText="1"/>
      <protection locked="0"/>
    </xf>
    <xf numFmtId="49" fontId="36" fillId="0" borderId="98" xfId="8" applyNumberFormat="1" applyFont="1" applyBorder="1" applyAlignment="1" applyProtection="1">
      <alignment horizontal="left" vertical="top" wrapText="1"/>
      <protection locked="0"/>
    </xf>
    <xf numFmtId="49" fontId="36" fillId="0" borderId="94" xfId="8" applyNumberFormat="1" applyFont="1" applyBorder="1" applyAlignment="1" applyProtection="1">
      <alignment horizontal="left" vertical="top" wrapText="1"/>
      <protection locked="0"/>
    </xf>
    <xf numFmtId="0" fontId="38" fillId="0" borderId="83" xfId="8" applyFont="1" applyBorder="1" applyAlignment="1" applyProtection="1">
      <alignment horizontal="left" wrapText="1"/>
      <protection hidden="1"/>
    </xf>
    <xf numFmtId="0" fontId="38" fillId="0" borderId="0" xfId="8" applyFont="1" applyAlignment="1" applyProtection="1">
      <alignment horizontal="left" wrapText="1"/>
      <protection hidden="1"/>
    </xf>
    <xf numFmtId="0" fontId="57" fillId="0" borderId="0" xfId="0" applyFont="1" applyAlignment="1" applyProtection="1">
      <alignment horizontal="center" vertical="center" wrapText="1"/>
      <protection hidden="1"/>
    </xf>
    <xf numFmtId="0" fontId="38" fillId="0" borderId="0" xfId="0" applyFont="1" applyAlignment="1" applyProtection="1">
      <alignment horizontal="left" vertical="center" wrapText="1"/>
      <protection hidden="1"/>
    </xf>
    <xf numFmtId="0" fontId="34" fillId="0" borderId="0" xfId="0" applyFont="1" applyAlignment="1" applyProtection="1">
      <alignment horizontal="left" vertical="center" wrapText="1"/>
      <protection hidden="1"/>
    </xf>
    <xf numFmtId="0" fontId="4" fillId="0" borderId="97" xfId="8" applyFont="1" applyBorder="1" applyAlignment="1" applyProtection="1">
      <alignment horizontal="left" vertical="top" wrapText="1"/>
      <protection hidden="1"/>
    </xf>
    <xf numFmtId="0" fontId="4" fillId="0" borderId="48" xfId="8" applyFont="1" applyBorder="1" applyAlignment="1" applyProtection="1">
      <alignment horizontal="left" vertical="top" wrapText="1"/>
      <protection hidden="1"/>
    </xf>
    <xf numFmtId="0" fontId="4" fillId="0" borderId="96" xfId="8" applyFont="1" applyBorder="1" applyAlignment="1" applyProtection="1">
      <alignment horizontal="left" vertical="top" wrapText="1"/>
      <protection hidden="1"/>
    </xf>
    <xf numFmtId="49" fontId="36" fillId="0" borderId="1" xfId="8" applyNumberFormat="1" applyFont="1" applyBorder="1" applyAlignment="1" applyProtection="1">
      <alignment horizontal="left" vertical="center" wrapText="1"/>
      <protection locked="0"/>
    </xf>
    <xf numFmtId="49" fontId="36" fillId="0" borderId="64" xfId="8" applyNumberFormat="1" applyFont="1" applyBorder="1" applyAlignment="1" applyProtection="1">
      <alignment horizontal="left" vertical="center" wrapText="1"/>
      <protection locked="0"/>
    </xf>
    <xf numFmtId="0" fontId="54" fillId="0" borderId="83" xfId="8" applyFont="1" applyBorder="1" applyAlignment="1" applyProtection="1">
      <alignment horizontal="left" vertical="center" wrapText="1"/>
      <protection hidden="1"/>
    </xf>
    <xf numFmtId="0" fontId="54" fillId="0" borderId="0" xfId="8" applyFont="1" applyAlignment="1" applyProtection="1">
      <alignment horizontal="left" vertical="center" wrapText="1"/>
      <protection hidden="1"/>
    </xf>
    <xf numFmtId="0" fontId="54" fillId="0" borderId="84" xfId="8" applyFont="1" applyBorder="1" applyAlignment="1" applyProtection="1">
      <alignment horizontal="left" vertical="center" wrapText="1"/>
      <protection hidden="1"/>
    </xf>
    <xf numFmtId="49" fontId="37" fillId="0" borderId="18" xfId="8" applyNumberFormat="1" applyFont="1" applyBorder="1" applyAlignment="1" applyProtection="1">
      <alignment horizontal="left" vertical="center" wrapText="1"/>
      <protection locked="0"/>
    </xf>
    <xf numFmtId="49" fontId="37" fillId="0" borderId="34" xfId="8" applyNumberFormat="1" applyFont="1" applyBorder="1" applyAlignment="1" applyProtection="1">
      <alignment horizontal="left" vertical="center" wrapText="1"/>
      <protection locked="0"/>
    </xf>
    <xf numFmtId="49" fontId="37" fillId="0" borderId="93" xfId="8" applyNumberFormat="1" applyFont="1" applyBorder="1" applyAlignment="1" applyProtection="1">
      <alignment horizontal="left" vertical="center" wrapText="1"/>
      <protection locked="0"/>
    </xf>
    <xf numFmtId="0" fontId="37" fillId="16" borderId="18" xfId="8" applyFont="1" applyFill="1" applyBorder="1" applyAlignment="1">
      <alignment horizontal="left" vertical="center" wrapText="1"/>
    </xf>
    <xf numFmtId="0" fontId="37" fillId="16" borderId="34" xfId="8" applyFont="1" applyFill="1" applyBorder="1" applyAlignment="1">
      <alignment horizontal="left" vertical="center" wrapText="1"/>
    </xf>
    <xf numFmtId="0" fontId="37" fillId="16" borderId="93" xfId="8" applyFont="1" applyFill="1" applyBorder="1" applyAlignment="1">
      <alignment horizontal="left" vertical="center" wrapText="1"/>
    </xf>
    <xf numFmtId="49" fontId="4" fillId="0" borderId="83" xfId="8" applyNumberFormat="1" applyFont="1" applyBorder="1" applyAlignment="1">
      <alignment horizontal="left" vertical="top" wrapText="1"/>
    </xf>
    <xf numFmtId="49" fontId="4" fillId="0" borderId="0" xfId="8" applyNumberFormat="1" applyFont="1" applyAlignment="1">
      <alignment horizontal="left" vertical="top" wrapText="1"/>
    </xf>
    <xf numFmtId="49" fontId="4" fillId="0" borderId="97" xfId="8" applyNumberFormat="1" applyFont="1" applyBorder="1" applyAlignment="1">
      <alignment horizontal="left" vertical="top" wrapText="1"/>
    </xf>
    <xf numFmtId="49" fontId="4" fillId="0" borderId="48" xfId="8" applyNumberFormat="1" applyFont="1" applyBorder="1" applyAlignment="1">
      <alignment horizontal="left" vertical="top" wrapText="1"/>
    </xf>
    <xf numFmtId="0" fontId="85" fillId="0" borderId="0" xfId="0" applyFont="1" applyAlignment="1" applyProtection="1">
      <alignment horizontal="left" vertical="center" wrapText="1"/>
      <protection hidden="1"/>
    </xf>
    <xf numFmtId="0" fontId="85" fillId="0" borderId="153" xfId="0" applyFont="1" applyBorder="1" applyAlignment="1" applyProtection="1">
      <alignment horizontal="left" vertical="center" wrapText="1"/>
      <protection hidden="1"/>
    </xf>
    <xf numFmtId="0" fontId="84" fillId="0" borderId="152" xfId="0" applyFont="1" applyBorder="1" applyAlignment="1" applyProtection="1">
      <alignment horizontal="left" wrapText="1"/>
      <protection hidden="1"/>
    </xf>
    <xf numFmtId="0" fontId="75" fillId="0" borderId="0" xfId="0" applyFont="1" applyAlignment="1" applyProtection="1">
      <alignment horizontal="left" vertical="top" wrapText="1"/>
      <protection hidden="1"/>
    </xf>
    <xf numFmtId="0" fontId="81" fillId="15" borderId="0" xfId="0" applyFont="1" applyFill="1" applyAlignment="1" applyProtection="1">
      <alignment horizontal="left" vertical="center" wrapText="1"/>
      <protection hidden="1"/>
    </xf>
    <xf numFmtId="0" fontId="4" fillId="0" borderId="0" xfId="18" applyFont="1" applyAlignment="1" applyProtection="1">
      <alignment horizontal="left" vertical="top" wrapText="1"/>
      <protection hidden="1"/>
    </xf>
    <xf numFmtId="0" fontId="4" fillId="0" borderId="83" xfId="18" applyFont="1" applyBorder="1" applyAlignment="1" applyProtection="1">
      <alignment horizontal="left" vertical="center" wrapText="1"/>
      <protection hidden="1"/>
    </xf>
    <xf numFmtId="0" fontId="37" fillId="0" borderId="83" xfId="18" applyFont="1" applyBorder="1" applyAlignment="1" applyProtection="1">
      <alignment horizontal="left" vertical="center" wrapText="1"/>
      <protection hidden="1"/>
    </xf>
    <xf numFmtId="0" fontId="37" fillId="0" borderId="0" xfId="18" applyFont="1" applyAlignment="1" applyProtection="1">
      <alignment horizontal="left" vertical="center" wrapText="1"/>
      <protection hidden="1"/>
    </xf>
    <xf numFmtId="0" fontId="37" fillId="0" borderId="84" xfId="18" applyFont="1" applyBorder="1" applyAlignment="1" applyProtection="1">
      <alignment horizontal="left" vertical="center" wrapText="1"/>
      <protection hidden="1"/>
    </xf>
    <xf numFmtId="0" fontId="36" fillId="0" borderId="1" xfId="18" applyFont="1" applyBorder="1" applyAlignment="1" applyProtection="1">
      <alignment horizontal="left" vertical="center" wrapText="1"/>
      <protection hidden="1"/>
    </xf>
    <xf numFmtId="0" fontId="36" fillId="0" borderId="94" xfId="18" applyFont="1" applyBorder="1" applyAlignment="1" applyProtection="1">
      <alignment horizontal="left" vertical="center" wrapText="1"/>
      <protection hidden="1"/>
    </xf>
    <xf numFmtId="0" fontId="26" fillId="0" borderId="18" xfId="17" applyFont="1" applyBorder="1" applyAlignment="1" applyProtection="1">
      <alignment horizontal="left" vertical="top" wrapText="1"/>
      <protection locked="0"/>
    </xf>
    <xf numFmtId="0" fontId="26" fillId="0" borderId="34" xfId="17" applyFont="1" applyBorder="1" applyAlignment="1" applyProtection="1">
      <alignment horizontal="left" vertical="top" wrapText="1"/>
      <protection locked="0"/>
    </xf>
    <xf numFmtId="0" fontId="26" fillId="0" borderId="93" xfId="17" applyFont="1" applyBorder="1" applyAlignment="1" applyProtection="1">
      <alignment horizontal="left" vertical="top" wrapText="1"/>
      <protection locked="0"/>
    </xf>
    <xf numFmtId="0" fontId="4" fillId="0" borderId="83" xfId="18" applyFont="1" applyBorder="1" applyAlignment="1" applyProtection="1">
      <alignment horizontal="left" vertical="top" wrapText="1"/>
      <protection hidden="1"/>
    </xf>
    <xf numFmtId="0" fontId="35" fillId="17" borderId="62" xfId="17" applyFont="1" applyFill="1" applyBorder="1" applyAlignment="1" applyProtection="1">
      <alignment horizontal="left" vertical="top" wrapText="1"/>
      <protection hidden="1"/>
    </xf>
    <xf numFmtId="0" fontId="35" fillId="17" borderId="0" xfId="17" applyFont="1" applyFill="1" applyAlignment="1" applyProtection="1">
      <alignment horizontal="left" vertical="top" wrapText="1"/>
      <protection hidden="1"/>
    </xf>
    <xf numFmtId="0" fontId="35" fillId="17" borderId="63" xfId="17" applyFont="1" applyFill="1" applyBorder="1" applyAlignment="1" applyProtection="1">
      <alignment horizontal="left" vertical="top" wrapText="1"/>
      <protection hidden="1"/>
    </xf>
    <xf numFmtId="0" fontId="26" fillId="0" borderId="27" xfId="17" applyFont="1" applyBorder="1" applyAlignment="1" applyProtection="1">
      <alignment horizontal="left" vertical="top" wrapText="1"/>
      <protection locked="0"/>
    </xf>
    <xf numFmtId="0" fontId="26" fillId="0" borderId="48" xfId="17" applyFont="1" applyBorder="1" applyAlignment="1" applyProtection="1">
      <alignment horizontal="left" vertical="top" wrapText="1"/>
      <protection locked="0"/>
    </xf>
    <xf numFmtId="0" fontId="26" fillId="0" borderId="96" xfId="17" applyFont="1" applyBorder="1" applyAlignment="1" applyProtection="1">
      <alignment horizontal="left" vertical="top" wrapText="1"/>
      <protection locked="0"/>
    </xf>
    <xf numFmtId="0" fontId="26" fillId="0" borderId="83" xfId="17" applyFont="1" applyBorder="1" applyAlignment="1" applyProtection="1">
      <alignment horizontal="left" vertical="center" wrapText="1"/>
      <protection hidden="1"/>
    </xf>
    <xf numFmtId="0" fontId="26" fillId="0" borderId="63" xfId="17" applyFont="1" applyBorder="1" applyAlignment="1" applyProtection="1">
      <alignment horizontal="left" vertical="center" wrapText="1"/>
      <protection hidden="1"/>
    </xf>
    <xf numFmtId="0" fontId="16" fillId="0" borderId="97" xfId="17" applyFont="1" applyBorder="1" applyAlignment="1" applyProtection="1">
      <alignment horizontal="center" vertical="center" wrapText="1"/>
      <protection hidden="1"/>
    </xf>
    <xf numFmtId="0" fontId="16" fillId="0" borderId="48" xfId="17" applyFont="1" applyBorder="1" applyAlignment="1" applyProtection="1">
      <alignment horizontal="center" vertical="center" wrapText="1"/>
      <protection hidden="1"/>
    </xf>
    <xf numFmtId="0" fontId="16" fillId="0" borderId="96" xfId="17" applyFont="1" applyBorder="1" applyAlignment="1" applyProtection="1">
      <alignment horizontal="center" vertical="center" wrapText="1"/>
      <protection hidden="1"/>
    </xf>
    <xf numFmtId="0" fontId="26" fillId="0" borderId="99" xfId="17" applyFont="1" applyBorder="1" applyAlignment="1" applyProtection="1">
      <alignment horizontal="center" vertical="top" wrapText="1"/>
      <protection hidden="1"/>
    </xf>
    <xf numFmtId="0" fontId="26" fillId="0" borderId="34" xfId="17" applyFont="1" applyBorder="1" applyAlignment="1" applyProtection="1">
      <alignment horizontal="center" vertical="top" wrapText="1"/>
      <protection hidden="1"/>
    </xf>
    <xf numFmtId="0" fontId="26" fillId="0" borderId="93" xfId="17" applyFont="1" applyBorder="1" applyAlignment="1" applyProtection="1">
      <alignment horizontal="center" vertical="top" wrapText="1"/>
      <protection hidden="1"/>
    </xf>
    <xf numFmtId="0" fontId="26" fillId="0" borderId="1" xfId="17" applyFont="1" applyBorder="1" applyAlignment="1" applyProtection="1">
      <alignment horizontal="left" vertical="top" wrapText="1"/>
      <protection locked="0"/>
    </xf>
    <xf numFmtId="0" fontId="26" fillId="0" borderId="94" xfId="17" applyFont="1" applyBorder="1" applyAlignment="1" applyProtection="1">
      <alignment horizontal="left" vertical="top" wrapText="1"/>
      <protection locked="0"/>
    </xf>
    <xf numFmtId="0" fontId="70" fillId="0" borderId="97" xfId="12" applyFont="1" applyBorder="1" applyAlignment="1" applyProtection="1">
      <alignment horizontal="center" vertical="center" wrapText="1"/>
      <protection hidden="1"/>
    </xf>
    <xf numFmtId="0" fontId="70" fillId="0" borderId="48" xfId="12" applyFont="1" applyBorder="1" applyAlignment="1" applyProtection="1">
      <alignment horizontal="center" vertical="center" wrapText="1"/>
      <protection hidden="1"/>
    </xf>
    <xf numFmtId="0" fontId="70" fillId="0" borderId="96" xfId="12" applyFont="1" applyBorder="1" applyAlignment="1" applyProtection="1">
      <alignment horizontal="center" vertical="center" wrapText="1"/>
      <protection hidden="1"/>
    </xf>
    <xf numFmtId="0" fontId="46" fillId="0" borderId="98" xfId="17" applyFont="1" applyBorder="1" applyAlignment="1" applyProtection="1">
      <alignment horizontal="left" vertical="top" wrapText="1"/>
      <protection hidden="1"/>
    </xf>
    <xf numFmtId="0" fontId="34" fillId="0" borderId="1" xfId="18" applyFont="1" applyBorder="1" applyAlignment="1" applyProtection="1">
      <alignment horizontal="center" vertical="center"/>
      <protection locked="0"/>
    </xf>
    <xf numFmtId="0" fontId="20" fillId="0" borderId="61" xfId="18" applyFont="1" applyBorder="1" applyAlignment="1" applyProtection="1">
      <alignment horizontal="left" vertical="top"/>
      <protection locked="0"/>
    </xf>
    <xf numFmtId="0" fontId="20" fillId="0" borderId="47" xfId="18" applyFont="1" applyBorder="1" applyAlignment="1" applyProtection="1">
      <alignment horizontal="left" vertical="top"/>
      <protection locked="0"/>
    </xf>
    <xf numFmtId="0" fontId="20" fillId="0" borderId="95" xfId="18" applyFont="1" applyBorder="1" applyAlignment="1" applyProtection="1">
      <alignment horizontal="left" vertical="top"/>
      <protection locked="0"/>
    </xf>
    <xf numFmtId="0" fontId="20" fillId="0" borderId="27" xfId="18" applyFont="1" applyBorder="1" applyAlignment="1" applyProtection="1">
      <alignment horizontal="left" vertical="top"/>
      <protection locked="0"/>
    </xf>
    <xf numFmtId="0" fontId="20" fillId="0" borderId="48" xfId="18" applyFont="1" applyBorder="1" applyAlignment="1" applyProtection="1">
      <alignment horizontal="left" vertical="top"/>
      <protection locked="0"/>
    </xf>
    <xf numFmtId="0" fontId="20" fillId="0" borderId="96" xfId="18" applyFont="1" applyBorder="1" applyAlignment="1" applyProtection="1">
      <alignment horizontal="left" vertical="top"/>
      <protection locked="0"/>
    </xf>
    <xf numFmtId="0" fontId="4" fillId="0" borderId="0" xfId="18" applyFont="1" applyAlignment="1" applyProtection="1">
      <alignment vertical="center" wrapText="1"/>
      <protection hidden="1"/>
    </xf>
    <xf numFmtId="0" fontId="70" fillId="0" borderId="99" xfId="17" applyFont="1" applyBorder="1" applyAlignment="1" applyProtection="1">
      <alignment horizontal="center" vertical="top" wrapText="1"/>
      <protection hidden="1"/>
    </xf>
    <xf numFmtId="0" fontId="70" fillId="0" borderId="34" xfId="17" applyFont="1" applyBorder="1" applyAlignment="1" applyProtection="1">
      <alignment horizontal="center" vertical="top" wrapText="1"/>
      <protection hidden="1"/>
    </xf>
    <xf numFmtId="0" fontId="70" fillId="0" borderId="93" xfId="17" applyFont="1" applyBorder="1" applyAlignment="1" applyProtection="1">
      <alignment horizontal="center" vertical="top" wrapText="1"/>
      <protection hidden="1"/>
    </xf>
    <xf numFmtId="0" fontId="46" fillId="0" borderId="100" xfId="17" applyFont="1" applyBorder="1" applyAlignment="1" applyProtection="1">
      <alignment horizontal="left" vertical="top" wrapText="1"/>
      <protection hidden="1"/>
    </xf>
    <xf numFmtId="0" fontId="34" fillId="0" borderId="20" xfId="18" applyFont="1" applyBorder="1" applyAlignment="1" applyProtection="1">
      <alignment horizontal="center" vertical="center"/>
      <protection locked="0"/>
    </xf>
    <xf numFmtId="0" fontId="20" fillId="0" borderId="62" xfId="18" applyFont="1" applyBorder="1" applyAlignment="1" applyProtection="1">
      <alignment horizontal="left" vertical="top"/>
      <protection locked="0"/>
    </xf>
    <xf numFmtId="0" fontId="20" fillId="0" borderId="0" xfId="18" applyFont="1" applyAlignment="1" applyProtection="1">
      <alignment horizontal="left" vertical="top"/>
      <protection locked="0"/>
    </xf>
    <xf numFmtId="0" fontId="20" fillId="0" borderId="84" xfId="18" applyFont="1" applyBorder="1" applyAlignment="1" applyProtection="1">
      <alignment horizontal="left" vertical="top"/>
      <protection locked="0"/>
    </xf>
    <xf numFmtId="0" fontId="4" fillId="0" borderId="0" xfId="18" applyFont="1" applyAlignment="1" applyProtection="1">
      <alignment horizontal="left" vertical="center"/>
      <protection hidden="1"/>
    </xf>
    <xf numFmtId="0" fontId="20" fillId="0" borderId="18" xfId="18" applyFont="1" applyBorder="1" applyAlignment="1" applyProtection="1">
      <alignment horizontal="left" vertical="top"/>
      <protection locked="0"/>
    </xf>
    <xf numFmtId="0" fontId="20" fillId="0" borderId="34" xfId="18" applyFont="1" applyBorder="1" applyAlignment="1" applyProtection="1">
      <alignment horizontal="left" vertical="top"/>
      <protection locked="0"/>
    </xf>
    <xf numFmtId="0" fontId="20" fillId="0" borderId="93" xfId="18" applyFont="1" applyBorder="1" applyAlignment="1" applyProtection="1">
      <alignment horizontal="left" vertical="top"/>
      <protection locked="0"/>
    </xf>
    <xf numFmtId="2" fontId="4" fillId="0" borderId="1" xfId="18" applyNumberFormat="1" applyFont="1" applyBorder="1" applyAlignment="1" applyProtection="1">
      <alignment horizontal="center" vertical="center" wrapText="1"/>
      <protection locked="0"/>
    </xf>
    <xf numFmtId="49" fontId="4" fillId="0" borderId="18" xfId="18" applyNumberFormat="1" applyFont="1" applyBorder="1" applyAlignment="1" applyProtection="1">
      <alignment horizontal="center" vertical="center" wrapText="1"/>
      <protection locked="0"/>
    </xf>
    <xf numFmtId="49" fontId="4" fillId="0" borderId="34" xfId="18" applyNumberFormat="1" applyFont="1" applyBorder="1" applyAlignment="1" applyProtection="1">
      <alignment horizontal="center" vertical="center" wrapText="1"/>
      <protection locked="0"/>
    </xf>
    <xf numFmtId="49" fontId="4" fillId="0" borderId="30" xfId="18" applyNumberFormat="1" applyFont="1" applyBorder="1" applyAlignment="1" applyProtection="1">
      <alignment horizontal="center" vertical="center" wrapText="1"/>
      <protection locked="0"/>
    </xf>
    <xf numFmtId="172" fontId="4" fillId="0" borderId="18" xfId="18" applyNumberFormat="1" applyFont="1" applyBorder="1" applyAlignment="1" applyProtection="1">
      <alignment horizontal="center" vertical="center" wrapText="1"/>
      <protection locked="0"/>
    </xf>
    <xf numFmtId="172" fontId="4" fillId="0" borderId="30" xfId="18" applyNumberFormat="1" applyFont="1" applyBorder="1" applyAlignment="1" applyProtection="1">
      <alignment horizontal="center" vertical="center" wrapText="1"/>
      <protection locked="0"/>
    </xf>
    <xf numFmtId="0" fontId="26" fillId="5" borderId="1" xfId="17" applyFont="1" applyFill="1" applyBorder="1" applyAlignment="1" applyProtection="1">
      <alignment horizontal="left" vertical="center" wrapText="1"/>
      <protection hidden="1"/>
    </xf>
    <xf numFmtId="0" fontId="26" fillId="5" borderId="94" xfId="17" applyFont="1" applyFill="1" applyBorder="1" applyAlignment="1" applyProtection="1">
      <alignment horizontal="left" vertical="center" wrapText="1"/>
      <protection hidden="1"/>
    </xf>
    <xf numFmtId="49" fontId="74" fillId="0" borderId="98" xfId="18" applyNumberFormat="1" applyFont="1" applyBorder="1" applyAlignment="1" applyProtection="1">
      <alignment horizontal="left" vertical="top" wrapText="1"/>
      <protection locked="0"/>
    </xf>
    <xf numFmtId="49" fontId="74" fillId="0" borderId="1" xfId="18" applyNumberFormat="1" applyFont="1" applyBorder="1" applyAlignment="1" applyProtection="1">
      <alignment horizontal="left" vertical="top" wrapText="1"/>
      <protection locked="0"/>
    </xf>
    <xf numFmtId="49" fontId="74" fillId="0" borderId="94" xfId="18" applyNumberFormat="1" applyFont="1" applyBorder="1" applyAlignment="1" applyProtection="1">
      <alignment horizontal="left" vertical="top" wrapText="1"/>
      <protection locked="0"/>
    </xf>
    <xf numFmtId="49" fontId="4" fillId="0" borderId="98" xfId="18" applyNumberFormat="1" applyFont="1" applyBorder="1" applyAlignment="1" applyProtection="1">
      <alignment horizontal="left" vertical="top" wrapText="1"/>
      <protection locked="0"/>
    </xf>
    <xf numFmtId="49" fontId="4" fillId="0" borderId="1" xfId="18" applyNumberFormat="1" applyFont="1" applyBorder="1" applyAlignment="1" applyProtection="1">
      <alignment horizontal="left" vertical="top" wrapText="1"/>
      <protection locked="0"/>
    </xf>
    <xf numFmtId="49" fontId="4" fillId="0" borderId="94" xfId="18" applyNumberFormat="1" applyFont="1" applyBorder="1" applyAlignment="1" applyProtection="1">
      <alignment horizontal="left" vertical="top" wrapText="1"/>
      <protection locked="0"/>
    </xf>
    <xf numFmtId="49" fontId="4" fillId="0" borderId="98" xfId="18" applyNumberFormat="1" applyFont="1" applyBorder="1" applyAlignment="1" applyProtection="1">
      <alignment horizontal="left" vertical="top" wrapText="1"/>
      <protection hidden="1"/>
    </xf>
    <xf numFmtId="49" fontId="4" fillId="0" borderId="1" xfId="18" applyNumberFormat="1" applyFont="1" applyBorder="1" applyAlignment="1" applyProtection="1">
      <alignment horizontal="left" vertical="top" wrapText="1"/>
      <protection hidden="1"/>
    </xf>
    <xf numFmtId="49" fontId="4" fillId="0" borderId="94" xfId="18" applyNumberFormat="1" applyFont="1" applyBorder="1" applyAlignment="1" applyProtection="1">
      <alignment horizontal="left" vertical="top" wrapText="1"/>
      <protection hidden="1"/>
    </xf>
    <xf numFmtId="0" fontId="4" fillId="5" borderId="15"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17" fillId="15" borderId="14" xfId="2" applyFont="1" applyFill="1" applyBorder="1" applyAlignment="1" applyProtection="1">
      <alignment horizontal="center" vertical="center"/>
    </xf>
    <xf numFmtId="0" fontId="17" fillId="15" borderId="12" xfId="2" applyFont="1" applyFill="1" applyBorder="1" applyAlignment="1" applyProtection="1">
      <alignment horizontal="center" vertical="center"/>
    </xf>
    <xf numFmtId="0" fontId="17" fillId="15" borderId="17" xfId="2" applyFont="1" applyFill="1" applyBorder="1" applyAlignment="1" applyProtection="1">
      <alignment horizontal="center" vertical="center"/>
    </xf>
    <xf numFmtId="0" fontId="4" fillId="5" borderId="15"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34"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5"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90" fillId="15" borderId="102" xfId="0" applyFont="1" applyFill="1" applyBorder="1" applyAlignment="1">
      <alignment vertical="top" wrapText="1"/>
    </xf>
    <xf numFmtId="0" fontId="91" fillId="5" borderId="86" xfId="4" applyFont="1" applyFill="1" applyBorder="1" applyAlignment="1">
      <alignment horizontal="left" vertical="top" wrapText="1"/>
    </xf>
    <xf numFmtId="0" fontId="91" fillId="5" borderId="175" xfId="4" applyFont="1" applyFill="1" applyBorder="1" applyAlignment="1">
      <alignment horizontal="left" vertical="top" wrapText="1"/>
    </xf>
    <xf numFmtId="0" fontId="91" fillId="5" borderId="171" xfId="4" applyFont="1" applyFill="1" applyBorder="1" applyAlignment="1">
      <alignment horizontal="left" vertical="top" wrapText="1"/>
    </xf>
  </cellXfs>
  <cellStyles count="25">
    <cellStyle name="Comma" xfId="1" builtinId="3"/>
    <cellStyle name="Comma 2" xfId="16" xr:uid="{198090A5-DB3D-4717-AFBE-53328CBC628A}"/>
    <cellStyle name="Hyperlink" xfId="2" builtinId="8"/>
    <cellStyle name="Hyperlink 2" xfId="14" xr:uid="{B608BFAC-8FA7-4597-AFD4-5670769BA40C}"/>
    <cellStyle name="Hyperlink 2 2" xfId="22" xr:uid="{BF3BD3BE-588B-446B-9B90-A4391CC246CE}"/>
    <cellStyle name="Hyperlink 3" xfId="24" xr:uid="{D96049BE-9099-4EBE-B9D5-8737D823FACF}"/>
    <cellStyle name="Normal" xfId="0" builtinId="0"/>
    <cellStyle name="Normal 2" xfId="3" xr:uid="{00000000-0005-0000-0000-000003000000}"/>
    <cellStyle name="Normal 2 2" xfId="7" xr:uid="{00000000-0005-0000-0000-000004000000}"/>
    <cellStyle name="Normal 2 2 2" xfId="13" xr:uid="{D7299017-8753-4546-985F-A1108D118940}"/>
    <cellStyle name="Normal 2 3" xfId="11" xr:uid="{E9AE6938-9A56-45E5-B27C-239626E232AD}"/>
    <cellStyle name="Normal 2 3 2" xfId="17" xr:uid="{9898A57F-9442-4A6A-A2DC-39406613008F}"/>
    <cellStyle name="Normal 3" xfId="6" xr:uid="{00000000-0005-0000-0000-000005000000}"/>
    <cellStyle name="Normal 3 2" xfId="10" xr:uid="{D19C9527-A987-47C6-ABF5-4F88D4BF8A32}"/>
    <cellStyle name="Normal 3 2 2" xfId="18" xr:uid="{85F5C5CA-4C2D-4036-B70B-73F4BE8AE37B}"/>
    <cellStyle name="Normal 3 2 2 2 2 2 2" xfId="20" xr:uid="{8D0B2031-AD6C-4DCF-BE9B-82F964802043}"/>
    <cellStyle name="Normal 3 2 3" xfId="23" xr:uid="{2E7A42D6-9970-4869-8610-4F5BD7657486}"/>
    <cellStyle name="Normal 4" xfId="8" xr:uid="{3004391E-675B-4EBB-9A84-B2A10F374D8B}"/>
    <cellStyle name="Normal 4 2" xfId="21" xr:uid="{BD205D35-BEFF-4DC4-8A24-43D3F6E1A0FA}"/>
    <cellStyle name="Normal 5" xfId="15" xr:uid="{BD987027-1EEC-41E5-A101-4A319B25DB25}"/>
    <cellStyle name="Normal_Business Case Assessment Report Pro-forma" xfId="12" xr:uid="{8DF482F5-1544-4218-A070-C378A9B6132F}"/>
    <cellStyle name="Normal_Oct 2004 Local Fund Projects r03" xfId="4" xr:uid="{00000000-0005-0000-0000-000007000000}"/>
    <cellStyle name="Percent" xfId="5" builtinId="5"/>
    <cellStyle name="Percent 2" xfId="9" xr:uid="{3AF66880-2D5A-4E2F-8A9E-A611934A3AE5}"/>
    <cellStyle name="Percent 2 2" xfId="19" xr:uid="{A0F6A9E6-31E8-4C8F-B638-71CF6CA58089}"/>
  </cellStyles>
  <dxfs count="65">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rgb="FFC0504D"/>
        </patternFill>
      </fill>
    </dxf>
    <dxf>
      <font>
        <color theme="0"/>
      </font>
      <fill>
        <patternFill>
          <bgColor rgb="FFF79646"/>
        </patternFill>
      </fill>
    </dxf>
    <dxf>
      <font>
        <color theme="0"/>
      </font>
      <fill>
        <patternFill>
          <bgColor rgb="FF9BBB59"/>
        </patternFill>
      </fill>
    </dxf>
    <dxf>
      <font>
        <color theme="0"/>
      </font>
      <fill>
        <patternFill>
          <bgColor rgb="FFE26B0A"/>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b val="0"/>
        <i val="0"/>
        <strike val="0"/>
        <color rgb="FFFF0000"/>
      </font>
      <fill>
        <patternFill>
          <bgColor theme="5" tint="0.79998168889431442"/>
        </patternFill>
      </fill>
    </dxf>
    <dxf>
      <font>
        <color rgb="FFFF0000"/>
      </font>
      <fill>
        <patternFill>
          <bgColor theme="5" tint="0.79998168889431442"/>
        </patternFill>
      </fill>
    </dxf>
    <dxf>
      <font>
        <color rgb="FFFF0000"/>
      </font>
      <fill>
        <patternFill>
          <fgColor theme="0"/>
          <bgColor theme="5" tint="0.79998168889431442"/>
        </patternFill>
      </fill>
    </dxf>
    <dxf>
      <font>
        <color rgb="FFFF0000"/>
      </font>
      <fill>
        <patternFill>
          <bgColor theme="5" tint="0.79998168889431442"/>
        </patternFill>
      </fill>
    </dxf>
    <dxf>
      <font>
        <b/>
        <i val="0"/>
      </font>
      <fill>
        <patternFill>
          <bgColor theme="6" tint="0.79998168889431442"/>
        </patternFill>
      </fill>
      <border>
        <left/>
        <right style="thin">
          <color auto="1"/>
        </right>
        <top style="thin">
          <color auto="1"/>
        </top>
        <bottom style="thin">
          <color auto="1"/>
        </bottom>
        <vertical/>
        <horizontal/>
      </border>
    </dxf>
    <dxf>
      <font>
        <color theme="0" tint="-0.34998626667073579"/>
      </font>
      <fill>
        <patternFill>
          <bgColor theme="0" tint="-0.34998626667073579"/>
        </patternFill>
      </fill>
    </dxf>
    <dxf>
      <font>
        <color rgb="FFFF0000"/>
      </font>
      <fill>
        <patternFill>
          <bgColor theme="5" tint="0.79998168889431442"/>
        </patternFill>
      </fill>
    </dxf>
    <dxf>
      <font>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rgb="FFFF0000"/>
      </font>
      <fill>
        <patternFill>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s>
  <tableStyles count="0" defaultTableStyle="TableStyleMedium9" defaultPivotStyle="PivotStyleLight16"/>
  <colors>
    <mruColors>
      <color rgb="FF2DAE76"/>
      <color rgb="FF00B050"/>
      <color rgb="FF9BBB59"/>
      <color rgb="FFE26B0A"/>
      <color rgb="FFF79646"/>
      <color rgb="FFC0504D"/>
      <color rgb="FFCAF2E1"/>
      <color rgb="FF382573"/>
      <color rgb="FF6BC3C4"/>
      <color rgb="FFB9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10620375</xdr:colOff>
      <xdr:row>1</xdr:row>
      <xdr:rowOff>98778</xdr:rowOff>
    </xdr:from>
    <xdr:to>
      <xdr:col>1</xdr:col>
      <xdr:colOff>12434358</xdr:colOff>
      <xdr:row>5</xdr:row>
      <xdr:rowOff>31750</xdr:rowOff>
    </xdr:to>
    <xdr:pic>
      <xdr:nvPicPr>
        <xdr:cNvPr id="2" name="Picture 1">
          <a:extLst>
            <a:ext uri="{FF2B5EF4-FFF2-40B4-BE49-F238E27FC236}">
              <a16:creationId xmlns:a16="http://schemas.microsoft.com/office/drawing/2014/main" id="{A419F29A-F15A-4A15-94C4-AA9ACD984FE2}"/>
            </a:ext>
          </a:extLst>
        </xdr:cNvPr>
        <xdr:cNvPicPr>
          <a:picLocks noChangeAspect="1"/>
        </xdr:cNvPicPr>
      </xdr:nvPicPr>
      <xdr:blipFill>
        <a:blip xmlns:r="http://schemas.openxmlformats.org/officeDocument/2006/relationships" r:embed="rId1"/>
        <a:stretch>
          <a:fillRect/>
        </a:stretch>
      </xdr:blipFill>
      <xdr:spPr>
        <a:xfrm>
          <a:off x="10896600" y="308328"/>
          <a:ext cx="1813983" cy="91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114300</xdr:colOff>
      <xdr:row>1</xdr:row>
      <xdr:rowOff>120651</xdr:rowOff>
    </xdr:from>
    <xdr:ext cx="1638300" cy="765810"/>
    <xdr:pic>
      <xdr:nvPicPr>
        <xdr:cNvPr id="11" name="Picture 10">
          <a:extLst>
            <a:ext uri="{FF2B5EF4-FFF2-40B4-BE49-F238E27FC236}">
              <a16:creationId xmlns:a16="http://schemas.microsoft.com/office/drawing/2014/main" id="{DD079104-67B0-43EF-A0D4-A5A816D8B498}"/>
            </a:ext>
          </a:extLst>
        </xdr:cNvPr>
        <xdr:cNvPicPr>
          <a:picLocks noChangeAspect="1"/>
        </xdr:cNvPicPr>
      </xdr:nvPicPr>
      <xdr:blipFill>
        <a:blip xmlns:r="http://schemas.openxmlformats.org/officeDocument/2006/relationships" r:embed="rId1"/>
        <a:stretch>
          <a:fillRect/>
        </a:stretch>
      </xdr:blipFill>
      <xdr:spPr>
        <a:xfrm>
          <a:off x="8947150" y="311151"/>
          <a:ext cx="1701800" cy="765810"/>
        </a:xfrm>
        <a:prstGeom prst="rect">
          <a:avLst/>
        </a:prstGeom>
      </xdr:spPr>
    </xdr:pic>
    <xdr:clientData/>
  </xdr:oneCellAnchor>
  <xdr:oneCellAnchor>
    <xdr:from>
      <xdr:col>1</xdr:col>
      <xdr:colOff>133351</xdr:colOff>
      <xdr:row>43</xdr:row>
      <xdr:rowOff>50801</xdr:rowOff>
    </xdr:from>
    <xdr:ext cx="9725025" cy="847952"/>
    <xdr:pic>
      <xdr:nvPicPr>
        <xdr:cNvPr id="14" name="Picture 13">
          <a:extLst>
            <a:ext uri="{FF2B5EF4-FFF2-40B4-BE49-F238E27FC236}">
              <a16:creationId xmlns:a16="http://schemas.microsoft.com/office/drawing/2014/main" id="{CFB0D06C-CEE2-4536-9F74-40DE2BC60428}"/>
            </a:ext>
          </a:extLst>
        </xdr:cNvPr>
        <xdr:cNvPicPr>
          <a:picLocks noChangeAspect="1"/>
        </xdr:cNvPicPr>
      </xdr:nvPicPr>
      <xdr:blipFill>
        <a:blip xmlns:r="http://schemas.openxmlformats.org/officeDocument/2006/relationships" r:embed="rId2"/>
        <a:stretch>
          <a:fillRect/>
        </a:stretch>
      </xdr:blipFill>
      <xdr:spPr>
        <a:xfrm>
          <a:off x="457201" y="11214101"/>
          <a:ext cx="10210800" cy="835252"/>
        </a:xfrm>
        <a:prstGeom prst="rect">
          <a:avLst/>
        </a:prstGeom>
      </xdr:spPr>
    </xdr:pic>
    <xdr:clientData/>
  </xdr:oneCellAnchor>
  <xdr:oneCellAnchor>
    <xdr:from>
      <xdr:col>15</xdr:col>
      <xdr:colOff>87965</xdr:colOff>
      <xdr:row>51</xdr:row>
      <xdr:rowOff>72838</xdr:rowOff>
    </xdr:from>
    <xdr:ext cx="1626519" cy="765922"/>
    <xdr:pic>
      <xdr:nvPicPr>
        <xdr:cNvPr id="10" name="Picture 9">
          <a:extLst>
            <a:ext uri="{FF2B5EF4-FFF2-40B4-BE49-F238E27FC236}">
              <a16:creationId xmlns:a16="http://schemas.microsoft.com/office/drawing/2014/main" id="{87689721-07B5-4335-A61A-899648B24300}"/>
            </a:ext>
          </a:extLst>
        </xdr:cNvPr>
        <xdr:cNvPicPr>
          <a:picLocks noChangeAspect="1"/>
        </xdr:cNvPicPr>
      </xdr:nvPicPr>
      <xdr:blipFill>
        <a:blip xmlns:r="http://schemas.openxmlformats.org/officeDocument/2006/relationships" r:embed="rId3"/>
        <a:stretch>
          <a:fillRect/>
        </a:stretch>
      </xdr:blipFill>
      <xdr:spPr>
        <a:xfrm>
          <a:off x="8413936" y="12074338"/>
          <a:ext cx="1626519" cy="765922"/>
        </a:xfrm>
        <a:prstGeom prst="rect">
          <a:avLst/>
        </a:prstGeom>
      </xdr:spPr>
    </xdr:pic>
    <xdr:clientData/>
  </xdr:oneCellAnchor>
  <xdr:twoCellAnchor editAs="oneCell">
    <xdr:from>
      <xdr:col>2</xdr:col>
      <xdr:colOff>7283</xdr:colOff>
      <xdr:row>12</xdr:row>
      <xdr:rowOff>19861</xdr:rowOff>
    </xdr:from>
    <xdr:to>
      <xdr:col>15</xdr:col>
      <xdr:colOff>74706</xdr:colOff>
      <xdr:row>15</xdr:row>
      <xdr:rowOff>33799</xdr:rowOff>
    </xdr:to>
    <xdr:pic>
      <xdr:nvPicPr>
        <xdr:cNvPr id="2" name="Picture 1">
          <a:extLst>
            <a:ext uri="{FF2B5EF4-FFF2-40B4-BE49-F238E27FC236}">
              <a16:creationId xmlns:a16="http://schemas.microsoft.com/office/drawing/2014/main" id="{3825E5DD-E695-90B9-3DB9-A74A8A723351}"/>
            </a:ext>
          </a:extLst>
        </xdr:cNvPr>
        <xdr:cNvPicPr>
          <a:picLocks noChangeAspect="1"/>
        </xdr:cNvPicPr>
      </xdr:nvPicPr>
      <xdr:blipFill>
        <a:blip xmlns:r="http://schemas.openxmlformats.org/officeDocument/2006/relationships" r:embed="rId4"/>
        <a:stretch>
          <a:fillRect/>
        </a:stretch>
      </xdr:blipFill>
      <xdr:spPr>
        <a:xfrm>
          <a:off x="500342" y="2978214"/>
          <a:ext cx="8419540" cy="873056"/>
        </a:xfrm>
        <a:prstGeom prst="rect">
          <a:avLst/>
        </a:prstGeom>
      </xdr:spPr>
    </xdr:pic>
    <xdr:clientData/>
  </xdr:twoCellAnchor>
  <xdr:twoCellAnchor editAs="oneCell">
    <xdr:from>
      <xdr:col>2</xdr:col>
      <xdr:colOff>22413</xdr:colOff>
      <xdr:row>18</xdr:row>
      <xdr:rowOff>22411</xdr:rowOff>
    </xdr:from>
    <xdr:to>
      <xdr:col>16</xdr:col>
      <xdr:colOff>433295</xdr:colOff>
      <xdr:row>21</xdr:row>
      <xdr:rowOff>34811</xdr:rowOff>
    </xdr:to>
    <xdr:pic>
      <xdr:nvPicPr>
        <xdr:cNvPr id="4" name="Picture 3">
          <a:extLst>
            <a:ext uri="{FF2B5EF4-FFF2-40B4-BE49-F238E27FC236}">
              <a16:creationId xmlns:a16="http://schemas.microsoft.com/office/drawing/2014/main" id="{3A8AC682-A6F6-7520-4308-144FEC4EEBBD}"/>
            </a:ext>
          </a:extLst>
        </xdr:cNvPr>
        <xdr:cNvPicPr>
          <a:picLocks noChangeAspect="1"/>
        </xdr:cNvPicPr>
      </xdr:nvPicPr>
      <xdr:blipFill>
        <a:blip xmlns:r="http://schemas.openxmlformats.org/officeDocument/2006/relationships" r:embed="rId5"/>
        <a:stretch>
          <a:fillRect/>
        </a:stretch>
      </xdr:blipFill>
      <xdr:spPr>
        <a:xfrm>
          <a:off x="515472" y="4332940"/>
          <a:ext cx="9405470" cy="938753"/>
        </a:xfrm>
        <a:prstGeom prst="rect">
          <a:avLst/>
        </a:prstGeom>
      </xdr:spPr>
    </xdr:pic>
    <xdr:clientData/>
  </xdr:twoCellAnchor>
  <xdr:twoCellAnchor editAs="oneCell">
    <xdr:from>
      <xdr:col>2</xdr:col>
      <xdr:colOff>26146</xdr:colOff>
      <xdr:row>23</xdr:row>
      <xdr:rowOff>40156</xdr:rowOff>
    </xdr:from>
    <xdr:to>
      <xdr:col>7</xdr:col>
      <xdr:colOff>14940</xdr:colOff>
      <xdr:row>27</xdr:row>
      <xdr:rowOff>96142</xdr:rowOff>
    </xdr:to>
    <xdr:pic>
      <xdr:nvPicPr>
        <xdr:cNvPr id="5" name="Picture 4">
          <a:extLst>
            <a:ext uri="{FF2B5EF4-FFF2-40B4-BE49-F238E27FC236}">
              <a16:creationId xmlns:a16="http://schemas.microsoft.com/office/drawing/2014/main" id="{FC893FE0-D2ED-87C8-30E8-6FDBB4ECD2C2}"/>
            </a:ext>
          </a:extLst>
        </xdr:cNvPr>
        <xdr:cNvPicPr>
          <a:picLocks noChangeAspect="1"/>
        </xdr:cNvPicPr>
      </xdr:nvPicPr>
      <xdr:blipFill>
        <a:blip xmlns:r="http://schemas.openxmlformats.org/officeDocument/2006/relationships" r:embed="rId6"/>
        <a:stretch>
          <a:fillRect/>
        </a:stretch>
      </xdr:blipFill>
      <xdr:spPr>
        <a:xfrm>
          <a:off x="519205" y="5665509"/>
          <a:ext cx="3201147" cy="997280"/>
        </a:xfrm>
        <a:prstGeom prst="rect">
          <a:avLst/>
        </a:prstGeom>
      </xdr:spPr>
    </xdr:pic>
    <xdr:clientData/>
  </xdr:twoCellAnchor>
  <xdr:twoCellAnchor editAs="oneCell">
    <xdr:from>
      <xdr:col>2</xdr:col>
      <xdr:colOff>22412</xdr:colOff>
      <xdr:row>29</xdr:row>
      <xdr:rowOff>134471</xdr:rowOff>
    </xdr:from>
    <xdr:to>
      <xdr:col>7</xdr:col>
      <xdr:colOff>351117</xdr:colOff>
      <xdr:row>33</xdr:row>
      <xdr:rowOff>176510</xdr:rowOff>
    </xdr:to>
    <xdr:pic>
      <xdr:nvPicPr>
        <xdr:cNvPr id="12" name="Picture 11">
          <a:extLst>
            <a:ext uri="{FF2B5EF4-FFF2-40B4-BE49-F238E27FC236}">
              <a16:creationId xmlns:a16="http://schemas.microsoft.com/office/drawing/2014/main" id="{5CFF1DB7-106F-BBAB-02B3-6BC9FF38DFF5}"/>
            </a:ext>
          </a:extLst>
        </xdr:cNvPr>
        <xdr:cNvPicPr>
          <a:picLocks noChangeAspect="1"/>
        </xdr:cNvPicPr>
      </xdr:nvPicPr>
      <xdr:blipFill>
        <a:blip xmlns:r="http://schemas.openxmlformats.org/officeDocument/2006/relationships" r:embed="rId7"/>
        <a:stretch>
          <a:fillRect/>
        </a:stretch>
      </xdr:blipFill>
      <xdr:spPr>
        <a:xfrm>
          <a:off x="515471" y="7141883"/>
          <a:ext cx="3541058" cy="818980"/>
        </a:xfrm>
        <a:prstGeom prst="rect">
          <a:avLst/>
        </a:prstGeom>
      </xdr:spPr>
    </xdr:pic>
    <xdr:clientData/>
  </xdr:twoCellAnchor>
  <xdr:twoCellAnchor editAs="oneCell">
    <xdr:from>
      <xdr:col>2</xdr:col>
      <xdr:colOff>0</xdr:colOff>
      <xdr:row>37</xdr:row>
      <xdr:rowOff>0</xdr:rowOff>
    </xdr:from>
    <xdr:to>
      <xdr:col>10</xdr:col>
      <xdr:colOff>429471</xdr:colOff>
      <xdr:row>41</xdr:row>
      <xdr:rowOff>61302</xdr:rowOff>
    </xdr:to>
    <xdr:pic>
      <xdr:nvPicPr>
        <xdr:cNvPr id="13" name="Picture 12">
          <a:extLst>
            <a:ext uri="{FF2B5EF4-FFF2-40B4-BE49-F238E27FC236}">
              <a16:creationId xmlns:a16="http://schemas.microsoft.com/office/drawing/2014/main" id="{7EFE2786-18D4-09A6-8522-64598498196E}"/>
            </a:ext>
          </a:extLst>
        </xdr:cNvPr>
        <xdr:cNvPicPr>
          <a:picLocks noChangeAspect="1"/>
        </xdr:cNvPicPr>
      </xdr:nvPicPr>
      <xdr:blipFill>
        <a:blip xmlns:r="http://schemas.openxmlformats.org/officeDocument/2006/relationships" r:embed="rId8"/>
        <a:stretch>
          <a:fillRect/>
        </a:stretch>
      </xdr:blipFill>
      <xdr:spPr>
        <a:xfrm>
          <a:off x="493059" y="8561294"/>
          <a:ext cx="5569236" cy="838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980016</xdr:colOff>
      <xdr:row>2</xdr:row>
      <xdr:rowOff>31749</xdr:rowOff>
    </xdr:from>
    <xdr:to>
      <xdr:col>21</xdr:col>
      <xdr:colOff>947982</xdr:colOff>
      <xdr:row>4</xdr:row>
      <xdr:rowOff>254090</xdr:rowOff>
    </xdr:to>
    <xdr:pic>
      <xdr:nvPicPr>
        <xdr:cNvPr id="4" name="Picture 3">
          <a:extLst>
            <a:ext uri="{FF2B5EF4-FFF2-40B4-BE49-F238E27FC236}">
              <a16:creationId xmlns:a16="http://schemas.microsoft.com/office/drawing/2014/main" id="{FE41D1AC-D4E3-4A6F-9000-3B5F03FAD61B}"/>
            </a:ext>
          </a:extLst>
        </xdr:cNvPr>
        <xdr:cNvPicPr>
          <a:picLocks noChangeAspect="1"/>
        </xdr:cNvPicPr>
      </xdr:nvPicPr>
      <xdr:blipFill>
        <a:blip xmlns:r="http://schemas.openxmlformats.org/officeDocument/2006/relationships" r:embed="rId1"/>
        <a:stretch>
          <a:fillRect/>
        </a:stretch>
      </xdr:blipFill>
      <xdr:spPr>
        <a:xfrm>
          <a:off x="19807766" y="374649"/>
          <a:ext cx="2139666" cy="882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613834</xdr:colOff>
      <xdr:row>1</xdr:row>
      <xdr:rowOff>134056</xdr:rowOff>
    </xdr:from>
    <xdr:to>
      <xdr:col>7</xdr:col>
      <xdr:colOff>1326445</xdr:colOff>
      <xdr:row>6</xdr:row>
      <xdr:rowOff>13966</xdr:rowOff>
    </xdr:to>
    <xdr:pic>
      <xdr:nvPicPr>
        <xdr:cNvPr id="4" name="Picture 3">
          <a:extLst>
            <a:ext uri="{FF2B5EF4-FFF2-40B4-BE49-F238E27FC236}">
              <a16:creationId xmlns:a16="http://schemas.microsoft.com/office/drawing/2014/main" id="{955BAA00-7EDA-4D13-970E-E7737010A8B4}"/>
            </a:ext>
          </a:extLst>
        </xdr:cNvPr>
        <xdr:cNvPicPr>
          <a:picLocks noChangeAspect="1"/>
        </xdr:cNvPicPr>
      </xdr:nvPicPr>
      <xdr:blipFill>
        <a:blip xmlns:r="http://schemas.openxmlformats.org/officeDocument/2006/relationships" r:embed="rId1"/>
        <a:stretch>
          <a:fillRect/>
        </a:stretch>
      </xdr:blipFill>
      <xdr:spPr>
        <a:xfrm>
          <a:off x="10456334" y="338667"/>
          <a:ext cx="2151944" cy="96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1007985</xdr:colOff>
      <xdr:row>1</xdr:row>
      <xdr:rowOff>203446</xdr:rowOff>
    </xdr:from>
    <xdr:to>
      <xdr:col>6</xdr:col>
      <xdr:colOff>1275194</xdr:colOff>
      <xdr:row>3</xdr:row>
      <xdr:rowOff>440494</xdr:rowOff>
    </xdr:to>
    <xdr:pic>
      <xdr:nvPicPr>
        <xdr:cNvPr id="2" name="Picture 1">
          <a:extLst>
            <a:ext uri="{FF2B5EF4-FFF2-40B4-BE49-F238E27FC236}">
              <a16:creationId xmlns:a16="http://schemas.microsoft.com/office/drawing/2014/main" id="{B88C903B-611A-4E4E-B2CA-503AD14B27FC}"/>
            </a:ext>
          </a:extLst>
        </xdr:cNvPr>
        <xdr:cNvPicPr>
          <a:picLocks noChangeAspect="1"/>
        </xdr:cNvPicPr>
      </xdr:nvPicPr>
      <xdr:blipFill>
        <a:blip xmlns:r="http://schemas.openxmlformats.org/officeDocument/2006/relationships" r:embed="rId1"/>
        <a:stretch>
          <a:fillRect/>
        </a:stretch>
      </xdr:blipFill>
      <xdr:spPr>
        <a:xfrm>
          <a:off x="9786225" y="409186"/>
          <a:ext cx="1669289" cy="8923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1193800</xdr:colOff>
      <xdr:row>1</xdr:row>
      <xdr:rowOff>152400</xdr:rowOff>
    </xdr:from>
    <xdr:to>
      <xdr:col>7</xdr:col>
      <xdr:colOff>1438275</xdr:colOff>
      <xdr:row>5</xdr:row>
      <xdr:rowOff>76994</xdr:rowOff>
    </xdr:to>
    <xdr:pic>
      <xdr:nvPicPr>
        <xdr:cNvPr id="3" name="Picture 2">
          <a:extLst>
            <a:ext uri="{FF2B5EF4-FFF2-40B4-BE49-F238E27FC236}">
              <a16:creationId xmlns:a16="http://schemas.microsoft.com/office/drawing/2014/main" id="{672AA0BA-FECB-42D8-9F69-7BA991AADB82}"/>
            </a:ext>
          </a:extLst>
        </xdr:cNvPr>
        <xdr:cNvPicPr>
          <a:picLocks noChangeAspect="1"/>
        </xdr:cNvPicPr>
      </xdr:nvPicPr>
      <xdr:blipFill>
        <a:blip xmlns:r="http://schemas.openxmlformats.org/officeDocument/2006/relationships" r:embed="rId1"/>
        <a:stretch>
          <a:fillRect/>
        </a:stretch>
      </xdr:blipFill>
      <xdr:spPr>
        <a:xfrm>
          <a:off x="9147175" y="361950"/>
          <a:ext cx="1720850" cy="8199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539750</xdr:colOff>
      <xdr:row>1</xdr:row>
      <xdr:rowOff>76200</xdr:rowOff>
    </xdr:from>
    <xdr:to>
      <xdr:col>11</xdr:col>
      <xdr:colOff>558800</xdr:colOff>
      <xdr:row>1</xdr:row>
      <xdr:rowOff>661988</xdr:rowOff>
    </xdr:to>
    <xdr:pic>
      <xdr:nvPicPr>
        <xdr:cNvPr id="3" name="Picture 2">
          <a:extLst>
            <a:ext uri="{FF2B5EF4-FFF2-40B4-BE49-F238E27FC236}">
              <a16:creationId xmlns:a16="http://schemas.microsoft.com/office/drawing/2014/main" id="{4084289A-1263-475C-B6E5-CB34E910F0E8}"/>
            </a:ext>
          </a:extLst>
        </xdr:cNvPr>
        <xdr:cNvPicPr>
          <a:picLocks noChangeAspect="1"/>
        </xdr:cNvPicPr>
      </xdr:nvPicPr>
      <xdr:blipFill>
        <a:blip xmlns:r="http://schemas.openxmlformats.org/officeDocument/2006/relationships" r:embed="rId1"/>
        <a:stretch>
          <a:fillRect/>
        </a:stretch>
      </xdr:blipFill>
      <xdr:spPr>
        <a:xfrm>
          <a:off x="6311900" y="285750"/>
          <a:ext cx="1301750" cy="5857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552450</xdr:colOff>
      <xdr:row>1</xdr:row>
      <xdr:rowOff>76200</xdr:rowOff>
    </xdr:from>
    <xdr:to>
      <xdr:col>11</xdr:col>
      <xdr:colOff>571500</xdr:colOff>
      <xdr:row>1</xdr:row>
      <xdr:rowOff>661988</xdr:rowOff>
    </xdr:to>
    <xdr:pic>
      <xdr:nvPicPr>
        <xdr:cNvPr id="3" name="Picture 2">
          <a:extLst>
            <a:ext uri="{FF2B5EF4-FFF2-40B4-BE49-F238E27FC236}">
              <a16:creationId xmlns:a16="http://schemas.microsoft.com/office/drawing/2014/main" id="{0A34145A-82FF-4595-8578-2ABE94901D99}"/>
            </a:ext>
          </a:extLst>
        </xdr:cNvPr>
        <xdr:cNvPicPr>
          <a:picLocks noChangeAspect="1"/>
        </xdr:cNvPicPr>
      </xdr:nvPicPr>
      <xdr:blipFill>
        <a:blip xmlns:r="http://schemas.openxmlformats.org/officeDocument/2006/relationships" r:embed="rId1"/>
        <a:stretch>
          <a:fillRect/>
        </a:stretch>
      </xdr:blipFill>
      <xdr:spPr>
        <a:xfrm>
          <a:off x="5949950" y="285750"/>
          <a:ext cx="1301750" cy="585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l/OtherProgrammes/Phase%203%20PSDS/2.%20Applications/4.%20NHS/Northampton%20General%20Hospital%20NHS%20Trust%20-%2030168/Application%20Form/phase-3-psds-application-form---northampt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lixfs01/shared/Documents%20and%20Settings/dobl1733/Local%20Settings/Temporary%20Internet%20Files/Content.Outlook/BV6CWOUN/SEELS%20Project%20Compliance%20Tool%20v22%20Fuel%20Conversion%20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alixfs01\shared\SEELS\England\DfE\Academies\SEEF\3.%20SEEF%203%202018-19\Revised%20Application%20Documents%20Drafts\Application%20Form\Final%20Version\SEEF%20Application%20Form%202018-1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OnaSabotie\Downloads\Wales%20Application%20Form%20V4%20_3%20(1).xlsx" TargetMode="External"/><Relationship Id="rId1" Type="http://schemas.openxmlformats.org/officeDocument/2006/relationships/externalLinkPath" Target="file:///C:\Users\OnaSabotie\Downloads\Wales%20Application%20Form%20V4%20_3%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mattc.SALIX/Downloads/Cost%20Saving%20Analysis%20Tool%20-%20V%201.1%20-%20Queens%20Park%20Hig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ccstorage1\t&amp;e$\Technical%20Services%20-%20Nov09\13.%20Technology%20Specific%20Work\22.%20Swimming%20pool%20cover\Pool%20Heatloss%20-%20Version%20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alixfs01\shared\Users\CraigM\AppData\Local\Microsoft\Windows\Temporary%20Internet%20Files\Content.Outlook\1K4MSJRC\Multiple%20Fuel%20Compliance%20Tool%20Version%2027%20-%20SEE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Guidance"/>
      <sheetName val="Step 1 Project Introduction"/>
      <sheetName val="Step 2 Building Details"/>
      <sheetName val="Step 3.1 Existing heating"/>
      <sheetName val="Step 3.2 Heating System Data"/>
      <sheetName val="Step 3.3 Low Carbon Heating"/>
      <sheetName val="Step 4 Support Tool"/>
      <sheetName val="Step 5 Business Case"/>
      <sheetName val="Step 6 Submit Application"/>
      <sheetName val="Eligible Technologies"/>
      <sheetName val="Application Form User Terms"/>
      <sheetName val="Backing Sheet Buildings"/>
      <sheetName val="Extra look-up"/>
      <sheetName val="Assessment Form"/>
      <sheetName val="Revision History"/>
      <sheetName val="PETR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CRYSTAL_PERSIST"/>
      <sheetName val="Project_Compliance_Tool"/>
      <sheetName val="Project Data Input Sheet"/>
      <sheetName val="Project_Assessment_Criteria"/>
      <sheetName val="Persistence_Factor_Methodology"/>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List &amp; Con. Factor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Notes"/>
      <sheetName val="Pre-application checks"/>
      <sheetName val="Programme details"/>
      <sheetName val="ECM 1"/>
      <sheetName val="ECM 2"/>
      <sheetName val="ECM 3"/>
      <sheetName val="ECM 4"/>
      <sheetName val="ECM 5"/>
      <sheetName val="ECM 6"/>
      <sheetName val="ECM 7"/>
      <sheetName val="ECM 8"/>
      <sheetName val="ECM 9"/>
      <sheetName val="ECM 10"/>
      <sheetName val="Technology List &amp; Con. Factors"/>
      <sheetName val="Persistence Factor Model"/>
      <sheetName val="Assessment Form"/>
      <sheetName val="Assessment Form (Pre-tender)"/>
      <sheetName val="Technologies Under Review"/>
      <sheetName val="Revision History"/>
      <sheetName val="Backing sheet"/>
      <sheetName val="Compliancy"/>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ashboard"/>
      <sheetName val="Terms and Conditions"/>
      <sheetName val="Revision History"/>
      <sheetName val="CO2"/>
    </sheetNames>
    <sheetDataSet>
      <sheetData sheetId="0" refreshError="1"/>
      <sheetData sheetId="1">
        <row r="27">
          <cell r="D27">
            <v>0.1</v>
          </cell>
        </row>
        <row r="28">
          <cell r="D28">
            <v>-0.1</v>
          </cell>
        </row>
      </sheetData>
      <sheetData sheetId="2" refreshError="1"/>
      <sheetData sheetId="3" refreshError="1"/>
      <sheetData sheetId="4">
        <row r="2">
          <cell r="B2" t="str">
            <v>Electricity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echnical@salixfinance.co.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V1"/>
  <sheetViews>
    <sheetView workbookViewId="0"/>
  </sheetViews>
  <sheetFormatPr defaultColWidth="8.81640625" defaultRowHeight="12.5" x14ac:dyDescent="0.25"/>
  <sheetData>
    <row r="1" spans="22:22" x14ac:dyDescent="0.25">
      <c r="V1" s="1"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DAE76"/>
    <pageSetUpPr fitToPage="1"/>
  </sheetPr>
  <dimension ref="A1:BD361"/>
  <sheetViews>
    <sheetView showGridLines="0" zoomScaleNormal="100" workbookViewId="0">
      <selection activeCell="F5" sqref="F5"/>
    </sheetView>
  </sheetViews>
  <sheetFormatPr defaultColWidth="8.81640625" defaultRowHeight="12.5" x14ac:dyDescent="0.25"/>
  <cols>
    <col min="1" max="1" width="8.81640625" customWidth="1"/>
    <col min="2" max="3" width="12.54296875" customWidth="1"/>
    <col min="4" max="4" width="76.54296875" customWidth="1"/>
    <col min="5" max="5" width="10.453125" customWidth="1"/>
  </cols>
  <sheetData>
    <row r="1" spans="1:56" ht="13"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56" ht="15" x14ac:dyDescent="0.3">
      <c r="A2" s="2"/>
      <c r="B2" s="222" t="s">
        <v>323</v>
      </c>
      <c r="C2" s="223" t="s">
        <v>324</v>
      </c>
      <c r="D2" s="224" t="s">
        <v>325</v>
      </c>
      <c r="E2" s="225" t="s">
        <v>326</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56" ht="81" x14ac:dyDescent="0.25">
      <c r="A3" s="2"/>
      <c r="B3" s="226">
        <v>45170</v>
      </c>
      <c r="C3" s="227">
        <v>37</v>
      </c>
      <c r="D3" s="228" t="s">
        <v>556</v>
      </c>
      <c r="E3" s="229" t="s">
        <v>538</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56" ht="27" x14ac:dyDescent="0.25">
      <c r="A4" s="2"/>
      <c r="B4" s="226">
        <v>44470</v>
      </c>
      <c r="C4" s="227">
        <v>36.1</v>
      </c>
      <c r="D4" s="228" t="s">
        <v>327</v>
      </c>
      <c r="E4" s="229" t="s">
        <v>328</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56" ht="27" x14ac:dyDescent="0.25">
      <c r="A5" s="2"/>
      <c r="B5" s="226">
        <v>44378</v>
      </c>
      <c r="C5" s="227">
        <v>36</v>
      </c>
      <c r="D5" s="228" t="s">
        <v>329</v>
      </c>
      <c r="E5" s="229" t="s">
        <v>330</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56" ht="81" x14ac:dyDescent="0.25">
      <c r="A6" s="2"/>
      <c r="B6" s="226">
        <v>44044</v>
      </c>
      <c r="C6" s="227">
        <v>35.1</v>
      </c>
      <c r="D6" s="228" t="s">
        <v>331</v>
      </c>
      <c r="E6" s="229" t="s">
        <v>330</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56" ht="270" x14ac:dyDescent="0.25">
      <c r="A7" s="2"/>
      <c r="B7" s="226">
        <v>44013</v>
      </c>
      <c r="C7" s="227">
        <v>35</v>
      </c>
      <c r="D7" s="228" t="s">
        <v>332</v>
      </c>
      <c r="E7" s="229" t="s">
        <v>330</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56" ht="13.5" x14ac:dyDescent="0.25">
      <c r="A8" s="2"/>
      <c r="B8" s="226">
        <v>43952</v>
      </c>
      <c r="C8" s="227">
        <v>34.1</v>
      </c>
      <c r="D8" s="228" t="s">
        <v>333</v>
      </c>
      <c r="E8" s="229" t="s">
        <v>334</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56" ht="67.5" x14ac:dyDescent="0.25">
      <c r="A9" s="2"/>
      <c r="B9" s="226">
        <v>43556</v>
      </c>
      <c r="C9" s="227">
        <v>34</v>
      </c>
      <c r="D9" s="228" t="s">
        <v>335</v>
      </c>
      <c r="E9" s="229" t="s">
        <v>336</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1:56" ht="13.5" x14ac:dyDescent="0.25">
      <c r="A10" s="2"/>
      <c r="B10" s="226">
        <v>43479</v>
      </c>
      <c r="C10" s="227">
        <v>33.1</v>
      </c>
      <c r="D10" s="228" t="s">
        <v>337</v>
      </c>
      <c r="E10" s="229" t="s">
        <v>338</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56" ht="162" x14ac:dyDescent="0.25">
      <c r="A11" s="2"/>
      <c r="B11" s="226">
        <v>43221</v>
      </c>
      <c r="C11" s="227">
        <v>33</v>
      </c>
      <c r="D11" s="228" t="s">
        <v>339</v>
      </c>
      <c r="E11" s="229" t="s">
        <v>340</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56" ht="40.5" x14ac:dyDescent="0.25">
      <c r="A12" s="2"/>
      <c r="B12" s="226">
        <v>43009</v>
      </c>
      <c r="C12" s="227">
        <v>32.1</v>
      </c>
      <c r="D12" s="228" t="s">
        <v>341</v>
      </c>
      <c r="E12" s="229" t="s">
        <v>342</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56" ht="40.5" x14ac:dyDescent="0.25">
      <c r="A13" s="2"/>
      <c r="B13" s="226">
        <v>42948</v>
      </c>
      <c r="C13" s="227">
        <v>32</v>
      </c>
      <c r="D13" s="228" t="s">
        <v>343</v>
      </c>
      <c r="E13" s="229" t="s">
        <v>344</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56" ht="13.5" x14ac:dyDescent="0.25">
      <c r="A14" s="2"/>
      <c r="B14" s="230">
        <v>42826</v>
      </c>
      <c r="C14" s="231">
        <v>31.2</v>
      </c>
      <c r="D14" s="232" t="s">
        <v>345</v>
      </c>
      <c r="E14" s="233" t="s">
        <v>344</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row>
    <row r="15" spans="1:56" ht="40.5" x14ac:dyDescent="0.25">
      <c r="A15" s="2"/>
      <c r="B15" s="230">
        <v>42705</v>
      </c>
      <c r="C15" s="231">
        <v>31.1</v>
      </c>
      <c r="D15" s="232" t="s">
        <v>346</v>
      </c>
      <c r="E15" s="233" t="s">
        <v>344</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row>
    <row r="16" spans="1:56" ht="216" x14ac:dyDescent="0.25">
      <c r="A16" s="2"/>
      <c r="B16" s="230">
        <v>42552</v>
      </c>
      <c r="C16" s="231">
        <v>31</v>
      </c>
      <c r="D16" s="232" t="s">
        <v>347</v>
      </c>
      <c r="E16" s="233" t="s">
        <v>348</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ht="67.5" x14ac:dyDescent="0.25">
      <c r="A17" s="2"/>
      <c r="B17" s="230">
        <v>42156</v>
      </c>
      <c r="C17" s="231">
        <v>30</v>
      </c>
      <c r="D17" s="232" t="s">
        <v>349</v>
      </c>
      <c r="E17" s="233" t="s">
        <v>350</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ht="42.5" x14ac:dyDescent="0.3">
      <c r="A18" s="2"/>
      <c r="B18" s="230">
        <v>41791</v>
      </c>
      <c r="C18" s="231">
        <v>29</v>
      </c>
      <c r="D18" s="234" t="s">
        <v>351</v>
      </c>
      <c r="E18" s="233" t="s">
        <v>350</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ht="27" x14ac:dyDescent="0.25">
      <c r="A19" s="2"/>
      <c r="B19" s="235">
        <v>41671</v>
      </c>
      <c r="C19" s="227">
        <v>28.2</v>
      </c>
      <c r="D19" s="228" t="s">
        <v>352</v>
      </c>
      <c r="E19" s="229" t="s">
        <v>353</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ht="27" x14ac:dyDescent="0.25">
      <c r="A20" s="2"/>
      <c r="B20" s="235">
        <v>41609</v>
      </c>
      <c r="C20" s="227">
        <v>28.1</v>
      </c>
      <c r="D20" s="228" t="s">
        <v>354</v>
      </c>
      <c r="E20" s="229" t="s">
        <v>353</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ht="56" x14ac:dyDescent="0.25">
      <c r="A21" s="2"/>
      <c r="B21" s="235">
        <v>41456</v>
      </c>
      <c r="C21" s="227">
        <v>28</v>
      </c>
      <c r="D21" s="228" t="s">
        <v>355</v>
      </c>
      <c r="E21" s="229" t="s">
        <v>353</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27" x14ac:dyDescent="0.25">
      <c r="A22" s="2"/>
      <c r="B22" s="235">
        <v>41333</v>
      </c>
      <c r="C22" s="227">
        <v>27.5</v>
      </c>
      <c r="D22" s="228" t="s">
        <v>356</v>
      </c>
      <c r="E22" s="229" t="s">
        <v>353</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ht="27" x14ac:dyDescent="0.25">
      <c r="A23" s="2"/>
      <c r="B23" s="235">
        <v>41275</v>
      </c>
      <c r="C23" s="227">
        <v>27.1</v>
      </c>
      <c r="D23" s="236" t="s">
        <v>357</v>
      </c>
      <c r="E23" s="229" t="s">
        <v>350</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27" x14ac:dyDescent="0.25">
      <c r="A24" s="2"/>
      <c r="B24" s="235">
        <v>41214</v>
      </c>
      <c r="C24" s="227">
        <v>27</v>
      </c>
      <c r="D24" s="236" t="s">
        <v>358</v>
      </c>
      <c r="E24" s="233" t="s">
        <v>353</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ht="67.5" x14ac:dyDescent="0.25">
      <c r="A25" s="2"/>
      <c r="B25" s="235">
        <v>41091</v>
      </c>
      <c r="C25" s="237">
        <v>26.2</v>
      </c>
      <c r="D25" s="238" t="s">
        <v>359</v>
      </c>
      <c r="E25" s="239" t="s">
        <v>360</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ht="13.5" x14ac:dyDescent="0.25">
      <c r="A26" s="2"/>
      <c r="B26" s="240">
        <v>40920</v>
      </c>
      <c r="C26" s="241" t="s">
        <v>361</v>
      </c>
      <c r="D26" s="242" t="s">
        <v>362</v>
      </c>
      <c r="E26" s="243" t="s">
        <v>360</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ht="135.5" thickBot="1" x14ac:dyDescent="0.3">
      <c r="A27" s="2"/>
      <c r="B27" s="244">
        <v>40848</v>
      </c>
      <c r="C27" s="245" t="s">
        <v>363</v>
      </c>
      <c r="D27" s="246" t="s">
        <v>364</v>
      </c>
      <c r="E27" s="247" t="s">
        <v>360</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spans="1:4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x14ac:dyDescent="0.25">
      <c r="B350" s="2"/>
      <c r="C350" s="2"/>
      <c r="D350" s="2"/>
      <c r="E350" s="2"/>
    </row>
    <row r="351" spans="1:41" x14ac:dyDescent="0.25">
      <c r="B351" s="2"/>
      <c r="C351" s="2"/>
      <c r="D351" s="2"/>
      <c r="E351" s="2"/>
    </row>
    <row r="352" spans="1:41" x14ac:dyDescent="0.25">
      <c r="B352" s="2"/>
      <c r="C352" s="2"/>
      <c r="D352" s="2"/>
      <c r="E352" s="2"/>
    </row>
    <row r="353" spans="2:5" x14ac:dyDescent="0.25">
      <c r="B353" s="2"/>
      <c r="C353" s="2"/>
      <c r="D353" s="2"/>
      <c r="E353" s="2"/>
    </row>
    <row r="354" spans="2:5" x14ac:dyDescent="0.25">
      <c r="B354" s="2"/>
      <c r="C354" s="2"/>
      <c r="D354" s="2"/>
      <c r="E354" s="2"/>
    </row>
    <row r="355" spans="2:5" x14ac:dyDescent="0.25">
      <c r="B355" s="2"/>
      <c r="C355" s="2"/>
      <c r="D355" s="2"/>
      <c r="E355" s="2"/>
    </row>
    <row r="356" spans="2:5" x14ac:dyDescent="0.25">
      <c r="B356" s="2"/>
      <c r="C356" s="2"/>
      <c r="D356" s="2"/>
      <c r="E356" s="2"/>
    </row>
    <row r="357" spans="2:5" x14ac:dyDescent="0.25">
      <c r="B357" s="2"/>
      <c r="C357" s="2"/>
      <c r="D357" s="2"/>
      <c r="E357" s="2"/>
    </row>
    <row r="358" spans="2:5" x14ac:dyDescent="0.25">
      <c r="B358" s="2"/>
      <c r="C358" s="2"/>
      <c r="D358" s="2"/>
      <c r="E358" s="2"/>
    </row>
    <row r="359" spans="2:5" x14ac:dyDescent="0.25">
      <c r="B359" s="2"/>
      <c r="C359" s="2"/>
      <c r="D359" s="2"/>
      <c r="E359" s="2"/>
    </row>
    <row r="360" spans="2:5" x14ac:dyDescent="0.25">
      <c r="B360" s="2"/>
      <c r="C360" s="2"/>
      <c r="D360" s="2"/>
      <c r="E360" s="2"/>
    </row>
    <row r="361" spans="2:5" x14ac:dyDescent="0.25">
      <c r="B361" s="2"/>
      <c r="C361" s="2"/>
      <c r="D361" s="2"/>
      <c r="E361" s="2"/>
    </row>
  </sheetData>
  <sheetProtection algorithmName="SHA-512" hashValue="R05dzTPZ7eKN/abhrB1/PgENjsd7EWl4f8qpvuASzX23eI02JcM5aRe5F2NpqN+6AmIwURSOofic7jQJRJkzHQ==" saltValue="62k05S5AFTNFUsoDgbOsHA==" spinCount="100000" sheet="1" selectLockedCells="1" selectUnlockedCells="1"/>
  <pageMargins left="0.70866141732283472" right="0.70866141732283472" top="0.74803149606299213" bottom="0.74803149606299213" header="0.31496062992125984" footer="0.31496062992125984"/>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150"/>
  <sheetViews>
    <sheetView topLeftCell="A53" zoomScaleNormal="90" workbookViewId="0">
      <selection activeCell="E96" sqref="E96"/>
    </sheetView>
  </sheetViews>
  <sheetFormatPr defaultColWidth="9.1796875" defaultRowHeight="13" x14ac:dyDescent="0.3"/>
  <cols>
    <col min="1" max="1" width="27.1796875" style="17" bestFit="1" customWidth="1"/>
    <col min="2" max="3" width="27.81640625" style="24" customWidth="1"/>
    <col min="4" max="4" width="22.1796875" style="17" bestFit="1" customWidth="1"/>
    <col min="5" max="5" width="29.81640625" style="24" bestFit="1" customWidth="1"/>
    <col min="6" max="6" width="30.453125" style="24" bestFit="1" customWidth="1"/>
    <col min="7" max="7" width="43.1796875" style="24" customWidth="1"/>
    <col min="8" max="8" width="22.453125" style="24" customWidth="1"/>
    <col min="9" max="9" width="48" style="24" bestFit="1" customWidth="1"/>
    <col min="10" max="10" width="41.453125" style="24" bestFit="1" customWidth="1"/>
    <col min="11" max="11" width="17.453125" style="24" bestFit="1" customWidth="1"/>
    <col min="12" max="12" width="43.81640625" style="24" bestFit="1" customWidth="1"/>
    <col min="13" max="13" width="32.81640625" style="66" bestFit="1" customWidth="1"/>
    <col min="14" max="14" width="31.54296875" style="24" bestFit="1" customWidth="1"/>
    <col min="15" max="15" width="32.1796875" style="24" bestFit="1" customWidth="1"/>
    <col min="16" max="16" width="22.453125" style="24" bestFit="1" customWidth="1"/>
    <col min="17" max="17" width="24.1796875" style="24" bestFit="1" customWidth="1"/>
    <col min="18" max="18" width="24.453125" style="24" customWidth="1"/>
    <col min="19" max="19" width="31.453125" style="24" customWidth="1"/>
    <col min="20" max="16384" width="9.1796875" style="24"/>
  </cols>
  <sheetData>
    <row r="1" spans="1:14" x14ac:dyDescent="0.3">
      <c r="A1" s="65"/>
      <c r="B1" s="65"/>
    </row>
    <row r="2" spans="1:14" s="25" customFormat="1" ht="21" customHeight="1" x14ac:dyDescent="0.25">
      <c r="A2" s="67" t="s">
        <v>43</v>
      </c>
      <c r="B2" s="67" t="s">
        <v>467</v>
      </c>
      <c r="D2" s="68"/>
      <c r="E2" s="69"/>
      <c r="F2" s="69"/>
      <c r="G2" s="69"/>
      <c r="H2" s="69"/>
      <c r="K2" s="69" t="s">
        <v>468</v>
      </c>
      <c r="L2" s="69" t="s">
        <v>469</v>
      </c>
      <c r="M2" s="70" t="s">
        <v>470</v>
      </c>
      <c r="N2" s="69" t="s">
        <v>471</v>
      </c>
    </row>
    <row r="3" spans="1:14" ht="18.75" customHeight="1" x14ac:dyDescent="0.3">
      <c r="A3" s="71" t="s">
        <v>219</v>
      </c>
      <c r="B3" s="65" t="s">
        <v>472</v>
      </c>
      <c r="E3" s="66"/>
      <c r="K3" s="24" t="s">
        <v>65</v>
      </c>
      <c r="L3" s="24" t="s">
        <v>473</v>
      </c>
      <c r="M3" s="66">
        <f>'Project Compliance Tool'!D5</f>
        <v>0</v>
      </c>
      <c r="N3" s="24" t="str">
        <f>IF(ISERROR(VLOOKUP(M3,$K$3:$L$9,2,FALSE)),"",VLOOKUP(M3,$K$3:$L$9,2,FALSE))</f>
        <v/>
      </c>
    </row>
    <row r="4" spans="1:14" ht="18.75" customHeight="1" x14ac:dyDescent="0.3">
      <c r="A4" s="71" t="s">
        <v>228</v>
      </c>
      <c r="B4" s="65" t="s">
        <v>228</v>
      </c>
      <c r="E4" s="66"/>
      <c r="K4" s="24" t="s">
        <v>474</v>
      </c>
      <c r="L4" s="24" t="s">
        <v>475</v>
      </c>
    </row>
    <row r="5" spans="1:14" ht="18.75" customHeight="1" x14ac:dyDescent="0.3">
      <c r="A5" s="71" t="s">
        <v>233</v>
      </c>
      <c r="B5" s="65" t="s">
        <v>476</v>
      </c>
      <c r="D5" s="68" t="s">
        <v>477</v>
      </c>
      <c r="E5" s="69" t="s">
        <v>478</v>
      </c>
      <c r="F5" s="69" t="s">
        <v>467</v>
      </c>
      <c r="G5" s="69" t="s">
        <v>479</v>
      </c>
      <c r="H5" s="69" t="s">
        <v>480</v>
      </c>
      <c r="I5" s="25" t="s">
        <v>481</v>
      </c>
      <c r="K5" s="24" t="s">
        <v>482</v>
      </c>
      <c r="L5" s="24" t="s">
        <v>483</v>
      </c>
    </row>
    <row r="6" spans="1:14" ht="18.75" customHeight="1" x14ac:dyDescent="0.3">
      <c r="A6" s="71" t="s">
        <v>236</v>
      </c>
      <c r="B6" s="65" t="s">
        <v>236</v>
      </c>
      <c r="D6" s="17">
        <f>'Project Compliance Tool'!A12</f>
        <v>1</v>
      </c>
      <c r="E6" s="66">
        <f>'Project Compliance Tool'!H12</f>
        <v>0</v>
      </c>
      <c r="F6" s="24" t="str">
        <f>IF(ISERROR(VLOOKUP(E6,$A$3:$B$20,2,FALSE)),"",VLOOKUP(E6,$A$3:$B$20,2,FALSE))</f>
        <v/>
      </c>
      <c r="G6" s="24">
        <f>'Project Compliance Tool'!I12</f>
        <v>0</v>
      </c>
      <c r="H6" s="24" t="str">
        <f t="shared" ref="H6:H12" ca="1" si="0">IF(AND(F6&lt;&gt;0,G6=0),"OK",IF(ISERROR(VLOOKUP(G6,INDIRECT(F6),1,FALSE)),"Work Type","OK"))</f>
        <v>OK</v>
      </c>
      <c r="I6" s="24">
        <f ca="1">IF(H6="OK",1,0)</f>
        <v>1</v>
      </c>
      <c r="K6" s="24" t="s">
        <v>68</v>
      </c>
      <c r="L6" s="24" t="s">
        <v>484</v>
      </c>
    </row>
    <row r="7" spans="1:14" ht="18.75" customHeight="1" x14ac:dyDescent="0.3">
      <c r="A7" s="71" t="s">
        <v>244</v>
      </c>
      <c r="B7" s="65" t="s">
        <v>485</v>
      </c>
      <c r="D7" s="17">
        <f>'Project Compliance Tool'!A13</f>
        <v>2</v>
      </c>
      <c r="E7" s="66">
        <f>'Project Compliance Tool'!H13</f>
        <v>0</v>
      </c>
      <c r="F7" s="24" t="str">
        <f t="shared" ref="F7:F55" si="1">IF(ISERROR(VLOOKUP(E7,$A$3:$B$20,2,FALSE)),"",VLOOKUP(E7,$A$3:$B$20,2,FALSE))</f>
        <v/>
      </c>
      <c r="G7" s="24">
        <f>'Project Compliance Tool'!I13</f>
        <v>0</v>
      </c>
      <c r="H7" s="24" t="str">
        <f t="shared" ca="1" si="0"/>
        <v>OK</v>
      </c>
      <c r="I7" s="24">
        <f t="shared" ref="I7:I55" ca="1" si="2">IF(H7="OK",1,0)</f>
        <v>1</v>
      </c>
      <c r="K7" s="24" t="s">
        <v>69</v>
      </c>
      <c r="L7" s="24" t="s">
        <v>69</v>
      </c>
    </row>
    <row r="8" spans="1:14" ht="18.75" customHeight="1" x14ac:dyDescent="0.3">
      <c r="A8" s="72" t="s">
        <v>246</v>
      </c>
      <c r="B8" s="65" t="s">
        <v>486</v>
      </c>
      <c r="D8" s="17">
        <f>'Project Compliance Tool'!A14</f>
        <v>3</v>
      </c>
      <c r="E8" s="66">
        <f>'Project Compliance Tool'!H14</f>
        <v>0</v>
      </c>
      <c r="F8" s="24" t="str">
        <f t="shared" si="1"/>
        <v/>
      </c>
      <c r="G8" s="24">
        <f>'Project Compliance Tool'!I14</f>
        <v>0</v>
      </c>
      <c r="H8" s="24" t="str">
        <f t="shared" ca="1" si="0"/>
        <v>OK</v>
      </c>
      <c r="I8" s="24">
        <f t="shared" ca="1" si="2"/>
        <v>1</v>
      </c>
      <c r="K8" s="24" t="s">
        <v>70</v>
      </c>
      <c r="L8" s="24" t="s">
        <v>487</v>
      </c>
    </row>
    <row r="9" spans="1:14" ht="18.75" customHeight="1" x14ac:dyDescent="0.3">
      <c r="A9" s="71" t="s">
        <v>253</v>
      </c>
      <c r="B9" s="65" t="s">
        <v>488</v>
      </c>
      <c r="D9" s="17">
        <f>'Project Compliance Tool'!A15</f>
        <v>4</v>
      </c>
      <c r="E9" s="66">
        <f>'Project Compliance Tool'!H15</f>
        <v>0</v>
      </c>
      <c r="F9" s="24" t="str">
        <f t="shared" si="1"/>
        <v/>
      </c>
      <c r="G9" s="24">
        <f>'Project Compliance Tool'!I15</f>
        <v>0</v>
      </c>
      <c r="H9" s="24" t="str">
        <f t="shared" ca="1" si="0"/>
        <v>OK</v>
      </c>
      <c r="I9" s="24">
        <f t="shared" ca="1" si="2"/>
        <v>1</v>
      </c>
      <c r="K9" s="24" t="s">
        <v>71</v>
      </c>
      <c r="L9" s="24" t="s">
        <v>489</v>
      </c>
    </row>
    <row r="10" spans="1:14" ht="18.75" customHeight="1" x14ac:dyDescent="0.3">
      <c r="A10" s="71" t="s">
        <v>257</v>
      </c>
      <c r="B10" s="65" t="s">
        <v>490</v>
      </c>
      <c r="D10" s="17">
        <f>'Project Compliance Tool'!A16</f>
        <v>5</v>
      </c>
      <c r="E10" s="66">
        <f>'Project Compliance Tool'!H16</f>
        <v>0</v>
      </c>
      <c r="F10" s="24" t="str">
        <f t="shared" si="1"/>
        <v/>
      </c>
      <c r="G10" s="24">
        <f>'Project Compliance Tool'!I16</f>
        <v>0</v>
      </c>
      <c r="H10" s="24" t="str">
        <f t="shared" ca="1" si="0"/>
        <v>OK</v>
      </c>
      <c r="I10" s="24">
        <f t="shared" ca="1" si="2"/>
        <v>1</v>
      </c>
    </row>
    <row r="11" spans="1:14" ht="18.75" customHeight="1" x14ac:dyDescent="0.3">
      <c r="A11" s="71" t="s">
        <v>254</v>
      </c>
      <c r="B11" s="65" t="s">
        <v>491</v>
      </c>
      <c r="D11" s="17">
        <f>'Project Compliance Tool'!A17</f>
        <v>6</v>
      </c>
      <c r="E11" s="66">
        <f>'Project Compliance Tool'!H17</f>
        <v>0</v>
      </c>
      <c r="F11" s="24" t="str">
        <f t="shared" si="1"/>
        <v/>
      </c>
      <c r="G11" s="24">
        <f>'Project Compliance Tool'!I17</f>
        <v>0</v>
      </c>
      <c r="H11" s="24" t="str">
        <f t="shared" ca="1" si="0"/>
        <v>OK</v>
      </c>
      <c r="I11" s="24">
        <f t="shared" ca="1" si="2"/>
        <v>1</v>
      </c>
    </row>
    <row r="12" spans="1:14" ht="18.75" customHeight="1" x14ac:dyDescent="0.3">
      <c r="A12" s="71" t="s">
        <v>286</v>
      </c>
      <c r="B12" s="24" t="s">
        <v>492</v>
      </c>
      <c r="D12" s="17">
        <f>'Project Compliance Tool'!A18</f>
        <v>7</v>
      </c>
      <c r="E12" s="66">
        <f>'Project Compliance Tool'!H18</f>
        <v>0</v>
      </c>
      <c r="F12" s="24" t="str">
        <f t="shared" si="1"/>
        <v/>
      </c>
      <c r="G12" s="24">
        <f>'Project Compliance Tool'!I18</f>
        <v>0</v>
      </c>
      <c r="H12" s="24" t="str">
        <f t="shared" ca="1" si="0"/>
        <v>OK</v>
      </c>
      <c r="I12" s="24">
        <f t="shared" ca="1" si="2"/>
        <v>1</v>
      </c>
    </row>
    <row r="13" spans="1:14" ht="18.75" customHeight="1" x14ac:dyDescent="0.3">
      <c r="A13" s="71" t="s">
        <v>63</v>
      </c>
      <c r="B13" s="65" t="s">
        <v>493</v>
      </c>
      <c r="D13" s="17">
        <f>'Project Compliance Tool'!A19</f>
        <v>8</v>
      </c>
      <c r="E13" s="66">
        <f>'Project Compliance Tool'!H19</f>
        <v>0</v>
      </c>
      <c r="F13" s="24" t="str">
        <f t="shared" si="1"/>
        <v/>
      </c>
      <c r="G13" s="24">
        <f>'Project Compliance Tool'!I19</f>
        <v>0</v>
      </c>
      <c r="H13" s="24" t="str">
        <f ca="1">IF(AND(F13&lt;&gt;0,G13=0),"OK",IF(ISERROR(VLOOKUP(G13,INDIRECT(F13),1,FALSE)),"Work Type","OK"))</f>
        <v>OK</v>
      </c>
      <c r="I13" s="24">
        <f t="shared" ca="1" si="2"/>
        <v>1</v>
      </c>
    </row>
    <row r="14" spans="1:14" ht="18.75" customHeight="1" x14ac:dyDescent="0.3">
      <c r="A14" s="71" t="s">
        <v>261</v>
      </c>
      <c r="B14" s="65" t="s">
        <v>494</v>
      </c>
      <c r="D14" s="17">
        <f>'Project Compliance Tool'!A20</f>
        <v>9</v>
      </c>
      <c r="E14" s="66">
        <f>'Project Compliance Tool'!H20</f>
        <v>0</v>
      </c>
      <c r="F14" s="24" t="str">
        <f t="shared" si="1"/>
        <v/>
      </c>
      <c r="G14" s="24">
        <f>'Project Compliance Tool'!I20</f>
        <v>0</v>
      </c>
      <c r="H14" s="24" t="str">
        <f t="shared" ref="H14:H55" ca="1" si="3">IF(AND(F14&lt;&gt;0,G14=0),"OK",IF(ISERROR(VLOOKUP(G14,INDIRECT(F14),1,FALSE)),"Work Type","OK"))</f>
        <v>OK</v>
      </c>
      <c r="I14" s="24">
        <f t="shared" ca="1" si="2"/>
        <v>1</v>
      </c>
    </row>
    <row r="15" spans="1:14" ht="18.75" customHeight="1" x14ac:dyDescent="0.3">
      <c r="A15" s="71" t="s">
        <v>264</v>
      </c>
      <c r="B15" s="65" t="s">
        <v>495</v>
      </c>
      <c r="D15" s="17">
        <f>'Project Compliance Tool'!A21</f>
        <v>10</v>
      </c>
      <c r="E15" s="66">
        <f>'Project Compliance Tool'!H21</f>
        <v>0</v>
      </c>
      <c r="F15" s="24" t="str">
        <f t="shared" si="1"/>
        <v/>
      </c>
      <c r="G15" s="24">
        <f>'Project Compliance Tool'!I21</f>
        <v>0</v>
      </c>
      <c r="H15" s="24" t="str">
        <f t="shared" ca="1" si="3"/>
        <v>OK</v>
      </c>
      <c r="I15" s="24">
        <f t="shared" ca="1" si="2"/>
        <v>1</v>
      </c>
    </row>
    <row r="16" spans="1:14" ht="18.75" customHeight="1" x14ac:dyDescent="0.3">
      <c r="A16" s="71" t="s">
        <v>268</v>
      </c>
      <c r="B16" s="65" t="s">
        <v>496</v>
      </c>
      <c r="D16" s="17">
        <f>'Project Compliance Tool'!A22</f>
        <v>11</v>
      </c>
      <c r="E16" s="66">
        <f>'Project Compliance Tool'!H22</f>
        <v>0</v>
      </c>
      <c r="F16" s="24" t="str">
        <f t="shared" si="1"/>
        <v/>
      </c>
      <c r="G16" s="24">
        <f>'Project Compliance Tool'!I22</f>
        <v>0</v>
      </c>
      <c r="H16" s="24" t="str">
        <f t="shared" ca="1" si="3"/>
        <v>OK</v>
      </c>
      <c r="I16" s="24">
        <f t="shared" ca="1" si="2"/>
        <v>1</v>
      </c>
    </row>
    <row r="17" spans="1:9" ht="18.75" customHeight="1" x14ac:dyDescent="0.3">
      <c r="A17" s="71" t="s">
        <v>270</v>
      </c>
      <c r="B17" s="65" t="s">
        <v>497</v>
      </c>
      <c r="D17" s="17">
        <f>'Project Compliance Tool'!A23</f>
        <v>12</v>
      </c>
      <c r="E17" s="66">
        <f>'Project Compliance Tool'!H23</f>
        <v>0</v>
      </c>
      <c r="F17" s="24" t="str">
        <f t="shared" si="1"/>
        <v/>
      </c>
      <c r="G17" s="24">
        <f>'Project Compliance Tool'!I23</f>
        <v>0</v>
      </c>
      <c r="H17" s="24" t="str">
        <f t="shared" ca="1" si="3"/>
        <v>OK</v>
      </c>
      <c r="I17" s="24">
        <f t="shared" ca="1" si="2"/>
        <v>1</v>
      </c>
    </row>
    <row r="18" spans="1:9" ht="18.75" customHeight="1" x14ac:dyDescent="0.3">
      <c r="A18" s="71" t="s">
        <v>272</v>
      </c>
      <c r="B18" s="65" t="s">
        <v>498</v>
      </c>
      <c r="D18" s="17">
        <f>'Project Compliance Tool'!A24</f>
        <v>13</v>
      </c>
      <c r="E18" s="66">
        <f>'Project Compliance Tool'!H24</f>
        <v>0</v>
      </c>
      <c r="F18" s="24" t="str">
        <f t="shared" si="1"/>
        <v/>
      </c>
      <c r="G18" s="24">
        <f>'Project Compliance Tool'!I24</f>
        <v>0</v>
      </c>
      <c r="H18" s="24" t="str">
        <f t="shared" ca="1" si="3"/>
        <v>OK</v>
      </c>
      <c r="I18" s="24">
        <f t="shared" ca="1" si="2"/>
        <v>1</v>
      </c>
    </row>
    <row r="19" spans="1:9" ht="18.75" customHeight="1" x14ac:dyDescent="0.3">
      <c r="A19" s="71" t="s">
        <v>273</v>
      </c>
      <c r="B19" s="65" t="s">
        <v>273</v>
      </c>
      <c r="D19" s="17">
        <f>'Project Compliance Tool'!A25</f>
        <v>14</v>
      </c>
      <c r="E19" s="66">
        <f>'Project Compliance Tool'!H25</f>
        <v>0</v>
      </c>
      <c r="F19" s="24" t="str">
        <f t="shared" si="1"/>
        <v/>
      </c>
      <c r="G19" s="24">
        <f>'Project Compliance Tool'!I25</f>
        <v>0</v>
      </c>
      <c r="H19" s="24" t="str">
        <f t="shared" ca="1" si="3"/>
        <v>OK</v>
      </c>
      <c r="I19" s="24">
        <f t="shared" ca="1" si="2"/>
        <v>1</v>
      </c>
    </row>
    <row r="20" spans="1:9" ht="18.75" customHeight="1" x14ac:dyDescent="0.3">
      <c r="A20" s="71" t="s">
        <v>274</v>
      </c>
      <c r="B20" s="65" t="s">
        <v>274</v>
      </c>
      <c r="D20" s="17">
        <f>'Project Compliance Tool'!A26</f>
        <v>15</v>
      </c>
      <c r="E20" s="66">
        <f>'Project Compliance Tool'!H26</f>
        <v>0</v>
      </c>
      <c r="F20" s="24" t="str">
        <f t="shared" si="1"/>
        <v/>
      </c>
      <c r="G20" s="24">
        <f>'Project Compliance Tool'!I26</f>
        <v>0</v>
      </c>
      <c r="H20" s="24" t="str">
        <f t="shared" ca="1" si="3"/>
        <v>OK</v>
      </c>
      <c r="I20" s="24">
        <f t="shared" ca="1" si="2"/>
        <v>1</v>
      </c>
    </row>
    <row r="21" spans="1:9" ht="18.75" customHeight="1" x14ac:dyDescent="0.3">
      <c r="A21" s="71"/>
      <c r="B21" s="65"/>
      <c r="D21" s="17">
        <f>'Project Compliance Tool'!A27</f>
        <v>16</v>
      </c>
      <c r="E21" s="66">
        <f>'Project Compliance Tool'!H27</f>
        <v>0</v>
      </c>
      <c r="F21" s="24" t="str">
        <f t="shared" si="1"/>
        <v/>
      </c>
      <c r="G21" s="24">
        <f>'Project Compliance Tool'!I27</f>
        <v>0</v>
      </c>
      <c r="H21" s="24" t="str">
        <f t="shared" ca="1" si="3"/>
        <v>OK</v>
      </c>
      <c r="I21" s="24">
        <f t="shared" ca="1" si="2"/>
        <v>1</v>
      </c>
    </row>
    <row r="22" spans="1:9" ht="18.75" customHeight="1" x14ac:dyDescent="0.3">
      <c r="A22" s="71"/>
      <c r="B22" s="65"/>
      <c r="D22" s="17">
        <f>'Project Compliance Tool'!A28</f>
        <v>17</v>
      </c>
      <c r="E22" s="66">
        <f>'Project Compliance Tool'!H28</f>
        <v>0</v>
      </c>
      <c r="F22" s="24" t="str">
        <f t="shared" si="1"/>
        <v/>
      </c>
      <c r="G22" s="24">
        <f>'Project Compliance Tool'!I28</f>
        <v>0</v>
      </c>
      <c r="H22" s="24" t="str">
        <f t="shared" ca="1" si="3"/>
        <v>OK</v>
      </c>
      <c r="I22" s="24">
        <f t="shared" ca="1" si="2"/>
        <v>1</v>
      </c>
    </row>
    <row r="23" spans="1:9" ht="18.75" customHeight="1" x14ac:dyDescent="0.3">
      <c r="A23" s="71"/>
      <c r="B23" s="65"/>
      <c r="D23" s="17">
        <f>'Project Compliance Tool'!A29</f>
        <v>18</v>
      </c>
      <c r="E23" s="66">
        <f>'Project Compliance Tool'!H29</f>
        <v>0</v>
      </c>
      <c r="F23" s="24" t="str">
        <f t="shared" si="1"/>
        <v/>
      </c>
      <c r="G23" s="24">
        <f>'Project Compliance Tool'!I29</f>
        <v>0</v>
      </c>
      <c r="H23" s="24" t="str">
        <f t="shared" ca="1" si="3"/>
        <v>OK</v>
      </c>
      <c r="I23" s="24">
        <f t="shared" ca="1" si="2"/>
        <v>1</v>
      </c>
    </row>
    <row r="24" spans="1:9" ht="18.75" customHeight="1" x14ac:dyDescent="0.3">
      <c r="A24" s="71"/>
      <c r="B24" s="71"/>
      <c r="D24" s="17">
        <f>'Project Compliance Tool'!A30</f>
        <v>19</v>
      </c>
      <c r="E24" s="66">
        <f>'Project Compliance Tool'!H30</f>
        <v>0</v>
      </c>
      <c r="F24" s="24" t="str">
        <f t="shared" si="1"/>
        <v/>
      </c>
      <c r="G24" s="24">
        <f>'Project Compliance Tool'!I30</f>
        <v>0</v>
      </c>
      <c r="H24" s="24" t="str">
        <f t="shared" ca="1" si="3"/>
        <v>OK</v>
      </c>
      <c r="I24" s="24">
        <f t="shared" ca="1" si="2"/>
        <v>1</v>
      </c>
    </row>
    <row r="25" spans="1:9" ht="18.75" customHeight="1" x14ac:dyDescent="0.3">
      <c r="A25" s="71"/>
      <c r="B25" s="65"/>
      <c r="D25" s="17">
        <f>'Project Compliance Tool'!A31</f>
        <v>20</v>
      </c>
      <c r="E25" s="66">
        <f>'Project Compliance Tool'!H31</f>
        <v>0</v>
      </c>
      <c r="F25" s="24" t="str">
        <f t="shared" si="1"/>
        <v/>
      </c>
      <c r="G25" s="24">
        <f>'Project Compliance Tool'!I31</f>
        <v>0</v>
      </c>
      <c r="H25" s="24" t="str">
        <f t="shared" ca="1" si="3"/>
        <v>OK</v>
      </c>
      <c r="I25" s="24">
        <f t="shared" ca="1" si="2"/>
        <v>1</v>
      </c>
    </row>
    <row r="26" spans="1:9" ht="18.75" customHeight="1" x14ac:dyDescent="0.3">
      <c r="A26" s="71"/>
      <c r="B26" s="65"/>
      <c r="D26" s="17">
        <f>'Project Compliance Tool'!A32</f>
        <v>21</v>
      </c>
      <c r="E26" s="66">
        <f>'Project Compliance Tool'!H32</f>
        <v>0</v>
      </c>
      <c r="F26" s="24" t="str">
        <f t="shared" si="1"/>
        <v/>
      </c>
      <c r="G26" s="24">
        <f>'Project Compliance Tool'!I32</f>
        <v>0</v>
      </c>
      <c r="H26" s="24" t="str">
        <f t="shared" ca="1" si="3"/>
        <v>OK</v>
      </c>
      <c r="I26" s="24">
        <f t="shared" ca="1" si="2"/>
        <v>1</v>
      </c>
    </row>
    <row r="27" spans="1:9" ht="18.75" customHeight="1" x14ac:dyDescent="0.3">
      <c r="A27" s="65"/>
      <c r="B27" s="65"/>
      <c r="D27" s="17">
        <f>'Project Compliance Tool'!A33</f>
        <v>22</v>
      </c>
      <c r="E27" s="66">
        <f>'Project Compliance Tool'!H33</f>
        <v>0</v>
      </c>
      <c r="F27" s="24" t="str">
        <f t="shared" si="1"/>
        <v/>
      </c>
      <c r="G27" s="24">
        <f>'Project Compliance Tool'!I33</f>
        <v>0</v>
      </c>
      <c r="H27" s="24" t="str">
        <f t="shared" ca="1" si="3"/>
        <v>OK</v>
      </c>
      <c r="I27" s="24">
        <f t="shared" ca="1" si="2"/>
        <v>1</v>
      </c>
    </row>
    <row r="28" spans="1:9" ht="18.75" customHeight="1" x14ac:dyDescent="0.3">
      <c r="A28" s="65"/>
      <c r="B28" s="65"/>
      <c r="D28" s="17">
        <f>'Project Compliance Tool'!A34</f>
        <v>23</v>
      </c>
      <c r="E28" s="66">
        <f>'Project Compliance Tool'!H34</f>
        <v>0</v>
      </c>
      <c r="F28" s="24" t="str">
        <f t="shared" si="1"/>
        <v/>
      </c>
      <c r="G28" s="24">
        <f>'Project Compliance Tool'!I34</f>
        <v>0</v>
      </c>
      <c r="H28" s="24" t="str">
        <f t="shared" ca="1" si="3"/>
        <v>OK</v>
      </c>
      <c r="I28" s="24">
        <f t="shared" ca="1" si="2"/>
        <v>1</v>
      </c>
    </row>
    <row r="29" spans="1:9" ht="18.75" customHeight="1" x14ac:dyDescent="0.3">
      <c r="A29" s="65"/>
      <c r="B29" s="65"/>
      <c r="D29" s="17">
        <f>'Project Compliance Tool'!A35</f>
        <v>24</v>
      </c>
      <c r="E29" s="66">
        <f>'Project Compliance Tool'!H35</f>
        <v>0</v>
      </c>
      <c r="F29" s="24" t="str">
        <f t="shared" si="1"/>
        <v/>
      </c>
      <c r="G29" s="24">
        <f>'Project Compliance Tool'!I35</f>
        <v>0</v>
      </c>
      <c r="H29" s="24" t="str">
        <f t="shared" ca="1" si="3"/>
        <v>OK</v>
      </c>
      <c r="I29" s="24">
        <f t="shared" ca="1" si="2"/>
        <v>1</v>
      </c>
    </row>
    <row r="30" spans="1:9" ht="18.75" customHeight="1" x14ac:dyDescent="0.3">
      <c r="A30" s="65"/>
      <c r="B30" s="65"/>
      <c r="D30" s="17">
        <f>'Project Compliance Tool'!A36</f>
        <v>25</v>
      </c>
      <c r="E30" s="66">
        <f>'Project Compliance Tool'!H36</f>
        <v>0</v>
      </c>
      <c r="F30" s="24" t="str">
        <f t="shared" si="1"/>
        <v/>
      </c>
      <c r="G30" s="24">
        <f>'Project Compliance Tool'!I36</f>
        <v>0</v>
      </c>
      <c r="H30" s="24" t="str">
        <f t="shared" ca="1" si="3"/>
        <v>OK</v>
      </c>
      <c r="I30" s="24">
        <f t="shared" ca="1" si="2"/>
        <v>1</v>
      </c>
    </row>
    <row r="31" spans="1:9" ht="18.75" customHeight="1" x14ac:dyDescent="0.3">
      <c r="A31" s="65"/>
      <c r="B31" s="65"/>
      <c r="D31" s="17">
        <f>'Project Compliance Tool'!A37</f>
        <v>26</v>
      </c>
      <c r="E31" s="66">
        <f>'Project Compliance Tool'!H37</f>
        <v>0</v>
      </c>
      <c r="F31" s="24" t="str">
        <f t="shared" si="1"/>
        <v/>
      </c>
      <c r="G31" s="24">
        <f>'Project Compliance Tool'!I37</f>
        <v>0</v>
      </c>
      <c r="H31" s="24" t="str">
        <f t="shared" ca="1" si="3"/>
        <v>OK</v>
      </c>
      <c r="I31" s="24">
        <f t="shared" ca="1" si="2"/>
        <v>1</v>
      </c>
    </row>
    <row r="32" spans="1:9" ht="18.75" customHeight="1" x14ac:dyDescent="0.3">
      <c r="A32" s="65"/>
      <c r="B32" s="65"/>
      <c r="D32" s="17">
        <f>'Project Compliance Tool'!A38</f>
        <v>27</v>
      </c>
      <c r="E32" s="66">
        <f>'Project Compliance Tool'!H38</f>
        <v>0</v>
      </c>
      <c r="F32" s="24" t="str">
        <f t="shared" si="1"/>
        <v/>
      </c>
      <c r="G32" s="24">
        <f>'Project Compliance Tool'!I38</f>
        <v>0</v>
      </c>
      <c r="H32" s="24" t="str">
        <f t="shared" ca="1" si="3"/>
        <v>OK</v>
      </c>
      <c r="I32" s="24">
        <f t="shared" ca="1" si="2"/>
        <v>1</v>
      </c>
    </row>
    <row r="33" spans="1:14" ht="18.75" customHeight="1" x14ac:dyDescent="0.3">
      <c r="A33" s="65"/>
      <c r="B33" s="65" t="s">
        <v>499</v>
      </c>
      <c r="D33" s="17">
        <f>'Project Compliance Tool'!A39</f>
        <v>28</v>
      </c>
      <c r="E33" s="66">
        <f>'Project Compliance Tool'!H39</f>
        <v>0</v>
      </c>
      <c r="F33" s="24" t="str">
        <f t="shared" si="1"/>
        <v/>
      </c>
      <c r="G33" s="24">
        <f>'Project Compliance Tool'!I39</f>
        <v>0</v>
      </c>
      <c r="H33" s="24" t="str">
        <f t="shared" ca="1" si="3"/>
        <v>OK</v>
      </c>
      <c r="I33" s="24">
        <f t="shared" ca="1" si="2"/>
        <v>1</v>
      </c>
    </row>
    <row r="34" spans="1:14" ht="18.75" customHeight="1" x14ac:dyDescent="0.3">
      <c r="D34" s="17">
        <f>'Project Compliance Tool'!A40</f>
        <v>29</v>
      </c>
      <c r="E34" s="66">
        <f>'Project Compliance Tool'!H40</f>
        <v>0</v>
      </c>
      <c r="F34" s="24" t="str">
        <f t="shared" si="1"/>
        <v/>
      </c>
      <c r="G34" s="24">
        <f>'Project Compliance Tool'!I40</f>
        <v>0</v>
      </c>
      <c r="H34" s="24" t="str">
        <f t="shared" ca="1" si="3"/>
        <v>OK</v>
      </c>
      <c r="I34" s="24">
        <f t="shared" ca="1" si="2"/>
        <v>1</v>
      </c>
      <c r="M34" s="24"/>
      <c r="N34" s="66"/>
    </row>
    <row r="35" spans="1:14" ht="18.75" customHeight="1" x14ac:dyDescent="0.3">
      <c r="D35" s="17">
        <f>'Project Compliance Tool'!A41</f>
        <v>30</v>
      </c>
      <c r="E35" s="66">
        <f>'Project Compliance Tool'!H41</f>
        <v>0</v>
      </c>
      <c r="F35" s="24" t="str">
        <f t="shared" si="1"/>
        <v/>
      </c>
      <c r="G35" s="24">
        <f>'Project Compliance Tool'!I41</f>
        <v>0</v>
      </c>
      <c r="H35" s="24" t="str">
        <f t="shared" ca="1" si="3"/>
        <v>OK</v>
      </c>
      <c r="I35" s="24">
        <f t="shared" ca="1" si="2"/>
        <v>1</v>
      </c>
      <c r="M35" s="24"/>
      <c r="N35" s="66"/>
    </row>
    <row r="36" spans="1:14" ht="18.75" customHeight="1" x14ac:dyDescent="0.3">
      <c r="D36" s="17">
        <f>'Project Compliance Tool'!A42</f>
        <v>31</v>
      </c>
      <c r="E36" s="66">
        <f>'Project Compliance Tool'!H42</f>
        <v>0</v>
      </c>
      <c r="F36" s="24" t="str">
        <f t="shared" si="1"/>
        <v/>
      </c>
      <c r="G36" s="24">
        <f>'Project Compliance Tool'!I42</f>
        <v>0</v>
      </c>
      <c r="H36" s="24" t="str">
        <f t="shared" ca="1" si="3"/>
        <v>OK</v>
      </c>
      <c r="I36" s="24">
        <f t="shared" ca="1" si="2"/>
        <v>1</v>
      </c>
      <c r="M36" s="24"/>
      <c r="N36" s="66"/>
    </row>
    <row r="37" spans="1:14" ht="18.75" customHeight="1" x14ac:dyDescent="0.3">
      <c r="D37" s="17">
        <f>'Project Compliance Tool'!A43</f>
        <v>32</v>
      </c>
      <c r="E37" s="66">
        <f>'Project Compliance Tool'!H43</f>
        <v>0</v>
      </c>
      <c r="F37" s="24" t="str">
        <f t="shared" si="1"/>
        <v/>
      </c>
      <c r="G37" s="24">
        <f>'Project Compliance Tool'!I43</f>
        <v>0</v>
      </c>
      <c r="H37" s="24" t="str">
        <f t="shared" ca="1" si="3"/>
        <v>OK</v>
      </c>
      <c r="I37" s="24">
        <f t="shared" ca="1" si="2"/>
        <v>1</v>
      </c>
      <c r="M37" s="24"/>
      <c r="N37" s="66"/>
    </row>
    <row r="38" spans="1:14" ht="18.75" customHeight="1" x14ac:dyDescent="0.3">
      <c r="D38" s="17">
        <f>'Project Compliance Tool'!A44</f>
        <v>33</v>
      </c>
      <c r="E38" s="66">
        <f>'Project Compliance Tool'!H44</f>
        <v>0</v>
      </c>
      <c r="F38" s="24" t="str">
        <f t="shared" si="1"/>
        <v/>
      </c>
      <c r="G38" s="24">
        <f>'Project Compliance Tool'!I44</f>
        <v>0</v>
      </c>
      <c r="H38" s="24" t="str">
        <f t="shared" ca="1" si="3"/>
        <v>OK</v>
      </c>
      <c r="I38" s="24">
        <f t="shared" ca="1" si="2"/>
        <v>1</v>
      </c>
      <c r="M38" s="24"/>
      <c r="N38" s="66"/>
    </row>
    <row r="39" spans="1:14" ht="18.75" customHeight="1" x14ac:dyDescent="0.3">
      <c r="D39" s="17">
        <f>'Project Compliance Tool'!A45</f>
        <v>34</v>
      </c>
      <c r="E39" s="66">
        <f>'Project Compliance Tool'!H45</f>
        <v>0</v>
      </c>
      <c r="F39" s="24" t="str">
        <f t="shared" si="1"/>
        <v/>
      </c>
      <c r="G39" s="24">
        <f>'Project Compliance Tool'!I45</f>
        <v>0</v>
      </c>
      <c r="H39" s="24" t="str">
        <f t="shared" ca="1" si="3"/>
        <v>OK</v>
      </c>
      <c r="I39" s="24">
        <f t="shared" ca="1" si="2"/>
        <v>1</v>
      </c>
      <c r="M39" s="24"/>
      <c r="N39" s="66"/>
    </row>
    <row r="40" spans="1:14" ht="18.75" customHeight="1" x14ac:dyDescent="0.3">
      <c r="D40" s="17">
        <f>'Project Compliance Tool'!A46</f>
        <v>35</v>
      </c>
      <c r="E40" s="66">
        <f>'Project Compliance Tool'!H46</f>
        <v>0</v>
      </c>
      <c r="F40" s="24" t="str">
        <f t="shared" si="1"/>
        <v/>
      </c>
      <c r="G40" s="24">
        <f>'Project Compliance Tool'!I46</f>
        <v>0</v>
      </c>
      <c r="H40" s="24" t="str">
        <f t="shared" ca="1" si="3"/>
        <v>OK</v>
      </c>
      <c r="I40" s="24">
        <f t="shared" ca="1" si="2"/>
        <v>1</v>
      </c>
      <c r="M40" s="24"/>
      <c r="N40" s="66"/>
    </row>
    <row r="41" spans="1:14" ht="18.75" customHeight="1" x14ac:dyDescent="0.3">
      <c r="D41" s="17">
        <f>'Project Compliance Tool'!A47</f>
        <v>36</v>
      </c>
      <c r="E41" s="66">
        <f>'Project Compliance Tool'!H47</f>
        <v>0</v>
      </c>
      <c r="F41" s="24" t="str">
        <f t="shared" si="1"/>
        <v/>
      </c>
      <c r="G41" s="24">
        <f>'Project Compliance Tool'!I47</f>
        <v>0</v>
      </c>
      <c r="H41" s="24" t="str">
        <f t="shared" ca="1" si="3"/>
        <v>OK</v>
      </c>
      <c r="I41" s="24">
        <f t="shared" ca="1" si="2"/>
        <v>1</v>
      </c>
      <c r="M41" s="24"/>
      <c r="N41" s="66"/>
    </row>
    <row r="42" spans="1:14" ht="18.75" customHeight="1" x14ac:dyDescent="0.3">
      <c r="D42" s="17">
        <f>'Project Compliance Tool'!A48</f>
        <v>37</v>
      </c>
      <c r="E42" s="66">
        <f>'Project Compliance Tool'!H48</f>
        <v>0</v>
      </c>
      <c r="F42" s="24" t="str">
        <f t="shared" si="1"/>
        <v/>
      </c>
      <c r="G42" s="24">
        <f>'Project Compliance Tool'!I48</f>
        <v>0</v>
      </c>
      <c r="H42" s="24" t="str">
        <f t="shared" ca="1" si="3"/>
        <v>OK</v>
      </c>
      <c r="I42" s="24">
        <f t="shared" ca="1" si="2"/>
        <v>1</v>
      </c>
      <c r="M42" s="24"/>
      <c r="N42" s="66"/>
    </row>
    <row r="43" spans="1:14" ht="18.75" customHeight="1" x14ac:dyDescent="0.3">
      <c r="D43" s="17">
        <f>'Project Compliance Tool'!A49</f>
        <v>38</v>
      </c>
      <c r="E43" s="66">
        <f>'Project Compliance Tool'!H49</f>
        <v>0</v>
      </c>
      <c r="F43" s="24" t="str">
        <f t="shared" si="1"/>
        <v/>
      </c>
      <c r="G43" s="24">
        <f>'Project Compliance Tool'!I49</f>
        <v>0</v>
      </c>
      <c r="H43" s="24" t="str">
        <f t="shared" ca="1" si="3"/>
        <v>OK</v>
      </c>
      <c r="I43" s="24">
        <f t="shared" ca="1" si="2"/>
        <v>1</v>
      </c>
      <c r="M43" s="24"/>
      <c r="N43" s="66"/>
    </row>
    <row r="44" spans="1:14" ht="18.75" customHeight="1" x14ac:dyDescent="0.3">
      <c r="D44" s="17">
        <f>'Project Compliance Tool'!A50</f>
        <v>39</v>
      </c>
      <c r="E44" s="66">
        <f>'Project Compliance Tool'!H50</f>
        <v>0</v>
      </c>
      <c r="F44" s="24" t="str">
        <f t="shared" si="1"/>
        <v/>
      </c>
      <c r="G44" s="24">
        <f>'Project Compliance Tool'!I50</f>
        <v>0</v>
      </c>
      <c r="H44" s="24" t="str">
        <f t="shared" ca="1" si="3"/>
        <v>OK</v>
      </c>
      <c r="I44" s="24">
        <f t="shared" ca="1" si="2"/>
        <v>1</v>
      </c>
      <c r="M44" s="24"/>
      <c r="N44" s="66"/>
    </row>
    <row r="45" spans="1:14" ht="18.75" customHeight="1" x14ac:dyDescent="0.3">
      <c r="D45" s="17">
        <f>'Project Compliance Tool'!A51</f>
        <v>40</v>
      </c>
      <c r="E45" s="66">
        <f>'Project Compliance Tool'!H51</f>
        <v>0</v>
      </c>
      <c r="F45" s="24" t="str">
        <f t="shared" si="1"/>
        <v/>
      </c>
      <c r="G45" s="24">
        <f>'Project Compliance Tool'!I51</f>
        <v>0</v>
      </c>
      <c r="H45" s="24" t="str">
        <f t="shared" ca="1" si="3"/>
        <v>OK</v>
      </c>
      <c r="I45" s="24">
        <f t="shared" ca="1" si="2"/>
        <v>1</v>
      </c>
      <c r="M45" s="24"/>
      <c r="N45" s="66"/>
    </row>
    <row r="46" spans="1:14" ht="18.75" customHeight="1" x14ac:dyDescent="0.3">
      <c r="D46" s="17">
        <f>'Project Compliance Tool'!A52</f>
        <v>41</v>
      </c>
      <c r="E46" s="66">
        <f>'Project Compliance Tool'!H52</f>
        <v>0</v>
      </c>
      <c r="F46" s="24" t="str">
        <f t="shared" si="1"/>
        <v/>
      </c>
      <c r="G46" s="24">
        <f>'Project Compliance Tool'!I52</f>
        <v>0</v>
      </c>
      <c r="H46" s="24" t="str">
        <f t="shared" ca="1" si="3"/>
        <v>OK</v>
      </c>
      <c r="I46" s="24">
        <f t="shared" ca="1" si="2"/>
        <v>1</v>
      </c>
      <c r="M46" s="24"/>
      <c r="N46" s="66"/>
    </row>
    <row r="47" spans="1:14" ht="18.75" customHeight="1" x14ac:dyDescent="0.3">
      <c r="D47" s="17">
        <f>'Project Compliance Tool'!A53</f>
        <v>42</v>
      </c>
      <c r="E47" s="66">
        <f>'Project Compliance Tool'!H53</f>
        <v>0</v>
      </c>
      <c r="F47" s="24" t="str">
        <f t="shared" si="1"/>
        <v/>
      </c>
      <c r="G47" s="24">
        <f>'Project Compliance Tool'!I53</f>
        <v>0</v>
      </c>
      <c r="H47" s="24" t="str">
        <f t="shared" ca="1" si="3"/>
        <v>OK</v>
      </c>
      <c r="I47" s="24">
        <f t="shared" ca="1" si="2"/>
        <v>1</v>
      </c>
      <c r="M47" s="24"/>
      <c r="N47" s="66"/>
    </row>
    <row r="48" spans="1:14" ht="18.75" customHeight="1" x14ac:dyDescent="0.3">
      <c r="D48" s="17">
        <f>'Project Compliance Tool'!A54</f>
        <v>43</v>
      </c>
      <c r="E48" s="66">
        <f>'Project Compliance Tool'!H54</f>
        <v>0</v>
      </c>
      <c r="F48" s="24" t="str">
        <f t="shared" si="1"/>
        <v/>
      </c>
      <c r="G48" s="24">
        <f>'Project Compliance Tool'!I54</f>
        <v>0</v>
      </c>
      <c r="H48" s="24" t="str">
        <f t="shared" ca="1" si="3"/>
        <v>OK</v>
      </c>
      <c r="I48" s="24">
        <f t="shared" ca="1" si="2"/>
        <v>1</v>
      </c>
      <c r="M48" s="24"/>
      <c r="N48" s="66"/>
    </row>
    <row r="49" spans="4:14" ht="18.75" customHeight="1" x14ac:dyDescent="0.3">
      <c r="D49" s="17">
        <f>'Project Compliance Tool'!A55</f>
        <v>44</v>
      </c>
      <c r="E49" s="66">
        <f>'Project Compliance Tool'!H55</f>
        <v>0</v>
      </c>
      <c r="F49" s="24" t="str">
        <f t="shared" si="1"/>
        <v/>
      </c>
      <c r="G49" s="24">
        <f>'Project Compliance Tool'!I55</f>
        <v>0</v>
      </c>
      <c r="H49" s="24" t="str">
        <f t="shared" ca="1" si="3"/>
        <v>OK</v>
      </c>
      <c r="I49" s="24">
        <f t="shared" ca="1" si="2"/>
        <v>1</v>
      </c>
      <c r="M49" s="24"/>
      <c r="N49" s="66"/>
    </row>
    <row r="50" spans="4:14" ht="18.75" customHeight="1" x14ac:dyDescent="0.3">
      <c r="D50" s="17">
        <f>'Project Compliance Tool'!A56</f>
        <v>45</v>
      </c>
      <c r="E50" s="66">
        <f>'Project Compliance Tool'!H56</f>
        <v>0</v>
      </c>
      <c r="F50" s="24" t="str">
        <f t="shared" si="1"/>
        <v/>
      </c>
      <c r="G50" s="24">
        <f>'Project Compliance Tool'!I56</f>
        <v>0</v>
      </c>
      <c r="H50" s="24" t="str">
        <f t="shared" ca="1" si="3"/>
        <v>OK</v>
      </c>
      <c r="I50" s="24">
        <f t="shared" ca="1" si="2"/>
        <v>1</v>
      </c>
      <c r="M50" s="24"/>
      <c r="N50" s="66"/>
    </row>
    <row r="51" spans="4:14" ht="18.75" customHeight="1" x14ac:dyDescent="0.3">
      <c r="D51" s="17">
        <f>'Project Compliance Tool'!A57</f>
        <v>46</v>
      </c>
      <c r="E51" s="66">
        <f>'Project Compliance Tool'!H57</f>
        <v>0</v>
      </c>
      <c r="F51" s="24" t="str">
        <f t="shared" si="1"/>
        <v/>
      </c>
      <c r="G51" s="24">
        <f>'Project Compliance Tool'!I57</f>
        <v>0</v>
      </c>
      <c r="H51" s="24" t="str">
        <f t="shared" ca="1" si="3"/>
        <v>OK</v>
      </c>
      <c r="I51" s="24">
        <f t="shared" ca="1" si="2"/>
        <v>1</v>
      </c>
      <c r="M51" s="24"/>
      <c r="N51" s="66"/>
    </row>
    <row r="52" spans="4:14" ht="18.75" customHeight="1" x14ac:dyDescent="0.3">
      <c r="D52" s="17">
        <f>'Project Compliance Tool'!A58</f>
        <v>47</v>
      </c>
      <c r="E52" s="66">
        <f>'Project Compliance Tool'!H58</f>
        <v>0</v>
      </c>
      <c r="F52" s="24" t="str">
        <f t="shared" si="1"/>
        <v/>
      </c>
      <c r="G52" s="24">
        <f>'Project Compliance Tool'!I58</f>
        <v>0</v>
      </c>
      <c r="H52" s="24" t="str">
        <f t="shared" ca="1" si="3"/>
        <v>OK</v>
      </c>
      <c r="I52" s="24">
        <f t="shared" ca="1" si="2"/>
        <v>1</v>
      </c>
      <c r="M52" s="24"/>
      <c r="N52" s="66"/>
    </row>
    <row r="53" spans="4:14" ht="18.75" customHeight="1" x14ac:dyDescent="0.3">
      <c r="D53" s="17">
        <f>'Project Compliance Tool'!A59</f>
        <v>48</v>
      </c>
      <c r="E53" s="66">
        <f>'Project Compliance Tool'!H59</f>
        <v>0</v>
      </c>
      <c r="F53" s="24" t="str">
        <f t="shared" si="1"/>
        <v/>
      </c>
      <c r="G53" s="24">
        <f>'Project Compliance Tool'!I59</f>
        <v>0</v>
      </c>
      <c r="H53" s="24" t="str">
        <f t="shared" ca="1" si="3"/>
        <v>OK</v>
      </c>
      <c r="I53" s="24">
        <f t="shared" ca="1" si="2"/>
        <v>1</v>
      </c>
      <c r="M53" s="24"/>
      <c r="N53" s="66"/>
    </row>
    <row r="54" spans="4:14" ht="18.75" customHeight="1" x14ac:dyDescent="0.3">
      <c r="D54" s="17">
        <f>'Project Compliance Tool'!A60</f>
        <v>49</v>
      </c>
      <c r="E54" s="66">
        <f>'Project Compliance Tool'!H60</f>
        <v>0</v>
      </c>
      <c r="F54" s="24" t="str">
        <f t="shared" si="1"/>
        <v/>
      </c>
      <c r="G54" s="24">
        <f>'Project Compliance Tool'!I60</f>
        <v>0</v>
      </c>
      <c r="H54" s="24" t="str">
        <f t="shared" ca="1" si="3"/>
        <v>OK</v>
      </c>
      <c r="I54" s="24">
        <f t="shared" ca="1" si="2"/>
        <v>1</v>
      </c>
      <c r="M54" s="24"/>
      <c r="N54" s="66"/>
    </row>
    <row r="55" spans="4:14" ht="18.75" customHeight="1" x14ac:dyDescent="0.3">
      <c r="D55" s="17">
        <f>'Project Compliance Tool'!A61</f>
        <v>50</v>
      </c>
      <c r="E55" s="66">
        <f>'Project Compliance Tool'!H61</f>
        <v>0</v>
      </c>
      <c r="F55" s="24" t="str">
        <f t="shared" si="1"/>
        <v/>
      </c>
      <c r="G55" s="24">
        <f>'Project Compliance Tool'!I61</f>
        <v>0</v>
      </c>
      <c r="H55" s="24" t="str">
        <f t="shared" ca="1" si="3"/>
        <v>OK</v>
      </c>
      <c r="I55" s="24">
        <f t="shared" ca="1" si="2"/>
        <v>1</v>
      </c>
      <c r="M55" s="24"/>
      <c r="N55" s="66"/>
    </row>
    <row r="56" spans="4:14" ht="18.75" customHeight="1" x14ac:dyDescent="0.3">
      <c r="E56" s="66"/>
      <c r="M56" s="24"/>
      <c r="N56" s="66"/>
    </row>
    <row r="57" spans="4:14" ht="18.75" customHeight="1" x14ac:dyDescent="0.3">
      <c r="E57" s="66"/>
      <c r="M57" s="24"/>
      <c r="N57" s="66"/>
    </row>
    <row r="58" spans="4:14" ht="18.75" customHeight="1" x14ac:dyDescent="0.3">
      <c r="E58" s="66"/>
      <c r="M58" s="24"/>
      <c r="N58" s="66"/>
    </row>
    <row r="59" spans="4:14" ht="18.75" customHeight="1" x14ac:dyDescent="0.3">
      <c r="E59" s="66"/>
      <c r="M59" s="24"/>
      <c r="N59" s="66"/>
    </row>
    <row r="60" spans="4:14" ht="18.75" customHeight="1" x14ac:dyDescent="0.3">
      <c r="E60" s="66"/>
      <c r="M60" s="24"/>
      <c r="N60" s="66"/>
    </row>
    <row r="61" spans="4:14" ht="18.75" customHeight="1" x14ac:dyDescent="0.3">
      <c r="E61" s="66"/>
      <c r="M61" s="24"/>
      <c r="N61" s="66"/>
    </row>
    <row r="62" spans="4:14" ht="18.75" customHeight="1" x14ac:dyDescent="0.3">
      <c r="E62" s="66"/>
      <c r="M62" s="24"/>
      <c r="N62" s="66"/>
    </row>
    <row r="63" spans="4:14" ht="18.75" customHeight="1" x14ac:dyDescent="0.3">
      <c r="E63" s="66"/>
      <c r="M63" s="24"/>
      <c r="N63" s="66"/>
    </row>
    <row r="64" spans="4:14" ht="18.75" customHeight="1" x14ac:dyDescent="0.3">
      <c r="E64" s="66"/>
      <c r="M64" s="24"/>
      <c r="N64" s="66"/>
    </row>
    <row r="65" spans="4:14" ht="18.75" customHeight="1" x14ac:dyDescent="0.3">
      <c r="E65" s="66"/>
      <c r="M65" s="24"/>
      <c r="N65" s="66"/>
    </row>
    <row r="66" spans="4:14" ht="18.75" customHeight="1" x14ac:dyDescent="0.3">
      <c r="E66" s="66"/>
      <c r="M66" s="24"/>
      <c r="N66" s="66"/>
    </row>
    <row r="67" spans="4:14" ht="18.75" customHeight="1" x14ac:dyDescent="0.3">
      <c r="E67" s="66"/>
      <c r="M67" s="24"/>
      <c r="N67" s="66"/>
    </row>
    <row r="68" spans="4:14" ht="18.75" customHeight="1" x14ac:dyDescent="0.3">
      <c r="E68" s="66"/>
      <c r="M68" s="24"/>
      <c r="N68" s="66"/>
    </row>
    <row r="69" spans="4:14" ht="18.75" customHeight="1" x14ac:dyDescent="0.3">
      <c r="E69" s="66"/>
      <c r="M69" s="24"/>
      <c r="N69" s="66"/>
    </row>
    <row r="70" spans="4:14" ht="18.75" customHeight="1" x14ac:dyDescent="0.3">
      <c r="E70" s="66"/>
      <c r="M70" s="24"/>
      <c r="N70" s="66"/>
    </row>
    <row r="71" spans="4:14" ht="18.75" customHeight="1" x14ac:dyDescent="0.35">
      <c r="D71" s="24"/>
      <c r="E71" s="623" t="s">
        <v>500</v>
      </c>
      <c r="F71" s="624" t="s">
        <v>501</v>
      </c>
      <c r="G71" s="624" t="s">
        <v>502</v>
      </c>
      <c r="M71" s="24"/>
      <c r="N71" s="66"/>
    </row>
    <row r="72" spans="4:14" ht="18.75" customHeight="1" x14ac:dyDescent="0.3">
      <c r="D72" s="74"/>
      <c r="E72" s="75" t="s">
        <v>503</v>
      </c>
      <c r="F72" s="75">
        <v>12</v>
      </c>
      <c r="G72" s="75">
        <v>305</v>
      </c>
      <c r="M72" s="24"/>
      <c r="N72" s="66"/>
    </row>
    <row r="73" spans="4:14" ht="18.75" customHeight="1" x14ac:dyDescent="0.3">
      <c r="D73" s="24"/>
      <c r="E73" s="75" t="s">
        <v>504</v>
      </c>
      <c r="F73" s="75">
        <v>8</v>
      </c>
      <c r="G73" s="75">
        <v>278</v>
      </c>
      <c r="M73" s="24"/>
      <c r="N73" s="66"/>
    </row>
    <row r="74" spans="4:14" ht="18.75" customHeight="1" x14ac:dyDescent="0.3">
      <c r="D74" s="24"/>
      <c r="E74" s="75" t="s">
        <v>505</v>
      </c>
      <c r="F74" s="75">
        <v>8</v>
      </c>
      <c r="G74" s="75">
        <v>500</v>
      </c>
      <c r="M74" s="24"/>
      <c r="N74" s="66"/>
    </row>
    <row r="75" spans="4:14" ht="18.75" customHeight="1" x14ac:dyDescent="0.3">
      <c r="D75" s="24"/>
      <c r="E75" s="75" t="s">
        <v>25</v>
      </c>
      <c r="F75" s="75">
        <v>10</v>
      </c>
      <c r="G75" s="75">
        <v>500</v>
      </c>
      <c r="M75" s="24"/>
      <c r="N75" s="66"/>
    </row>
    <row r="76" spans="4:14" ht="18.75" customHeight="1" x14ac:dyDescent="0.3">
      <c r="D76" s="24"/>
      <c r="E76" s="75" t="s">
        <v>506</v>
      </c>
      <c r="F76" s="75">
        <v>12</v>
      </c>
      <c r="G76" s="75">
        <v>305</v>
      </c>
      <c r="M76" s="24"/>
      <c r="N76" s="66"/>
    </row>
    <row r="77" spans="4:14" ht="18.75" customHeight="1" x14ac:dyDescent="0.3">
      <c r="D77" s="24"/>
      <c r="E77" s="75" t="s">
        <v>507</v>
      </c>
      <c r="F77" s="75">
        <v>8</v>
      </c>
      <c r="G77" s="75">
        <v>278</v>
      </c>
      <c r="M77" s="24"/>
      <c r="N77" s="66"/>
    </row>
    <row r="78" spans="4:14" ht="18.75" customHeight="1" x14ac:dyDescent="0.3">
      <c r="D78" s="24"/>
      <c r="E78" s="73"/>
      <c r="F78" s="73"/>
      <c r="G78" s="73"/>
      <c r="M78" s="24"/>
      <c r="N78" s="66"/>
    </row>
    <row r="79" spans="4:14" ht="18.75" customHeight="1" x14ac:dyDescent="0.3">
      <c r="D79" s="24"/>
      <c r="E79" s="73" t="s">
        <v>508</v>
      </c>
      <c r="F79" s="76" t="str">
        <f>'Project Compliance Tool'!Q65</f>
        <v/>
      </c>
      <c r="G79" s="77" t="str">
        <f>'Project Compliance Tool'!U65</f>
        <v/>
      </c>
      <c r="M79" s="24"/>
      <c r="N79" s="66"/>
    </row>
    <row r="80" spans="4:14" ht="18.75" customHeight="1" x14ac:dyDescent="0.3">
      <c r="D80" s="24"/>
      <c r="E80" s="73" t="s">
        <v>509</v>
      </c>
      <c r="F80" s="73" t="str">
        <f>IFERROR(VLOOKUP('Project Compliance Tool'!D4,E71:G77,2,FALSE),"")</f>
        <v/>
      </c>
      <c r="G80" s="73" t="str">
        <f>IFERROR(VLOOKUP('Project Compliance Tool'!D4,E71:G77,3,FALSE),"")</f>
        <v/>
      </c>
      <c r="M80" s="24"/>
      <c r="N80" s="66"/>
    </row>
    <row r="81" spans="4:14" ht="18.75" customHeight="1" x14ac:dyDescent="0.3">
      <c r="D81" s="73"/>
      <c r="E81" s="73" t="s">
        <v>122</v>
      </c>
      <c r="F81" s="73" t="str">
        <f>IF(F79&lt;=F80,"Compliant","Non-compliant")</f>
        <v>Compliant</v>
      </c>
      <c r="G81" s="73" t="str">
        <f>IF(G79&lt;=G80,"Compliant","Non-compliant")</f>
        <v>Compliant</v>
      </c>
      <c r="H81" s="73"/>
      <c r="M81" s="24"/>
      <c r="N81" s="66"/>
    </row>
    <row r="82" spans="4:14" ht="18.75" customHeight="1" x14ac:dyDescent="0.3">
      <c r="D82" s="73"/>
      <c r="H82" s="73"/>
      <c r="M82" s="24"/>
      <c r="N82" s="66"/>
    </row>
    <row r="83" spans="4:14" ht="18.75" customHeight="1" x14ac:dyDescent="0.3">
      <c r="D83" s="73"/>
      <c r="H83" s="73"/>
      <c r="M83" s="24"/>
      <c r="N83" s="66"/>
    </row>
    <row r="84" spans="4:14" ht="18.75" customHeight="1" x14ac:dyDescent="0.3">
      <c r="D84" s="73"/>
      <c r="E84" s="24" t="s">
        <v>510</v>
      </c>
      <c r="F84" s="24" t="str">
        <f>IFERROR(VLOOKUP('Project Compliance Tool'!D4,'Extra look-up'!D87:E95,2,FALSE),"")</f>
        <v/>
      </c>
      <c r="G84" s="78" t="s">
        <v>67</v>
      </c>
      <c r="H84" s="73" t="str">
        <f>IF('Project Compliance Tool'!D4="","Select Programme",IF(AND(F81="Compliant",G81="Compliant"),"Compliant","Non-compliant"))</f>
        <v>Select Programme</v>
      </c>
      <c r="M84" s="24"/>
      <c r="N84" s="66"/>
    </row>
    <row r="85" spans="4:14" ht="18.75" customHeight="1" x14ac:dyDescent="0.3">
      <c r="E85" s="24" t="s">
        <v>513</v>
      </c>
      <c r="G85" s="80" t="s">
        <v>66</v>
      </c>
      <c r="M85" s="24"/>
      <c r="N85" s="66"/>
    </row>
    <row r="86" spans="4:14" ht="18.75" customHeight="1" x14ac:dyDescent="0.3">
      <c r="E86" s="24" t="s">
        <v>516</v>
      </c>
      <c r="G86" s="80" t="s">
        <v>68</v>
      </c>
      <c r="M86" s="24"/>
      <c r="N86" s="66"/>
    </row>
    <row r="87" spans="4:14" ht="18.75" customHeight="1" x14ac:dyDescent="0.3">
      <c r="E87" s="24" t="s">
        <v>517</v>
      </c>
      <c r="G87" s="80" t="s">
        <v>69</v>
      </c>
      <c r="H87" s="78" t="s">
        <v>511</v>
      </c>
      <c r="I87" s="79" t="s">
        <v>512</v>
      </c>
    </row>
    <row r="88" spans="4:14" ht="18.75" customHeight="1" x14ac:dyDescent="0.3">
      <c r="E88" s="17" t="s">
        <v>512</v>
      </c>
      <c r="G88" s="80" t="s">
        <v>28</v>
      </c>
      <c r="H88" s="80" t="s">
        <v>514</v>
      </c>
      <c r="I88" s="80" t="s">
        <v>515</v>
      </c>
      <c r="M88" s="24"/>
      <c r="N88" s="66"/>
    </row>
    <row r="89" spans="4:14" ht="18.75" customHeight="1" x14ac:dyDescent="0.3">
      <c r="D89" s="17" t="s">
        <v>503</v>
      </c>
      <c r="E89" s="17" t="s">
        <v>515</v>
      </c>
      <c r="G89" s="80" t="s">
        <v>519</v>
      </c>
      <c r="H89" s="80" t="s">
        <v>484</v>
      </c>
      <c r="I89" s="80"/>
      <c r="M89" s="24"/>
      <c r="N89" s="66"/>
    </row>
    <row r="90" spans="4:14" ht="18.75" customHeight="1" x14ac:dyDescent="0.3">
      <c r="D90" s="17" t="s">
        <v>504</v>
      </c>
      <c r="E90" s="17" t="s">
        <v>521</v>
      </c>
      <c r="G90" s="80" t="s">
        <v>71</v>
      </c>
      <c r="H90" s="80" t="s">
        <v>69</v>
      </c>
      <c r="I90" s="80"/>
    </row>
    <row r="91" spans="4:14" ht="18.75" customHeight="1" x14ac:dyDescent="0.3">
      <c r="D91" s="17" t="s">
        <v>505</v>
      </c>
      <c r="E91" s="17" t="s">
        <v>522</v>
      </c>
      <c r="G91" s="81" t="s">
        <v>67</v>
      </c>
      <c r="H91" s="80" t="s">
        <v>518</v>
      </c>
      <c r="I91" s="80"/>
    </row>
    <row r="92" spans="4:14" ht="18.75" customHeight="1" x14ac:dyDescent="0.3">
      <c r="D92" s="17" t="s">
        <v>25</v>
      </c>
      <c r="E92" s="24" t="s">
        <v>524</v>
      </c>
      <c r="G92" s="82" t="s">
        <v>66</v>
      </c>
      <c r="H92" s="80" t="s">
        <v>520</v>
      </c>
      <c r="I92" s="80"/>
    </row>
    <row r="93" spans="4:14" ht="18.75" customHeight="1" x14ac:dyDescent="0.3">
      <c r="D93" s="17" t="s">
        <v>506</v>
      </c>
      <c r="E93" s="17"/>
      <c r="G93" s="82" t="s">
        <v>68</v>
      </c>
      <c r="H93" s="80" t="s">
        <v>489</v>
      </c>
      <c r="I93" s="80"/>
    </row>
    <row r="94" spans="4:14" ht="18.75" customHeight="1" x14ac:dyDescent="0.3">
      <c r="D94" s="17" t="s">
        <v>507</v>
      </c>
      <c r="E94" s="17"/>
      <c r="G94" s="82" t="s">
        <v>69</v>
      </c>
      <c r="H94" s="81" t="s">
        <v>511</v>
      </c>
      <c r="I94" s="82" t="s">
        <v>510</v>
      </c>
    </row>
    <row r="95" spans="4:14" ht="18.75" customHeight="1" x14ac:dyDescent="0.3">
      <c r="D95" s="17" t="s">
        <v>523</v>
      </c>
      <c r="E95" s="17"/>
      <c r="G95" s="82" t="s">
        <v>28</v>
      </c>
      <c r="H95" s="82" t="s">
        <v>514</v>
      </c>
      <c r="I95" s="82"/>
    </row>
    <row r="96" spans="4:14" ht="18.75" customHeight="1" x14ac:dyDescent="0.3">
      <c r="E96" s="17"/>
      <c r="G96" s="83" t="s">
        <v>519</v>
      </c>
      <c r="H96" s="82" t="s">
        <v>484</v>
      </c>
      <c r="I96" s="82"/>
    </row>
    <row r="97" spans="5:9" ht="18.75" customHeight="1" x14ac:dyDescent="0.3">
      <c r="G97" s="83" t="s">
        <v>71</v>
      </c>
      <c r="H97" s="82" t="s">
        <v>69</v>
      </c>
      <c r="I97" s="82"/>
    </row>
    <row r="98" spans="5:9" ht="18.75" customHeight="1" x14ac:dyDescent="0.3">
      <c r="G98" s="84" t="s">
        <v>67</v>
      </c>
      <c r="H98" s="82" t="s">
        <v>518</v>
      </c>
      <c r="I98" s="82"/>
    </row>
    <row r="99" spans="5:9" ht="18.75" customHeight="1" x14ac:dyDescent="0.3">
      <c r="G99" s="85" t="s">
        <v>68</v>
      </c>
      <c r="H99" s="83" t="s">
        <v>520</v>
      </c>
      <c r="I99" s="83" t="s">
        <v>513</v>
      </c>
    </row>
    <row r="100" spans="5:9" ht="18.75" customHeight="1" x14ac:dyDescent="0.3">
      <c r="G100" s="85" t="s">
        <v>525</v>
      </c>
      <c r="H100" s="83" t="s">
        <v>489</v>
      </c>
      <c r="I100" s="83"/>
    </row>
    <row r="101" spans="5:9" ht="18.75" customHeight="1" x14ac:dyDescent="0.3">
      <c r="G101" s="85" t="s">
        <v>526</v>
      </c>
      <c r="H101" s="84" t="s">
        <v>511</v>
      </c>
      <c r="I101" s="85" t="s">
        <v>521</v>
      </c>
    </row>
    <row r="102" spans="5:9" ht="18.75" customHeight="1" x14ac:dyDescent="0.3">
      <c r="G102" s="86" t="s">
        <v>68</v>
      </c>
      <c r="H102" s="85" t="s">
        <v>484</v>
      </c>
    </row>
    <row r="103" spans="5:9" ht="18.75" customHeight="1" x14ac:dyDescent="0.3">
      <c r="G103" s="86" t="s">
        <v>519</v>
      </c>
      <c r="H103" s="85" t="s">
        <v>520</v>
      </c>
    </row>
    <row r="104" spans="5:9" ht="18.75" customHeight="1" x14ac:dyDescent="0.3">
      <c r="G104" s="86" t="s">
        <v>71</v>
      </c>
      <c r="H104" s="85" t="s">
        <v>489</v>
      </c>
    </row>
    <row r="105" spans="5:9" ht="18.75" customHeight="1" x14ac:dyDescent="0.3">
      <c r="E105" s="17"/>
      <c r="G105" s="86" t="s">
        <v>28</v>
      </c>
      <c r="H105" s="86" t="s">
        <v>484</v>
      </c>
      <c r="I105" s="86" t="s">
        <v>516</v>
      </c>
    </row>
    <row r="106" spans="5:9" ht="18.75" customHeight="1" x14ac:dyDescent="0.3">
      <c r="E106" s="17"/>
      <c r="G106" s="86" t="s">
        <v>67</v>
      </c>
      <c r="H106" s="86" t="s">
        <v>520</v>
      </c>
      <c r="I106" s="86"/>
    </row>
    <row r="107" spans="5:9" ht="18.75" customHeight="1" x14ac:dyDescent="0.3">
      <c r="G107" s="88" t="s">
        <v>68</v>
      </c>
      <c r="H107" s="86" t="s">
        <v>489</v>
      </c>
      <c r="I107" s="87"/>
    </row>
    <row r="108" spans="5:9" ht="18.75" customHeight="1" x14ac:dyDescent="0.3">
      <c r="G108" s="88" t="s">
        <v>525</v>
      </c>
      <c r="H108" s="86" t="s">
        <v>518</v>
      </c>
      <c r="I108" s="87"/>
    </row>
    <row r="109" spans="5:9" ht="18.75" customHeight="1" x14ac:dyDescent="0.3">
      <c r="G109" s="88" t="s">
        <v>526</v>
      </c>
      <c r="H109" s="86" t="s">
        <v>511</v>
      </c>
      <c r="I109" s="86"/>
    </row>
    <row r="110" spans="5:9" ht="18.75" customHeight="1" x14ac:dyDescent="0.3">
      <c r="G110" s="88" t="s">
        <v>67</v>
      </c>
      <c r="H110" s="88" t="s">
        <v>484</v>
      </c>
      <c r="I110" s="88" t="s">
        <v>522</v>
      </c>
    </row>
    <row r="111" spans="5:9" ht="18.75" customHeight="1" x14ac:dyDescent="0.3">
      <c r="G111" s="89" t="s">
        <v>66</v>
      </c>
      <c r="H111" s="88" t="s">
        <v>520</v>
      </c>
      <c r="I111" s="88"/>
    </row>
    <row r="112" spans="5:9" ht="18.75" customHeight="1" x14ac:dyDescent="0.3">
      <c r="G112" s="89" t="s">
        <v>67</v>
      </c>
      <c r="H112" s="88" t="s">
        <v>489</v>
      </c>
      <c r="I112" s="88"/>
    </row>
    <row r="113" spans="4:9" ht="18.75" customHeight="1" x14ac:dyDescent="0.3">
      <c r="G113" s="89" t="s">
        <v>28</v>
      </c>
      <c r="H113" s="88" t="s">
        <v>511</v>
      </c>
      <c r="I113" s="88"/>
    </row>
    <row r="114" spans="4:9" ht="18.75" customHeight="1" x14ac:dyDescent="0.3">
      <c r="G114" s="89" t="s">
        <v>68</v>
      </c>
      <c r="H114" s="89" t="s">
        <v>514</v>
      </c>
      <c r="I114" s="89" t="s">
        <v>517</v>
      </c>
    </row>
    <row r="115" spans="4:9" ht="18.75" customHeight="1" x14ac:dyDescent="0.3">
      <c r="G115" s="89" t="s">
        <v>519</v>
      </c>
      <c r="H115" s="89" t="s">
        <v>511</v>
      </c>
      <c r="I115" s="89"/>
    </row>
    <row r="116" spans="4:9" ht="18.75" customHeight="1" x14ac:dyDescent="0.3">
      <c r="G116" s="89" t="s">
        <v>71</v>
      </c>
      <c r="H116" s="89" t="s">
        <v>518</v>
      </c>
      <c r="I116" s="89"/>
    </row>
    <row r="117" spans="4:9" ht="18.75" customHeight="1" x14ac:dyDescent="0.3">
      <c r="G117" s="89" t="s">
        <v>69</v>
      </c>
      <c r="H117" s="89" t="s">
        <v>484</v>
      </c>
      <c r="I117" s="89"/>
    </row>
    <row r="118" spans="4:9" ht="18.75" customHeight="1" x14ac:dyDescent="0.3">
      <c r="G118" s="394" t="s">
        <v>66</v>
      </c>
      <c r="H118" s="89" t="s">
        <v>520</v>
      </c>
      <c r="I118" s="89"/>
    </row>
    <row r="119" spans="4:9" ht="18.75" customHeight="1" x14ac:dyDescent="0.3">
      <c r="G119" s="394" t="s">
        <v>68</v>
      </c>
      <c r="H119" s="89" t="s">
        <v>489</v>
      </c>
      <c r="I119" s="89"/>
    </row>
    <row r="120" spans="4:9" ht="18.75" customHeight="1" x14ac:dyDescent="0.3">
      <c r="G120" s="394" t="s">
        <v>69</v>
      </c>
      <c r="H120" s="89" t="s">
        <v>69</v>
      </c>
      <c r="I120" s="89"/>
    </row>
    <row r="121" spans="4:9" ht="18.75" customHeight="1" x14ac:dyDescent="0.3">
      <c r="G121" s="394" t="s">
        <v>28</v>
      </c>
      <c r="H121" s="394" t="s">
        <v>514</v>
      </c>
      <c r="I121" s="394" t="s">
        <v>524</v>
      </c>
    </row>
    <row r="122" spans="4:9" ht="18.75" customHeight="1" x14ac:dyDescent="0.3">
      <c r="G122" s="394" t="s">
        <v>519</v>
      </c>
      <c r="H122" s="394" t="s">
        <v>484</v>
      </c>
      <c r="I122" s="394"/>
    </row>
    <row r="123" spans="4:9" ht="18.75" customHeight="1" x14ac:dyDescent="0.3">
      <c r="G123" s="394" t="s">
        <v>71</v>
      </c>
      <c r="H123" s="394" t="s">
        <v>69</v>
      </c>
      <c r="I123" s="394"/>
    </row>
    <row r="124" spans="4:9" ht="18.75" customHeight="1" x14ac:dyDescent="0.3">
      <c r="H124" s="394" t="s">
        <v>518</v>
      </c>
      <c r="I124" s="394"/>
    </row>
    <row r="125" spans="4:9" ht="18.75" customHeight="1" x14ac:dyDescent="0.3">
      <c r="E125" s="17" t="s">
        <v>528</v>
      </c>
      <c r="F125" s="24" t="s">
        <v>470</v>
      </c>
      <c r="G125" s="24" t="s">
        <v>470</v>
      </c>
      <c r="H125" s="394" t="s">
        <v>520</v>
      </c>
      <c r="I125" s="394"/>
    </row>
    <row r="126" spans="4:9" ht="18.75" customHeight="1" x14ac:dyDescent="0.3">
      <c r="E126" s="17" t="str">
        <f>IFERROR(VLOOKUP(D129,D87:E94,2,FALSE),"")</f>
        <v/>
      </c>
      <c r="F126" s="24">
        <f>'Project Compliance Tool'!$D$5</f>
        <v>0</v>
      </c>
      <c r="G126" s="24" t="e">
        <f>VLOOKUP(F126,G87:H120,2,FALSE)</f>
        <v>#N/A</v>
      </c>
      <c r="H126" s="394" t="s">
        <v>489</v>
      </c>
      <c r="I126" s="394"/>
    </row>
    <row r="127" spans="4:9" ht="18.75" customHeight="1" x14ac:dyDescent="0.3"/>
    <row r="128" spans="4:9" ht="18.75" customHeight="1" x14ac:dyDescent="0.3">
      <c r="D128" s="17" t="s">
        <v>527</v>
      </c>
      <c r="H128" s="69" t="s">
        <v>480</v>
      </c>
    </row>
    <row r="129" spans="4:8" ht="18.75" customHeight="1" x14ac:dyDescent="0.3">
      <c r="D129" s="17">
        <f>'Project Compliance Tool'!$D$4</f>
        <v>0</v>
      </c>
      <c r="H129" s="24" t="str">
        <f ca="1">IF(OR(AND(E106=0,F106=0),AND(E106&lt;&gt;0,F106=0)),"OK",IF(ISERROR(VLOOKUP(F106,INDIRECT(E106),1,FALSE)),"Client Type","OK"))</f>
        <v>OK</v>
      </c>
    </row>
    <row r="130" spans="4:8" ht="18.75" customHeight="1" x14ac:dyDescent="0.3"/>
    <row r="131" spans="4:8" ht="18.75" customHeight="1" x14ac:dyDescent="0.3"/>
    <row r="132" spans="4:8" ht="18.75" customHeight="1" x14ac:dyDescent="0.3"/>
    <row r="133" spans="4:8" ht="18.75" customHeight="1" x14ac:dyDescent="0.3"/>
    <row r="134" spans="4:8" ht="18.75" customHeight="1" x14ac:dyDescent="0.3"/>
    <row r="135" spans="4:8" ht="18.75" customHeight="1" x14ac:dyDescent="0.3"/>
    <row r="136" spans="4:8" ht="18.75" customHeight="1" x14ac:dyDescent="0.3"/>
    <row r="137" spans="4:8" ht="18.75" customHeight="1" x14ac:dyDescent="0.3"/>
    <row r="138" spans="4:8" ht="18.75" customHeight="1" x14ac:dyDescent="0.3"/>
    <row r="139" spans="4:8" ht="18.75" customHeight="1" x14ac:dyDescent="0.3"/>
    <row r="140" spans="4:8" ht="18.75" customHeight="1" x14ac:dyDescent="0.3"/>
    <row r="141" spans="4:8" ht="18.75" customHeight="1" x14ac:dyDescent="0.3"/>
    <row r="142" spans="4:8" ht="18.75" customHeight="1" x14ac:dyDescent="0.3"/>
    <row r="143" spans="4:8" ht="18.75" customHeight="1" x14ac:dyDescent="0.3"/>
    <row r="144" spans="4:8"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sheetData>
  <sheetProtection algorithmName="SHA-512" hashValue="Qshv8C9kgj23wpolSg4cwFcXXFfd8f4tHh84PIzDNOpF8huxHzFKlFHqlazJWfkZwzPL1R+IphmakKOnBDUybw==" saltValue="b7CbqI8feFqX1JeMU3ZVvQ==" spinCount="100000" sheet="1"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23"/>
  <sheetViews>
    <sheetView showGridLines="0" topLeftCell="A4" zoomScale="105" zoomScaleNormal="130" workbookViewId="0">
      <selection activeCell="AB12" sqref="AB12"/>
    </sheetView>
  </sheetViews>
  <sheetFormatPr defaultColWidth="9.1796875" defaultRowHeight="13" x14ac:dyDescent="0.25"/>
  <cols>
    <col min="1" max="1" width="16.54296875" style="45" customWidth="1"/>
    <col min="2" max="9" width="5.54296875" style="45" customWidth="1"/>
    <col min="10" max="10" width="9.54296875" style="45" bestFit="1" customWidth="1"/>
    <col min="11" max="11" width="8.54296875" style="45" customWidth="1"/>
    <col min="12" max="15" width="5.453125" style="45" customWidth="1"/>
    <col min="16" max="16" width="8" style="45" customWidth="1"/>
    <col min="17" max="22" width="5.453125" style="45" customWidth="1"/>
    <col min="23" max="23" width="5" style="45" customWidth="1"/>
    <col min="24" max="34" width="5.453125" style="45" customWidth="1"/>
    <col min="35" max="35" width="5" style="45" customWidth="1"/>
    <col min="36" max="46" width="5.453125" style="45" customWidth="1"/>
    <col min="47" max="16384" width="9.1796875" style="45"/>
  </cols>
  <sheetData>
    <row r="1" spans="1:28" x14ac:dyDescent="0.25">
      <c r="A1" s="44" t="s">
        <v>436</v>
      </c>
    </row>
    <row r="2" spans="1:28" x14ac:dyDescent="0.25">
      <c r="A2" s="46"/>
      <c r="F2" s="47"/>
      <c r="H2" s="48"/>
      <c r="I2" s="49"/>
      <c r="T2" s="50"/>
      <c r="V2" s="51"/>
      <c r="Y2" s="51"/>
      <c r="Z2" s="51"/>
    </row>
    <row r="4" spans="1:28" x14ac:dyDescent="0.25">
      <c r="A4" s="52" t="s">
        <v>437</v>
      </c>
    </row>
    <row r="6" spans="1:28" ht="48" customHeight="1" x14ac:dyDescent="0.25">
      <c r="A6" s="53" t="s">
        <v>438</v>
      </c>
      <c r="B6" s="53" t="s">
        <v>439</v>
      </c>
      <c r="C6" s="53" t="s">
        <v>440</v>
      </c>
      <c r="D6" s="53" t="s">
        <v>441</v>
      </c>
      <c r="E6" s="53" t="s">
        <v>442</v>
      </c>
      <c r="F6" s="53" t="s">
        <v>443</v>
      </c>
      <c r="G6" s="53" t="s">
        <v>444</v>
      </c>
      <c r="H6" s="53" t="s">
        <v>445</v>
      </c>
      <c r="I6" s="53" t="s">
        <v>446</v>
      </c>
      <c r="J6" s="53" t="s">
        <v>447</v>
      </c>
      <c r="K6" s="53" t="s">
        <v>448</v>
      </c>
      <c r="L6" s="53" t="s">
        <v>41</v>
      </c>
      <c r="M6" s="53" t="s">
        <v>42</v>
      </c>
      <c r="N6" s="53" t="s">
        <v>43</v>
      </c>
      <c r="O6" s="53" t="s">
        <v>199</v>
      </c>
      <c r="P6" s="53" t="s">
        <v>449</v>
      </c>
      <c r="Q6" s="53" t="s">
        <v>450</v>
      </c>
      <c r="R6" s="53" t="s">
        <v>451</v>
      </c>
      <c r="S6" s="53" t="s">
        <v>48</v>
      </c>
      <c r="T6" s="53" t="s">
        <v>50</v>
      </c>
      <c r="U6" s="53" t="s">
        <v>452</v>
      </c>
      <c r="V6" s="53" t="s">
        <v>453</v>
      </c>
      <c r="W6" s="53" t="s">
        <v>454</v>
      </c>
      <c r="X6" s="53" t="s">
        <v>56</v>
      </c>
      <c r="Y6" s="53" t="s">
        <v>455</v>
      </c>
      <c r="Z6" s="53" t="s">
        <v>456</v>
      </c>
      <c r="AA6" s="53" t="s">
        <v>457</v>
      </c>
      <c r="AB6" s="53" t="s">
        <v>122</v>
      </c>
    </row>
    <row r="7" spans="1:28" ht="22.5" customHeight="1" x14ac:dyDescent="0.25">
      <c r="A7" s="46" t="str">
        <f>IF($A$2="","",$A$2)</f>
        <v/>
      </c>
      <c r="B7" s="54">
        <f>'Project Compliance Tool'!C9</f>
        <v>0</v>
      </c>
      <c r="C7" s="54">
        <f>'Project Compliance Tool'!D9</f>
        <v>0</v>
      </c>
      <c r="D7" s="90">
        <f>'Project Compliance Tool'!E9</f>
        <v>0</v>
      </c>
      <c r="E7" s="55">
        <f>'Project Compliance Tool'!F9</f>
        <v>0</v>
      </c>
      <c r="F7" s="55">
        <f>'Project Compliance Tool'!G9</f>
        <v>0</v>
      </c>
      <c r="G7" s="56" t="str">
        <f>'Project Compliance Tool'!O65</f>
        <v/>
      </c>
      <c r="H7" s="56">
        <f>'Project Compliance Tool'!N65</f>
        <v>0</v>
      </c>
      <c r="I7" s="57" t="str">
        <f>IFERROR(H7/G7,"")</f>
        <v/>
      </c>
      <c r="J7" s="58">
        <f>IF(SUM($K$14:$K$22)&gt;0,"MPS",C13)</f>
        <v>0</v>
      </c>
      <c r="K7" s="58">
        <f>IF(SUM($K$14:$K$22)&gt;0,"MPS",D13)</f>
        <v>0</v>
      </c>
      <c r="L7" s="58">
        <f>IF(SUM($K$14:$K$22)&gt;0,"MPS",E13)</f>
        <v>0</v>
      </c>
      <c r="M7" s="58" t="str">
        <f>IF(SUM($K$14:$K$22)&gt;0,"MPS",F13)</f>
        <v/>
      </c>
      <c r="N7" s="58">
        <f>IF(SUM($K$14:$K$22)&gt;0,"Multiple Project Types",G13)</f>
        <v>0</v>
      </c>
      <c r="O7" s="58">
        <f>IF(SUM($K$14:$K$22)&gt;0,"MPS",H13)</f>
        <v>0</v>
      </c>
      <c r="P7" s="58">
        <f>IF(SUM($K$14:$K$22)&gt;0,"MPS",I13)</f>
        <v>0</v>
      </c>
      <c r="Q7" s="58">
        <f>IF(SUM($K$14:$K$22)&gt;0,"MPS",J13)</f>
        <v>0</v>
      </c>
      <c r="R7" s="58" t="str">
        <f>IF(SUM($K$14:$K$22)&gt;0,"MPS",K13)</f>
        <v/>
      </c>
      <c r="S7" s="59" t="e">
        <f>IF(R7="MPS","MPS",R7/P7)</f>
        <v>#VALUE!</v>
      </c>
      <c r="T7" s="56" t="str">
        <f>'Project Compliance Tool'!P65</f>
        <v/>
      </c>
      <c r="U7" s="60" t="str">
        <f>'Project Compliance Tool'!Q65</f>
        <v/>
      </c>
      <c r="V7" s="60" t="str">
        <f>'Project Compliance Tool'!R65</f>
        <v/>
      </c>
      <c r="W7" s="60" t="str">
        <f>'Project Compliance Tool'!S65</f>
        <v/>
      </c>
      <c r="X7" s="58" t="str">
        <f>IF(SUM($M$14:$M$22)&gt;0,"MPS",M13)</f>
        <v/>
      </c>
      <c r="Y7" s="61" t="str">
        <f>'Project Compliance Tool'!T65</f>
        <v/>
      </c>
      <c r="Z7" s="61" t="str">
        <f>'Project Compliance Tool'!U65</f>
        <v/>
      </c>
      <c r="AA7" s="56">
        <f>Q23</f>
        <v>0</v>
      </c>
      <c r="AB7" s="61" t="str">
        <f>'Project Compliance Tool'!V65</f>
        <v>Please Select Programme</v>
      </c>
    </row>
    <row r="10" spans="1:28" x14ac:dyDescent="0.25">
      <c r="A10" s="52" t="s">
        <v>458</v>
      </c>
    </row>
    <row r="12" spans="1:28" ht="78" x14ac:dyDescent="0.25">
      <c r="A12" s="53" t="s">
        <v>438</v>
      </c>
      <c r="B12" s="53" t="s">
        <v>459</v>
      </c>
      <c r="C12" s="53" t="s">
        <v>460</v>
      </c>
      <c r="D12" s="53" t="s">
        <v>461</v>
      </c>
      <c r="E12" s="53" t="s">
        <v>41</v>
      </c>
      <c r="F12" s="53" t="s">
        <v>42</v>
      </c>
      <c r="G12" s="53" t="s">
        <v>43</v>
      </c>
      <c r="H12" s="53" t="s">
        <v>44</v>
      </c>
      <c r="I12" s="53" t="s">
        <v>45</v>
      </c>
      <c r="J12" s="53" t="s">
        <v>46</v>
      </c>
      <c r="K12" s="53" t="s">
        <v>47</v>
      </c>
      <c r="L12" s="53" t="s">
        <v>48</v>
      </c>
      <c r="M12" s="53" t="s">
        <v>56</v>
      </c>
      <c r="N12" s="53" t="s">
        <v>462</v>
      </c>
      <c r="O12" s="53" t="s">
        <v>454</v>
      </c>
      <c r="P12" s="53" t="s">
        <v>463</v>
      </c>
      <c r="Q12" s="53" t="s">
        <v>457</v>
      </c>
      <c r="R12" s="53" t="s">
        <v>464</v>
      </c>
      <c r="T12" s="53" t="s">
        <v>465</v>
      </c>
      <c r="U12" s="53" t="s">
        <v>466</v>
      </c>
    </row>
    <row r="13" spans="1:28" ht="39" x14ac:dyDescent="0.25">
      <c r="A13" s="46" t="str">
        <f>IF($A$2="","",$A$2)</f>
        <v/>
      </c>
      <c r="B13" s="46" t="e">
        <f>U13&amp;T13&amp;$A$2</f>
        <v>#N/A</v>
      </c>
      <c r="C13" s="46">
        <f>'Project Compliance Tool'!D12</f>
        <v>0</v>
      </c>
      <c r="D13" s="62">
        <f>'Project Compliance Tool'!E12</f>
        <v>0</v>
      </c>
      <c r="E13" s="62">
        <f>'Project Compliance Tool'!F12</f>
        <v>0</v>
      </c>
      <c r="F13" s="62" t="str">
        <f>'Project Compliance Tool'!G12</f>
        <v/>
      </c>
      <c r="G13" s="46">
        <f>'Project Compliance Tool'!H12</f>
        <v>0</v>
      </c>
      <c r="H13" s="46">
        <f>'Project Compliance Tool'!I12</f>
        <v>0</v>
      </c>
      <c r="I13" s="62">
        <f>'Project Compliance Tool'!K12</f>
        <v>0</v>
      </c>
      <c r="J13" s="62">
        <f>'Project Compliance Tool'!L12</f>
        <v>0</v>
      </c>
      <c r="K13" s="62" t="str">
        <f>'Project Compliance Tool'!M12</f>
        <v/>
      </c>
      <c r="L13" s="63">
        <f>'Project Compliance Tool'!N12</f>
        <v>0</v>
      </c>
      <c r="M13" s="62" t="str">
        <f>'Project Compliance Tool'!W12</f>
        <v/>
      </c>
      <c r="N13" s="56" t="str">
        <f>'Project Compliance Tool'!P12</f>
        <v/>
      </c>
      <c r="O13" s="62" t="str">
        <f>'Project Compliance Tool'!S12</f>
        <v/>
      </c>
      <c r="P13" s="62" t="str">
        <f>'Project Compliance Tool'!T12</f>
        <v/>
      </c>
      <c r="Q13" s="56" t="str">
        <f>IFERROR(N13*M13,"")</f>
        <v/>
      </c>
      <c r="R13" s="56">
        <f>'Project Compliance Tool'!O12</f>
        <v>0</v>
      </c>
      <c r="T13" s="46">
        <f>COUNTIF($U$13:U13,U13)</f>
        <v>1</v>
      </c>
      <c r="U13" s="46" t="e">
        <f>VLOOKUP(C13,'Eligible Technologies'!$J$17:$Q$26,7,FALSE)</f>
        <v>#N/A</v>
      </c>
      <c r="V13" s="64">
        <f t="shared" ref="V13:V22" si="0">IF(LEN(TRIM(C13))=0,0,LEN(TRIM(C13))-LEN(SUBSTITUTE(C13," ",""))+1)</f>
        <v>1</v>
      </c>
      <c r="W13" s="64" t="e">
        <f>RIGHT(C13,LEN(C13)-FIND("^^",SUBSTITUTE(C13," ",
"^^",LEN(C13)-LEN(SUBSTITUTE(C13," ","")))))</f>
        <v>#VALUE!</v>
      </c>
    </row>
    <row r="14" spans="1:28" ht="52" x14ac:dyDescent="0.25">
      <c r="A14" s="46" t="str">
        <f t="shared" ref="A14:A22" si="1">IF($A$2="","",$A$2)</f>
        <v/>
      </c>
      <c r="B14" s="46" t="e">
        <f>U14&amp;T14&amp;$A$2</f>
        <v>#N/A</v>
      </c>
      <c r="C14" s="46">
        <f>'Project Compliance Tool'!D13</f>
        <v>0</v>
      </c>
      <c r="D14" s="62">
        <f>'Project Compliance Tool'!E13</f>
        <v>0</v>
      </c>
      <c r="E14" s="62">
        <f>'Project Compliance Tool'!F13</f>
        <v>0</v>
      </c>
      <c r="F14" s="62" t="str">
        <f>'Project Compliance Tool'!G13</f>
        <v/>
      </c>
      <c r="G14" s="46">
        <f>'Project Compliance Tool'!H13</f>
        <v>0</v>
      </c>
      <c r="H14" s="46">
        <f>'Project Compliance Tool'!I13</f>
        <v>0</v>
      </c>
      <c r="I14" s="62">
        <f>'Project Compliance Tool'!K13</f>
        <v>0</v>
      </c>
      <c r="J14" s="62">
        <f>'Project Compliance Tool'!L13</f>
        <v>0</v>
      </c>
      <c r="K14" s="62" t="str">
        <f>'Project Compliance Tool'!M13</f>
        <v/>
      </c>
      <c r="L14" s="63">
        <f>'Project Compliance Tool'!N13</f>
        <v>0</v>
      </c>
      <c r="M14" s="62" t="str">
        <f>'Project Compliance Tool'!W13</f>
        <v/>
      </c>
      <c r="N14" s="56" t="str">
        <f>'Project Compliance Tool'!P13</f>
        <v/>
      </c>
      <c r="O14" s="62" t="str">
        <f>'Project Compliance Tool'!S13</f>
        <v/>
      </c>
      <c r="P14" s="62" t="str">
        <f>'Project Compliance Tool'!T13</f>
        <v/>
      </c>
      <c r="Q14" s="56" t="str">
        <f t="shared" ref="Q14:Q22" si="2">IFERROR(N14*M14,"")</f>
        <v/>
      </c>
      <c r="R14" s="56">
        <f>'Project Compliance Tool'!O13</f>
        <v>0</v>
      </c>
      <c r="T14" s="46">
        <f>COUNTIF($U$13:U14,U14)</f>
        <v>2</v>
      </c>
      <c r="U14" s="46" t="e">
        <f>VLOOKUP(C14,'Eligible Technologies'!$J$17:$Q$26,7,FALSE)</f>
        <v>#N/A</v>
      </c>
      <c r="V14" s="64">
        <f t="shared" si="0"/>
        <v>1</v>
      </c>
      <c r="W14" s="64" t="e">
        <f>RIGHT(C14,LEN(C14)-FIND("^^",SUBSTITUTE(C14," ",
"^^",LEN(C14)-LEN(SUBSTITUTE(C14," ","")))))</f>
        <v>#VALUE!</v>
      </c>
    </row>
    <row r="15" spans="1:28" x14ac:dyDescent="0.25">
      <c r="A15" s="46" t="str">
        <f t="shared" si="1"/>
        <v/>
      </c>
      <c r="B15" s="46" t="e">
        <f t="shared" ref="B15:B22" si="3">U15&amp;T15&amp;$A$2</f>
        <v>#N/A</v>
      </c>
      <c r="C15" s="46">
        <f>'Project Compliance Tool'!D14</f>
        <v>0</v>
      </c>
      <c r="D15" s="62">
        <f>'Project Compliance Tool'!E14</f>
        <v>0</v>
      </c>
      <c r="E15" s="62">
        <f>'Project Compliance Tool'!F14</f>
        <v>0</v>
      </c>
      <c r="F15" s="62" t="str">
        <f>'Project Compliance Tool'!G14</f>
        <v/>
      </c>
      <c r="G15" s="46">
        <f>'Project Compliance Tool'!H14</f>
        <v>0</v>
      </c>
      <c r="H15" s="46">
        <f>'Project Compliance Tool'!I14</f>
        <v>0</v>
      </c>
      <c r="I15" s="62">
        <f>'Project Compliance Tool'!K14</f>
        <v>0</v>
      </c>
      <c r="J15" s="62">
        <f>'Project Compliance Tool'!L14</f>
        <v>0</v>
      </c>
      <c r="K15" s="62" t="str">
        <f>'Project Compliance Tool'!M14</f>
        <v/>
      </c>
      <c r="L15" s="63">
        <f>'Project Compliance Tool'!N14</f>
        <v>0</v>
      </c>
      <c r="M15" s="62" t="str">
        <f>'Project Compliance Tool'!W14</f>
        <v/>
      </c>
      <c r="N15" s="56" t="str">
        <f>'Project Compliance Tool'!P14</f>
        <v/>
      </c>
      <c r="O15" s="62" t="str">
        <f>'Project Compliance Tool'!S14</f>
        <v/>
      </c>
      <c r="P15" s="62" t="str">
        <f>'Project Compliance Tool'!T14</f>
        <v/>
      </c>
      <c r="Q15" s="56" t="str">
        <f t="shared" si="2"/>
        <v/>
      </c>
      <c r="R15" s="56">
        <f>'Project Compliance Tool'!O14</f>
        <v>0</v>
      </c>
      <c r="T15" s="46">
        <f>COUNTIF($U$13:U15,U15)</f>
        <v>3</v>
      </c>
      <c r="U15" s="46" t="e">
        <f>VLOOKUP(C15,'Eligible Technologies'!$J$17:$Q$26,7,FALSE)</f>
        <v>#N/A</v>
      </c>
      <c r="V15" s="64">
        <f t="shared" si="0"/>
        <v>1</v>
      </c>
      <c r="W15" s="64" t="e">
        <f>RIGHT(C15,LEN(C15)-FIND("^^",SUBSTITUTE(C15," ",
"^^",LEN(C15)-LEN(SUBSTITUTE(C15," ","")))))</f>
        <v>#VALUE!</v>
      </c>
    </row>
    <row r="16" spans="1:28" x14ac:dyDescent="0.25">
      <c r="A16" s="46" t="str">
        <f t="shared" si="1"/>
        <v/>
      </c>
      <c r="B16" s="46" t="e">
        <f t="shared" si="3"/>
        <v>#N/A</v>
      </c>
      <c r="C16" s="46">
        <f>'Project Compliance Tool'!D15</f>
        <v>0</v>
      </c>
      <c r="D16" s="62">
        <f>'Project Compliance Tool'!E15</f>
        <v>0</v>
      </c>
      <c r="E16" s="62">
        <f>'Project Compliance Tool'!F15</f>
        <v>0</v>
      </c>
      <c r="F16" s="62" t="str">
        <f>'Project Compliance Tool'!G15</f>
        <v/>
      </c>
      <c r="G16" s="46">
        <f>'Project Compliance Tool'!H15</f>
        <v>0</v>
      </c>
      <c r="H16" s="46">
        <f>'Project Compliance Tool'!I15</f>
        <v>0</v>
      </c>
      <c r="I16" s="62">
        <f>'Project Compliance Tool'!K15</f>
        <v>0</v>
      </c>
      <c r="J16" s="62">
        <f>'Project Compliance Tool'!L15</f>
        <v>0</v>
      </c>
      <c r="K16" s="62" t="str">
        <f>'Project Compliance Tool'!M15</f>
        <v/>
      </c>
      <c r="L16" s="63">
        <f>'Project Compliance Tool'!N15</f>
        <v>0</v>
      </c>
      <c r="M16" s="62" t="str">
        <f>'Project Compliance Tool'!W15</f>
        <v/>
      </c>
      <c r="N16" s="56" t="str">
        <f>'Project Compliance Tool'!P15</f>
        <v/>
      </c>
      <c r="O16" s="62" t="str">
        <f>'Project Compliance Tool'!S15</f>
        <v/>
      </c>
      <c r="P16" s="62" t="str">
        <f>'Project Compliance Tool'!T15</f>
        <v/>
      </c>
      <c r="Q16" s="56" t="str">
        <f t="shared" si="2"/>
        <v/>
      </c>
      <c r="R16" s="56">
        <f>'Project Compliance Tool'!O15</f>
        <v>0</v>
      </c>
      <c r="T16" s="46">
        <f>COUNTIF($U$13:U16,U16)</f>
        <v>4</v>
      </c>
      <c r="U16" s="46" t="e">
        <f>VLOOKUP(C16,'Eligible Technologies'!$J$17:$Q$26,7,FALSE)</f>
        <v>#N/A</v>
      </c>
      <c r="V16" s="64">
        <f t="shared" si="0"/>
        <v>1</v>
      </c>
      <c r="W16" s="64" t="e">
        <f>RIGHT(C16,LEN(C16)-FIND("^^",SUBSTITUTE(C16," ",
"^^",LEN(C16)-LEN(SUBSTITUTE(C16," ","")))))</f>
        <v>#VALUE!</v>
      </c>
    </row>
    <row r="17" spans="1:23" x14ac:dyDescent="0.25">
      <c r="A17" s="46" t="str">
        <f t="shared" si="1"/>
        <v/>
      </c>
      <c r="B17" s="46" t="e">
        <f t="shared" si="3"/>
        <v>#N/A</v>
      </c>
      <c r="C17" s="46">
        <f>'Project Compliance Tool'!D16</f>
        <v>0</v>
      </c>
      <c r="D17" s="62">
        <f>'Project Compliance Tool'!E16</f>
        <v>0</v>
      </c>
      <c r="E17" s="62">
        <f>'Project Compliance Tool'!F16</f>
        <v>0</v>
      </c>
      <c r="F17" s="62" t="str">
        <f>'Project Compliance Tool'!G16</f>
        <v/>
      </c>
      <c r="G17" s="46">
        <f>'Project Compliance Tool'!H16</f>
        <v>0</v>
      </c>
      <c r="H17" s="46">
        <f>'Project Compliance Tool'!I16</f>
        <v>0</v>
      </c>
      <c r="I17" s="62">
        <f>'Project Compliance Tool'!K16</f>
        <v>0</v>
      </c>
      <c r="J17" s="62">
        <f>'Project Compliance Tool'!L16</f>
        <v>0</v>
      </c>
      <c r="K17" s="62" t="str">
        <f>'Project Compliance Tool'!M16</f>
        <v/>
      </c>
      <c r="L17" s="63">
        <f>'Project Compliance Tool'!N16</f>
        <v>0</v>
      </c>
      <c r="M17" s="62" t="str">
        <f>'Project Compliance Tool'!W16</f>
        <v/>
      </c>
      <c r="N17" s="56" t="str">
        <f>'Project Compliance Tool'!P16</f>
        <v/>
      </c>
      <c r="O17" s="62" t="str">
        <f>'Project Compliance Tool'!S16</f>
        <v/>
      </c>
      <c r="P17" s="62" t="str">
        <f>'Project Compliance Tool'!T16</f>
        <v/>
      </c>
      <c r="Q17" s="56" t="str">
        <f t="shared" si="2"/>
        <v/>
      </c>
      <c r="R17" s="56">
        <f>'Project Compliance Tool'!O16</f>
        <v>0</v>
      </c>
      <c r="T17" s="46">
        <f>COUNTIF($U$13:U17,U17)</f>
        <v>5</v>
      </c>
      <c r="U17" s="46" t="e">
        <f>VLOOKUP(C17,'Eligible Technologies'!$J$17:$Q$26,7,FALSE)</f>
        <v>#N/A</v>
      </c>
      <c r="V17" s="64">
        <f t="shared" si="0"/>
        <v>1</v>
      </c>
      <c r="W17" s="64" t="e">
        <f t="shared" ref="W17:W22" si="4">RIGHT(C17,LEN(C17)-FIND("^^",SUBSTITUTE(C17," ",
"^^",LEN(C17)-LEN(SUBSTITUTE(C17," ","")))))</f>
        <v>#VALUE!</v>
      </c>
    </row>
    <row r="18" spans="1:23" x14ac:dyDescent="0.25">
      <c r="A18" s="46" t="str">
        <f t="shared" si="1"/>
        <v/>
      </c>
      <c r="B18" s="46" t="e">
        <f t="shared" si="3"/>
        <v>#N/A</v>
      </c>
      <c r="C18" s="46">
        <f>'Project Compliance Tool'!D17</f>
        <v>0</v>
      </c>
      <c r="D18" s="62">
        <f>'Project Compliance Tool'!E17</f>
        <v>0</v>
      </c>
      <c r="E18" s="62">
        <f>'Project Compliance Tool'!F17</f>
        <v>0</v>
      </c>
      <c r="F18" s="62" t="str">
        <f>'Project Compliance Tool'!G17</f>
        <v/>
      </c>
      <c r="G18" s="46">
        <f>'Project Compliance Tool'!H17</f>
        <v>0</v>
      </c>
      <c r="H18" s="46">
        <f>'Project Compliance Tool'!I17</f>
        <v>0</v>
      </c>
      <c r="I18" s="62">
        <f>'Project Compliance Tool'!K17</f>
        <v>0</v>
      </c>
      <c r="J18" s="62">
        <f>'Project Compliance Tool'!L17</f>
        <v>0</v>
      </c>
      <c r="K18" s="62" t="str">
        <f>'Project Compliance Tool'!M17</f>
        <v/>
      </c>
      <c r="L18" s="63">
        <f>'Project Compliance Tool'!N17</f>
        <v>0</v>
      </c>
      <c r="M18" s="62" t="str">
        <f>'Project Compliance Tool'!W17</f>
        <v/>
      </c>
      <c r="N18" s="56" t="str">
        <f>'Project Compliance Tool'!P17</f>
        <v/>
      </c>
      <c r="O18" s="62" t="str">
        <f>'Project Compliance Tool'!S17</f>
        <v/>
      </c>
      <c r="P18" s="62" t="str">
        <f>'Project Compliance Tool'!T17</f>
        <v/>
      </c>
      <c r="Q18" s="56" t="str">
        <f t="shared" si="2"/>
        <v/>
      </c>
      <c r="R18" s="56">
        <f>'Project Compliance Tool'!O17</f>
        <v>0</v>
      </c>
      <c r="T18" s="46">
        <f>COUNTIF($U$13:U18,U18)</f>
        <v>6</v>
      </c>
      <c r="U18" s="46" t="e">
        <f>VLOOKUP(C18,'Eligible Technologies'!$J$17:$Q$26,7,FALSE)</f>
        <v>#N/A</v>
      </c>
      <c r="V18" s="64">
        <f t="shared" si="0"/>
        <v>1</v>
      </c>
      <c r="W18" s="64" t="e">
        <f t="shared" si="4"/>
        <v>#VALUE!</v>
      </c>
    </row>
    <row r="19" spans="1:23" x14ac:dyDescent="0.25">
      <c r="A19" s="46" t="str">
        <f t="shared" si="1"/>
        <v/>
      </c>
      <c r="B19" s="46" t="e">
        <f t="shared" si="3"/>
        <v>#N/A</v>
      </c>
      <c r="C19" s="46">
        <f>'Project Compliance Tool'!D18</f>
        <v>0</v>
      </c>
      <c r="D19" s="62">
        <f>'Project Compliance Tool'!E18</f>
        <v>0</v>
      </c>
      <c r="E19" s="62">
        <f>'Project Compliance Tool'!F18</f>
        <v>0</v>
      </c>
      <c r="F19" s="62" t="str">
        <f>'Project Compliance Tool'!G18</f>
        <v/>
      </c>
      <c r="G19" s="46">
        <f>'Project Compliance Tool'!H18</f>
        <v>0</v>
      </c>
      <c r="H19" s="46">
        <f>'Project Compliance Tool'!I18</f>
        <v>0</v>
      </c>
      <c r="I19" s="62">
        <f>'Project Compliance Tool'!K18</f>
        <v>0</v>
      </c>
      <c r="J19" s="62">
        <f>'Project Compliance Tool'!L18</f>
        <v>0</v>
      </c>
      <c r="K19" s="62" t="str">
        <f>'Project Compliance Tool'!M18</f>
        <v/>
      </c>
      <c r="L19" s="63">
        <f>'Project Compliance Tool'!N18</f>
        <v>0</v>
      </c>
      <c r="M19" s="62" t="str">
        <f>'Project Compliance Tool'!W18</f>
        <v/>
      </c>
      <c r="N19" s="56" t="str">
        <f>'Project Compliance Tool'!P18</f>
        <v/>
      </c>
      <c r="O19" s="62" t="str">
        <f>'Project Compliance Tool'!S18</f>
        <v/>
      </c>
      <c r="P19" s="62" t="str">
        <f>'Project Compliance Tool'!T18</f>
        <v/>
      </c>
      <c r="Q19" s="56" t="str">
        <f t="shared" si="2"/>
        <v/>
      </c>
      <c r="R19" s="56">
        <f>'Project Compliance Tool'!O18</f>
        <v>0</v>
      </c>
      <c r="T19" s="46">
        <f>COUNTIF($U$13:U19,U19)</f>
        <v>7</v>
      </c>
      <c r="U19" s="46" t="e">
        <f>VLOOKUP(C19,'Eligible Technologies'!$J$17:$Q$26,7,FALSE)</f>
        <v>#N/A</v>
      </c>
      <c r="V19" s="64">
        <f t="shared" si="0"/>
        <v>1</v>
      </c>
      <c r="W19" s="64" t="e">
        <f t="shared" si="4"/>
        <v>#VALUE!</v>
      </c>
    </row>
    <row r="20" spans="1:23" x14ac:dyDescent="0.25">
      <c r="A20" s="46" t="str">
        <f t="shared" si="1"/>
        <v/>
      </c>
      <c r="B20" s="46" t="e">
        <f t="shared" si="3"/>
        <v>#N/A</v>
      </c>
      <c r="C20" s="46">
        <f>'Project Compliance Tool'!D19</f>
        <v>0</v>
      </c>
      <c r="D20" s="62">
        <f>'Project Compliance Tool'!E19</f>
        <v>0</v>
      </c>
      <c r="E20" s="62">
        <f>'Project Compliance Tool'!F19</f>
        <v>0</v>
      </c>
      <c r="F20" s="62" t="str">
        <f>'Project Compliance Tool'!G19</f>
        <v/>
      </c>
      <c r="G20" s="46">
        <f>'Project Compliance Tool'!H19</f>
        <v>0</v>
      </c>
      <c r="H20" s="46">
        <f>'Project Compliance Tool'!I19</f>
        <v>0</v>
      </c>
      <c r="I20" s="62">
        <f>'Project Compliance Tool'!K19</f>
        <v>0</v>
      </c>
      <c r="J20" s="62">
        <f>'Project Compliance Tool'!L19</f>
        <v>0</v>
      </c>
      <c r="K20" s="62" t="str">
        <f>'Project Compliance Tool'!M19</f>
        <v/>
      </c>
      <c r="L20" s="63">
        <f>'Project Compliance Tool'!N19</f>
        <v>0</v>
      </c>
      <c r="M20" s="62" t="str">
        <f>'Project Compliance Tool'!W19</f>
        <v/>
      </c>
      <c r="N20" s="56" t="str">
        <f>'Project Compliance Tool'!P19</f>
        <v/>
      </c>
      <c r="O20" s="62" t="str">
        <f>'Project Compliance Tool'!S19</f>
        <v/>
      </c>
      <c r="P20" s="62" t="str">
        <f>'Project Compliance Tool'!T19</f>
        <v/>
      </c>
      <c r="Q20" s="56" t="str">
        <f t="shared" si="2"/>
        <v/>
      </c>
      <c r="R20" s="56">
        <f>'Project Compliance Tool'!O19</f>
        <v>0</v>
      </c>
      <c r="T20" s="46">
        <f>COUNTIF($U$13:U20,U20)</f>
        <v>8</v>
      </c>
      <c r="U20" s="46" t="e">
        <f>VLOOKUP(C20,'Eligible Technologies'!$J$17:$Q$26,7,FALSE)</f>
        <v>#N/A</v>
      </c>
      <c r="V20" s="64">
        <f t="shared" si="0"/>
        <v>1</v>
      </c>
      <c r="W20" s="64" t="e">
        <f t="shared" si="4"/>
        <v>#VALUE!</v>
      </c>
    </row>
    <row r="21" spans="1:23" x14ac:dyDescent="0.25">
      <c r="A21" s="46" t="str">
        <f t="shared" si="1"/>
        <v/>
      </c>
      <c r="B21" s="46" t="e">
        <f t="shared" si="3"/>
        <v>#N/A</v>
      </c>
      <c r="C21" s="46">
        <f>'Project Compliance Tool'!D20</f>
        <v>0</v>
      </c>
      <c r="D21" s="62">
        <f>'Project Compliance Tool'!E20</f>
        <v>0</v>
      </c>
      <c r="E21" s="62">
        <f>'Project Compliance Tool'!F20</f>
        <v>0</v>
      </c>
      <c r="F21" s="62" t="str">
        <f>'Project Compliance Tool'!G20</f>
        <v/>
      </c>
      <c r="G21" s="46">
        <f>'Project Compliance Tool'!H20</f>
        <v>0</v>
      </c>
      <c r="H21" s="46">
        <f>'Project Compliance Tool'!I20</f>
        <v>0</v>
      </c>
      <c r="I21" s="62">
        <f>'Project Compliance Tool'!K20</f>
        <v>0</v>
      </c>
      <c r="J21" s="62">
        <f>'Project Compliance Tool'!L20</f>
        <v>0</v>
      </c>
      <c r="K21" s="62" t="str">
        <f>'Project Compliance Tool'!M20</f>
        <v/>
      </c>
      <c r="L21" s="63">
        <f>'Project Compliance Tool'!N20</f>
        <v>0</v>
      </c>
      <c r="M21" s="62" t="str">
        <f>'Project Compliance Tool'!W20</f>
        <v/>
      </c>
      <c r="N21" s="56" t="str">
        <f>'Project Compliance Tool'!P20</f>
        <v/>
      </c>
      <c r="O21" s="62" t="str">
        <f>'Project Compliance Tool'!S20</f>
        <v/>
      </c>
      <c r="P21" s="62" t="str">
        <f>'Project Compliance Tool'!T20</f>
        <v/>
      </c>
      <c r="Q21" s="56" t="str">
        <f t="shared" si="2"/>
        <v/>
      </c>
      <c r="R21" s="56">
        <f>'Project Compliance Tool'!O20</f>
        <v>0</v>
      </c>
      <c r="T21" s="46">
        <f>COUNTIF($U$13:U21,U21)</f>
        <v>9</v>
      </c>
      <c r="U21" s="46" t="e">
        <f>VLOOKUP(C21,'Eligible Technologies'!$J$17:$Q$26,7,FALSE)</f>
        <v>#N/A</v>
      </c>
      <c r="V21" s="64">
        <f t="shared" si="0"/>
        <v>1</v>
      </c>
      <c r="W21" s="64" t="e">
        <f t="shared" si="4"/>
        <v>#VALUE!</v>
      </c>
    </row>
    <row r="22" spans="1:23" x14ac:dyDescent="0.25">
      <c r="A22" s="46" t="str">
        <f t="shared" si="1"/>
        <v/>
      </c>
      <c r="B22" s="46" t="e">
        <f t="shared" si="3"/>
        <v>#N/A</v>
      </c>
      <c r="C22" s="46">
        <f>'Project Compliance Tool'!D61</f>
        <v>0</v>
      </c>
      <c r="D22" s="62">
        <f>'Project Compliance Tool'!E61</f>
        <v>0</v>
      </c>
      <c r="E22" s="62">
        <f>'Project Compliance Tool'!F61</f>
        <v>0</v>
      </c>
      <c r="F22" s="62" t="str">
        <f>'Project Compliance Tool'!G61</f>
        <v/>
      </c>
      <c r="G22" s="46">
        <f>'Project Compliance Tool'!H61</f>
        <v>0</v>
      </c>
      <c r="H22" s="46">
        <f>'Project Compliance Tool'!I61</f>
        <v>0</v>
      </c>
      <c r="I22" s="62">
        <f>'Project Compliance Tool'!K61</f>
        <v>0</v>
      </c>
      <c r="J22" s="62">
        <f>'Project Compliance Tool'!L61</f>
        <v>0</v>
      </c>
      <c r="K22" s="62" t="str">
        <f>'Project Compliance Tool'!M61</f>
        <v/>
      </c>
      <c r="L22" s="63">
        <f>'Project Compliance Tool'!N61</f>
        <v>0</v>
      </c>
      <c r="M22" s="62" t="str">
        <f>'Project Compliance Tool'!W61</f>
        <v/>
      </c>
      <c r="N22" s="56" t="str">
        <f>'Project Compliance Tool'!P61</f>
        <v/>
      </c>
      <c r="O22" s="62" t="str">
        <f>'Project Compliance Tool'!S61</f>
        <v/>
      </c>
      <c r="P22" s="62" t="str">
        <f>'Project Compliance Tool'!T61</f>
        <v/>
      </c>
      <c r="Q22" s="56" t="str">
        <f t="shared" si="2"/>
        <v/>
      </c>
      <c r="R22" s="56">
        <f>'Project Compliance Tool'!O61</f>
        <v>0</v>
      </c>
      <c r="T22" s="46">
        <f>COUNTIF($U$13:U22,U22)</f>
        <v>10</v>
      </c>
      <c r="U22" s="46" t="e">
        <f>VLOOKUP(C22,'Eligible Technologies'!$J$17:$Q$26,7,FALSE)</f>
        <v>#N/A</v>
      </c>
      <c r="V22" s="64">
        <f t="shared" si="0"/>
        <v>1</v>
      </c>
      <c r="W22" s="64" t="e">
        <f t="shared" si="4"/>
        <v>#VALUE!</v>
      </c>
    </row>
    <row r="23" spans="1:23" x14ac:dyDescent="0.25">
      <c r="N23" s="56">
        <f>SUM(N13:N22)</f>
        <v>0</v>
      </c>
      <c r="O23" s="61">
        <f>SUM(O13:O22)</f>
        <v>0</v>
      </c>
      <c r="P23" s="61">
        <f>SUM(P13:P22)</f>
        <v>0</v>
      </c>
      <c r="Q23" s="56">
        <f>SUM(Q13:Q22)</f>
        <v>0</v>
      </c>
      <c r="R23" s="56">
        <f>SUM(R13:R22)</f>
        <v>0</v>
      </c>
    </row>
  </sheetData>
  <sheetProtection algorithmName="SHA-512" hashValue="4rKqlHARhD06BatU2PsWe5IG/5XyWpDZu/AFl7uQMXt7S7lBXVUPxDK55xpP05CaFH99+weT+tfwGi6pWG13VQ==" saltValue="Gpb0DpCDQRrhsKMCsXELIA==" spinCount="100000" sheet="1" formatColumns="0" formatRows="0"/>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BA6F-7DCE-4F1B-9460-358E553AF87C}">
  <sheetPr codeName="Sheet7">
    <tabColor rgb="FF2DAE76"/>
  </sheetPr>
  <dimension ref="A1:B12"/>
  <sheetViews>
    <sheetView showRowColHeaders="0" zoomScaleNormal="100" workbookViewId="0">
      <selection activeCell="B7" sqref="B7"/>
    </sheetView>
  </sheetViews>
  <sheetFormatPr defaultColWidth="9.1796875" defaultRowHeight="12.5" x14ac:dyDescent="0.25"/>
  <cols>
    <col min="1" max="1" width="4.1796875" style="34" customWidth="1"/>
    <col min="2" max="2" width="187.54296875" style="34" customWidth="1"/>
    <col min="3" max="16384" width="9.1796875" style="34"/>
  </cols>
  <sheetData>
    <row r="1" spans="1:2" ht="16" thickBot="1" x14ac:dyDescent="0.3">
      <c r="A1" s="40"/>
      <c r="B1" s="41"/>
    </row>
    <row r="2" spans="1:2" ht="15.5" x14ac:dyDescent="0.25">
      <c r="A2" s="40"/>
      <c r="B2" s="91"/>
    </row>
    <row r="3" spans="1:2" ht="34.5" customHeight="1" x14ac:dyDescent="0.25">
      <c r="B3" s="92" t="s">
        <v>1</v>
      </c>
    </row>
    <row r="4" spans="1:2" ht="13.5" customHeight="1" x14ac:dyDescent="0.25">
      <c r="B4" s="93" t="str">
        <f ca="1">"© Salix Finance "&amp;YEAR(NOW())</f>
        <v>© Salix Finance 2023</v>
      </c>
    </row>
    <row r="5" spans="1:2" ht="13.5" customHeight="1" x14ac:dyDescent="0.25">
      <c r="B5" s="93"/>
    </row>
    <row r="6" spans="1:2" ht="21" customHeight="1" x14ac:dyDescent="0.25">
      <c r="B6" s="94" t="s">
        <v>2</v>
      </c>
    </row>
    <row r="7" spans="1:2" ht="51" customHeight="1" x14ac:dyDescent="0.25">
      <c r="B7" s="95" t="s">
        <v>3</v>
      </c>
    </row>
    <row r="8" spans="1:2" ht="21.75" customHeight="1" x14ac:dyDescent="0.25">
      <c r="B8" s="94" t="s">
        <v>4</v>
      </c>
    </row>
    <row r="9" spans="1:2" ht="59" customHeight="1" x14ac:dyDescent="0.25">
      <c r="B9" s="95" t="s">
        <v>5</v>
      </c>
    </row>
    <row r="10" spans="1:2" ht="23.5" customHeight="1" x14ac:dyDescent="0.25">
      <c r="B10" s="94" t="s">
        <v>6</v>
      </c>
    </row>
    <row r="11" spans="1:2" ht="97" customHeight="1" x14ac:dyDescent="0.25">
      <c r="B11" s="95" t="s">
        <v>532</v>
      </c>
    </row>
    <row r="12" spans="1:2" ht="16" thickBot="1" x14ac:dyDescent="0.3">
      <c r="A12" s="41"/>
      <c r="B12" s="96"/>
    </row>
  </sheetData>
  <sheetProtection algorithmName="SHA-512" hashValue="cgbA8+FOKojojCv6JbrZ01lKzuowofgkkj0dW79MRVIkF9wgzCsmqCAbNEw/v9H3Z2JBdEuxmdSa+wMI3qZmNQ==" saltValue="csCRs+lARUi06zb8wTLqFA==" spinCount="100000" sheet="1" selectLockedCells="1" selectUnlockedCells="1"/>
  <pageMargins left="0.7" right="0.7" top="0.75" bottom="0.75" header="0.3" footer="0.3"/>
  <pageSetup paperSize="9" scale="84" orientation="portrait" r:id="rId1"/>
  <colBreaks count="1" manualBreakCount="1">
    <brk id="2" max="1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2DAE76"/>
    <pageSetUpPr fitToPage="1"/>
  </sheetPr>
  <dimension ref="A1:S72"/>
  <sheetViews>
    <sheetView showGridLines="0" showRowColHeaders="0" zoomScale="115" zoomScaleNormal="115" workbookViewId="0">
      <selection activeCell="B52" sqref="B52:R71"/>
    </sheetView>
  </sheetViews>
  <sheetFormatPr defaultColWidth="9.1796875" defaultRowHeight="15.5" x14ac:dyDescent="0.35"/>
  <cols>
    <col min="1" max="1" width="4.54296875" style="13" customWidth="1"/>
    <col min="2" max="2" width="2.453125" style="13" customWidth="1"/>
    <col min="3" max="16384" width="9.1796875" style="13"/>
  </cols>
  <sheetData>
    <row r="1" spans="1:18" ht="15" customHeight="1" thickBot="1" x14ac:dyDescent="0.4"/>
    <row r="2" spans="1:18" ht="15" customHeight="1" x14ac:dyDescent="0.35">
      <c r="B2" s="655"/>
      <c r="C2" s="656"/>
      <c r="D2" s="656"/>
      <c r="E2" s="656"/>
      <c r="F2" s="656"/>
      <c r="G2" s="656"/>
      <c r="H2" s="656"/>
      <c r="I2" s="656"/>
      <c r="J2" s="656"/>
      <c r="K2" s="656"/>
      <c r="L2" s="656"/>
      <c r="M2" s="656"/>
      <c r="N2" s="656"/>
      <c r="O2" s="656"/>
      <c r="P2" s="656"/>
      <c r="Q2" s="656"/>
      <c r="R2" s="657"/>
    </row>
    <row r="3" spans="1:18" ht="24.5" x14ac:dyDescent="0.35">
      <c r="B3" s="97"/>
      <c r="C3" s="643" t="s">
        <v>7</v>
      </c>
      <c r="D3" s="643"/>
      <c r="E3" s="643"/>
      <c r="F3" s="643"/>
      <c r="G3" s="643"/>
      <c r="H3" s="643"/>
      <c r="I3" s="643"/>
      <c r="J3" s="643"/>
      <c r="K3" s="643"/>
      <c r="L3" s="643"/>
      <c r="M3" s="643"/>
      <c r="N3" s="643"/>
      <c r="O3" s="643"/>
      <c r="P3" s="103"/>
      <c r="Q3" s="103"/>
      <c r="R3" s="104"/>
    </row>
    <row r="4" spans="1:18" ht="14.5" customHeight="1" x14ac:dyDescent="0.35">
      <c r="A4" s="14"/>
      <c r="B4" s="100"/>
      <c r="C4" s="105"/>
      <c r="D4" s="105"/>
      <c r="E4" s="105"/>
      <c r="F4" s="105"/>
      <c r="G4" s="106"/>
      <c r="H4" s="106"/>
      <c r="I4" s="106"/>
      <c r="J4" s="106"/>
      <c r="K4" s="106"/>
      <c r="L4" s="106"/>
      <c r="M4" s="106"/>
      <c r="N4" s="106"/>
      <c r="O4" s="106"/>
      <c r="P4" s="106"/>
      <c r="Q4" s="106"/>
      <c r="R4" s="104"/>
    </row>
    <row r="5" spans="1:18" ht="20.5" customHeight="1" x14ac:dyDescent="0.35">
      <c r="B5" s="97"/>
      <c r="C5" s="112" t="s">
        <v>8</v>
      </c>
      <c r="D5" s="107"/>
      <c r="E5" s="107"/>
      <c r="F5" s="107"/>
      <c r="G5" s="107"/>
      <c r="H5" s="107"/>
      <c r="I5" s="107"/>
      <c r="J5" s="107"/>
      <c r="K5" s="107"/>
      <c r="L5" s="107"/>
      <c r="M5" s="106"/>
      <c r="N5" s="107"/>
      <c r="O5" s="107"/>
      <c r="P5" s="107"/>
      <c r="Q5" s="107"/>
      <c r="R5" s="104"/>
    </row>
    <row r="6" spans="1:18" ht="57" customHeight="1" x14ac:dyDescent="0.35">
      <c r="A6" s="15"/>
      <c r="B6" s="101"/>
      <c r="C6" s="644" t="s">
        <v>529</v>
      </c>
      <c r="D6" s="644"/>
      <c r="E6" s="644"/>
      <c r="F6" s="644"/>
      <c r="G6" s="644"/>
      <c r="H6" s="644"/>
      <c r="I6" s="644"/>
      <c r="J6" s="644"/>
      <c r="K6" s="644"/>
      <c r="L6" s="644"/>
      <c r="M6" s="644"/>
      <c r="N6" s="644"/>
      <c r="O6" s="644"/>
      <c r="P6" s="644"/>
      <c r="Q6" s="644"/>
      <c r="R6" s="645"/>
    </row>
    <row r="7" spans="1:18" ht="19.5" customHeight="1" x14ac:dyDescent="0.35">
      <c r="A7" s="15"/>
      <c r="B7" s="101"/>
      <c r="C7" s="661" t="s">
        <v>9</v>
      </c>
      <c r="D7" s="661"/>
      <c r="E7" s="661"/>
      <c r="F7" s="661"/>
      <c r="G7" s="661"/>
      <c r="H7" s="661"/>
      <c r="I7" s="661"/>
      <c r="J7" s="108"/>
      <c r="K7" s="661"/>
      <c r="L7" s="661"/>
      <c r="M7" s="661"/>
      <c r="N7" s="108"/>
      <c r="O7" s="661"/>
      <c r="P7" s="661"/>
      <c r="Q7" s="661"/>
      <c r="R7" s="109"/>
    </row>
    <row r="8" spans="1:18" ht="18.75" customHeight="1" x14ac:dyDescent="0.35">
      <c r="A8" s="15"/>
      <c r="B8" s="101"/>
      <c r="C8" s="659" t="s">
        <v>10</v>
      </c>
      <c r="D8" s="659"/>
      <c r="E8" s="659"/>
      <c r="F8" s="659"/>
      <c r="G8" s="659"/>
      <c r="H8" s="659"/>
      <c r="I8" s="659"/>
      <c r="J8" s="659"/>
      <c r="K8" s="659"/>
      <c r="L8" s="659"/>
      <c r="M8" s="659"/>
      <c r="N8" s="659"/>
      <c r="O8" s="659"/>
      <c r="P8" s="659"/>
      <c r="Q8" s="659"/>
      <c r="R8" s="660"/>
    </row>
    <row r="9" spans="1:18" ht="2.25" customHeight="1" x14ac:dyDescent="0.35">
      <c r="A9" s="15"/>
      <c r="B9" s="101"/>
      <c r="C9" s="658"/>
      <c r="D9" s="658"/>
      <c r="E9" s="658"/>
      <c r="F9" s="658"/>
      <c r="G9" s="658"/>
      <c r="H9" s="658"/>
      <c r="I9" s="658"/>
      <c r="J9" s="658"/>
      <c r="K9" s="658"/>
      <c r="L9" s="658"/>
      <c r="M9" s="108"/>
      <c r="N9" s="108"/>
      <c r="O9" s="108"/>
      <c r="P9" s="108"/>
      <c r="Q9" s="108"/>
      <c r="R9" s="109"/>
    </row>
    <row r="10" spans="1:18" ht="15.75" customHeight="1" x14ac:dyDescent="0.35">
      <c r="B10" s="97"/>
      <c r="C10" s="662" t="s">
        <v>11</v>
      </c>
      <c r="D10" s="663"/>
      <c r="E10" s="663"/>
      <c r="F10" s="663"/>
      <c r="G10" s="663"/>
      <c r="H10" s="663"/>
      <c r="I10" s="663"/>
      <c r="J10" s="663"/>
      <c r="K10" s="663"/>
      <c r="L10" s="663"/>
      <c r="M10" s="663"/>
      <c r="N10" s="663"/>
      <c r="O10" s="663"/>
      <c r="P10" s="663"/>
      <c r="Q10" s="663"/>
      <c r="R10" s="111"/>
    </row>
    <row r="11" spans="1:18" ht="15.75" customHeight="1" x14ac:dyDescent="0.35">
      <c r="B11" s="97"/>
      <c r="C11" s="663"/>
      <c r="D11" s="663"/>
      <c r="E11" s="663"/>
      <c r="F11" s="663"/>
      <c r="G11" s="663"/>
      <c r="H11" s="663"/>
      <c r="I11" s="663"/>
      <c r="J11" s="663"/>
      <c r="K11" s="663"/>
      <c r="L11" s="663"/>
      <c r="M11" s="663"/>
      <c r="N11" s="663"/>
      <c r="O11" s="663"/>
      <c r="P11" s="663"/>
      <c r="Q11" s="663"/>
      <c r="R11" s="111"/>
    </row>
    <row r="12" spans="1:18" x14ac:dyDescent="0.35">
      <c r="B12" s="97"/>
      <c r="C12" s="110" t="s">
        <v>12</v>
      </c>
      <c r="D12" s="110"/>
      <c r="E12" s="110"/>
      <c r="F12" s="110"/>
      <c r="G12" s="110"/>
      <c r="H12" s="110"/>
      <c r="I12" s="110"/>
      <c r="J12" s="110"/>
      <c r="K12" s="110"/>
      <c r="L12" s="110"/>
      <c r="M12" s="110"/>
      <c r="N12" s="110"/>
      <c r="O12" s="110"/>
      <c r="P12" s="110"/>
      <c r="Q12" s="110"/>
      <c r="R12" s="111"/>
    </row>
    <row r="13" spans="1:18" x14ac:dyDescent="0.35">
      <c r="B13" s="97"/>
      <c r="C13" s="110"/>
      <c r="D13" s="110"/>
      <c r="E13" s="110"/>
      <c r="F13" s="110"/>
      <c r="G13" s="110"/>
      <c r="H13" s="110"/>
      <c r="I13" s="110"/>
      <c r="J13" s="110"/>
      <c r="K13" s="110"/>
      <c r="L13" s="110"/>
      <c r="M13" s="110"/>
      <c r="N13" s="110"/>
      <c r="O13" s="110"/>
      <c r="P13" s="110"/>
      <c r="Q13" s="110"/>
      <c r="R13" s="111"/>
    </row>
    <row r="14" spans="1:18" ht="28" customHeight="1" x14ac:dyDescent="0.35">
      <c r="B14" s="97"/>
      <c r="C14" s="110"/>
      <c r="D14" s="110"/>
      <c r="E14" s="110"/>
      <c r="F14" s="110"/>
      <c r="G14" s="110"/>
      <c r="H14" s="110"/>
      <c r="I14" s="110"/>
      <c r="J14" s="110"/>
      <c r="K14" s="110"/>
      <c r="L14" s="110"/>
      <c r="M14" s="110"/>
      <c r="N14" s="110"/>
      <c r="O14" s="110"/>
      <c r="P14" s="110"/>
      <c r="Q14" s="110"/>
      <c r="R14" s="111"/>
    </row>
    <row r="15" spans="1:18" ht="24" customHeight="1" x14ac:dyDescent="0.35">
      <c r="B15" s="97"/>
      <c r="C15" s="110"/>
      <c r="D15" s="110"/>
      <c r="E15" s="110"/>
      <c r="F15" s="110"/>
      <c r="G15" s="110"/>
      <c r="H15" s="110"/>
      <c r="I15" s="110"/>
      <c r="J15" s="110"/>
      <c r="K15" s="110"/>
      <c r="L15" s="110"/>
      <c r="M15" s="110"/>
      <c r="N15" s="110"/>
      <c r="O15" s="110"/>
      <c r="P15" s="110"/>
      <c r="Q15" s="110"/>
      <c r="R15" s="111"/>
    </row>
    <row r="16" spans="1:18" ht="8.25" customHeight="1" x14ac:dyDescent="0.35">
      <c r="B16" s="97"/>
      <c r="C16" s="110"/>
      <c r="D16" s="110"/>
      <c r="E16" s="110"/>
      <c r="F16" s="110"/>
      <c r="G16" s="110"/>
      <c r="H16" s="110"/>
      <c r="I16" s="110"/>
      <c r="J16" s="110"/>
      <c r="K16" s="110"/>
      <c r="L16" s="110"/>
      <c r="M16" s="110"/>
      <c r="N16" s="110"/>
      <c r="O16" s="110"/>
      <c r="P16" s="110"/>
      <c r="Q16" s="110"/>
      <c r="R16" s="111"/>
    </row>
    <row r="17" spans="2:19" x14ac:dyDescent="0.35">
      <c r="B17" s="97"/>
      <c r="C17" s="644" t="s">
        <v>531</v>
      </c>
      <c r="D17" s="644"/>
      <c r="E17" s="644"/>
      <c r="F17" s="644"/>
      <c r="G17" s="644"/>
      <c r="H17" s="644"/>
      <c r="I17" s="644"/>
      <c r="J17" s="644"/>
      <c r="K17" s="644"/>
      <c r="L17" s="644"/>
      <c r="M17" s="644"/>
      <c r="N17" s="644"/>
      <c r="O17" s="644"/>
      <c r="P17" s="644"/>
      <c r="Q17" s="644"/>
      <c r="R17" s="645"/>
    </row>
    <row r="18" spans="2:19" x14ac:dyDescent="0.35">
      <c r="B18" s="97"/>
      <c r="C18" s="644"/>
      <c r="D18" s="644"/>
      <c r="E18" s="644"/>
      <c r="F18" s="644"/>
      <c r="G18" s="644"/>
      <c r="H18" s="644"/>
      <c r="I18" s="644"/>
      <c r="J18" s="644"/>
      <c r="K18" s="644"/>
      <c r="L18" s="644"/>
      <c r="M18" s="644"/>
      <c r="N18" s="644"/>
      <c r="O18" s="644"/>
      <c r="P18" s="644"/>
      <c r="Q18" s="644"/>
      <c r="R18" s="645"/>
    </row>
    <row r="19" spans="2:19" ht="29.5" customHeight="1" x14ac:dyDescent="0.35">
      <c r="B19" s="97"/>
      <c r="C19" s="110"/>
      <c r="D19" s="110"/>
      <c r="E19" s="110"/>
      <c r="F19" s="110"/>
      <c r="G19" s="110"/>
      <c r="H19" s="110"/>
      <c r="I19" s="110"/>
      <c r="J19" s="110"/>
      <c r="K19" s="110"/>
      <c r="L19" s="110"/>
      <c r="M19" s="110"/>
      <c r="N19" s="110"/>
      <c r="O19" s="110"/>
      <c r="P19" s="110"/>
      <c r="Q19" s="110"/>
      <c r="R19" s="111"/>
    </row>
    <row r="20" spans="2:19" ht="28.5" customHeight="1" x14ac:dyDescent="0.35">
      <c r="B20" s="97"/>
      <c r="C20" s="110"/>
      <c r="D20" s="110"/>
      <c r="E20" s="110"/>
      <c r="F20" s="110"/>
      <c r="G20" s="110"/>
      <c r="H20" s="110"/>
      <c r="I20" s="110"/>
      <c r="J20" s="110"/>
      <c r="K20" s="110"/>
      <c r="L20" s="110"/>
      <c r="M20" s="110"/>
      <c r="N20" s="110"/>
      <c r="O20" s="110"/>
      <c r="P20" s="110"/>
      <c r="Q20" s="110"/>
      <c r="R20" s="111"/>
    </row>
    <row r="21" spans="2:19" x14ac:dyDescent="0.35">
      <c r="B21" s="97"/>
      <c r="C21" s="110"/>
      <c r="D21" s="110"/>
      <c r="E21" s="110"/>
      <c r="F21" s="110"/>
      <c r="G21" s="110"/>
      <c r="H21" s="110"/>
      <c r="I21" s="110"/>
      <c r="J21" s="110"/>
      <c r="K21" s="110"/>
      <c r="L21" s="110"/>
      <c r="M21" s="110"/>
      <c r="N21" s="110"/>
      <c r="O21" s="110"/>
      <c r="P21" s="110"/>
      <c r="Q21" s="110"/>
      <c r="R21" s="111"/>
    </row>
    <row r="22" spans="2:19" x14ac:dyDescent="0.35">
      <c r="B22" s="97"/>
      <c r="C22" s="110"/>
      <c r="D22" s="110"/>
      <c r="E22" s="110"/>
      <c r="F22" s="110"/>
      <c r="G22" s="110"/>
      <c r="H22" s="110"/>
      <c r="I22" s="110"/>
      <c r="J22" s="110"/>
      <c r="K22" s="110"/>
      <c r="L22" s="110"/>
      <c r="M22" s="110"/>
      <c r="N22" s="110"/>
      <c r="O22" s="110"/>
      <c r="P22" s="110"/>
      <c r="Q22" s="110"/>
      <c r="R22" s="111"/>
    </row>
    <row r="23" spans="2:19" x14ac:dyDescent="0.35">
      <c r="B23" s="97"/>
      <c r="C23" s="110" t="s">
        <v>13</v>
      </c>
      <c r="D23" s="110"/>
      <c r="E23" s="110"/>
      <c r="F23" s="110"/>
      <c r="G23" s="110"/>
      <c r="H23" s="110"/>
      <c r="I23" s="110"/>
      <c r="J23" s="110"/>
      <c r="K23" s="110"/>
      <c r="L23" s="110"/>
      <c r="M23" s="110"/>
      <c r="N23" s="110"/>
      <c r="O23" s="110"/>
      <c r="P23" s="110"/>
      <c r="Q23" s="110"/>
      <c r="R23" s="111"/>
    </row>
    <row r="24" spans="2:19" ht="28.5" customHeight="1" x14ac:dyDescent="0.35">
      <c r="B24" s="97"/>
      <c r="C24" s="110"/>
      <c r="D24" s="110"/>
      <c r="E24" s="110"/>
      <c r="F24" s="110"/>
      <c r="G24" s="110"/>
      <c r="H24" s="110"/>
      <c r="I24" s="110"/>
      <c r="J24" s="110"/>
      <c r="K24" s="110"/>
      <c r="L24" s="110"/>
      <c r="M24" s="110"/>
      <c r="N24" s="110"/>
      <c r="O24" s="110"/>
      <c r="P24" s="110"/>
      <c r="Q24" s="110"/>
      <c r="R24" s="111"/>
    </row>
    <row r="25" spans="2:19" x14ac:dyDescent="0.35">
      <c r="B25" s="97"/>
      <c r="C25" s="110"/>
      <c r="D25" s="110"/>
      <c r="E25" s="110"/>
      <c r="F25" s="110"/>
      <c r="G25" s="110"/>
      <c r="H25" s="110"/>
      <c r="I25" s="110"/>
      <c r="J25" s="110"/>
      <c r="K25" s="110"/>
      <c r="L25" s="110"/>
      <c r="M25" s="110"/>
      <c r="N25" s="110"/>
      <c r="O25" s="110"/>
      <c r="P25" s="110"/>
      <c r="Q25" s="110"/>
      <c r="R25" s="111"/>
    </row>
    <row r="26" spans="2:19" x14ac:dyDescent="0.35">
      <c r="B26" s="97"/>
      <c r="C26" s="110"/>
      <c r="D26" s="110"/>
      <c r="E26" s="110"/>
      <c r="F26" s="110"/>
      <c r="G26" s="110"/>
      <c r="H26" s="110"/>
      <c r="I26" s="110"/>
      <c r="J26" s="110"/>
      <c r="K26" s="110"/>
      <c r="L26" s="110"/>
      <c r="M26" s="110"/>
      <c r="N26" s="110"/>
      <c r="O26" s="110"/>
      <c r="P26" s="110"/>
      <c r="Q26" s="110"/>
      <c r="R26" s="111"/>
    </row>
    <row r="27" spans="2:19" x14ac:dyDescent="0.35">
      <c r="B27" s="97"/>
      <c r="C27" s="110"/>
      <c r="D27" s="110"/>
      <c r="E27" s="110"/>
      <c r="F27" s="110"/>
      <c r="G27" s="110"/>
      <c r="H27" s="110"/>
      <c r="I27" s="110"/>
      <c r="J27" s="110"/>
      <c r="K27" s="110"/>
      <c r="L27" s="110"/>
      <c r="M27" s="110"/>
      <c r="N27" s="110"/>
      <c r="O27" s="110"/>
      <c r="P27" s="110"/>
      <c r="Q27" s="110"/>
      <c r="R27" s="111"/>
    </row>
    <row r="28" spans="2:19" x14ac:dyDescent="0.35">
      <c r="B28" s="97"/>
      <c r="C28" s="110"/>
      <c r="D28" s="110"/>
      <c r="E28" s="110"/>
      <c r="F28" s="110"/>
      <c r="G28" s="110"/>
      <c r="H28" s="110"/>
      <c r="I28" s="110"/>
      <c r="J28" s="110"/>
      <c r="K28" s="110"/>
      <c r="L28" s="110"/>
      <c r="M28" s="110"/>
      <c r="N28" s="110"/>
      <c r="O28" s="110"/>
      <c r="P28" s="110"/>
      <c r="Q28" s="110"/>
      <c r="R28" s="111"/>
    </row>
    <row r="29" spans="2:19" ht="19.5" customHeight="1" x14ac:dyDescent="0.35">
      <c r="B29" s="97"/>
      <c r="C29" s="644" t="s">
        <v>14</v>
      </c>
      <c r="D29" s="644"/>
      <c r="E29" s="644"/>
      <c r="F29" s="644"/>
      <c r="G29" s="644"/>
      <c r="H29" s="644"/>
      <c r="I29" s="644"/>
      <c r="J29" s="644"/>
      <c r="K29" s="644"/>
      <c r="L29" s="644"/>
      <c r="M29" s="644"/>
      <c r="N29" s="644"/>
      <c r="O29" s="644"/>
      <c r="P29" s="644"/>
      <c r="Q29" s="644"/>
      <c r="R29" s="645"/>
      <c r="S29" s="16"/>
    </row>
    <row r="30" spans="2:19" x14ac:dyDescent="0.35">
      <c r="B30" s="97"/>
      <c r="C30" s="644"/>
      <c r="D30" s="644"/>
      <c r="E30" s="644"/>
      <c r="F30" s="644"/>
      <c r="G30" s="644"/>
      <c r="H30" s="644"/>
      <c r="I30" s="644"/>
      <c r="J30" s="644"/>
      <c r="K30" s="644"/>
      <c r="L30" s="644"/>
      <c r="M30" s="644"/>
      <c r="N30" s="644"/>
      <c r="O30" s="644"/>
      <c r="P30" s="644"/>
      <c r="Q30" s="644"/>
      <c r="R30" s="645"/>
      <c r="S30" s="16"/>
    </row>
    <row r="31" spans="2:19" x14ac:dyDescent="0.35">
      <c r="B31" s="97"/>
      <c r="C31" s="108"/>
      <c r="D31" s="108"/>
      <c r="E31" s="108"/>
      <c r="F31" s="108"/>
      <c r="G31" s="108"/>
      <c r="H31" s="108"/>
      <c r="I31" s="108"/>
      <c r="J31" s="108"/>
      <c r="K31" s="108"/>
      <c r="L31" s="108"/>
      <c r="M31" s="108"/>
      <c r="N31" s="108"/>
      <c r="O31" s="108"/>
      <c r="P31" s="108"/>
      <c r="Q31" s="108"/>
      <c r="R31" s="109"/>
      <c r="S31" s="16"/>
    </row>
    <row r="32" spans="2:19" x14ac:dyDescent="0.35">
      <c r="B32" s="97"/>
      <c r="C32" s="110"/>
      <c r="D32" s="110"/>
      <c r="E32" s="110"/>
      <c r="F32" s="110"/>
      <c r="G32" s="110"/>
      <c r="H32" s="110"/>
      <c r="I32" s="110"/>
      <c r="J32" s="110"/>
      <c r="K32" s="110"/>
      <c r="L32" s="110"/>
      <c r="M32" s="110"/>
      <c r="N32" s="110"/>
      <c r="O32" s="110"/>
      <c r="P32" s="110"/>
      <c r="Q32" s="110"/>
      <c r="R32" s="111"/>
    </row>
    <row r="33" spans="2:18" x14ac:dyDescent="0.35">
      <c r="B33" s="97"/>
      <c r="C33" s="110"/>
      <c r="D33" s="110"/>
      <c r="E33" s="110"/>
      <c r="F33" s="110"/>
      <c r="G33" s="110"/>
      <c r="H33" s="110"/>
      <c r="I33" s="110"/>
      <c r="J33" s="110"/>
      <c r="K33" s="110"/>
      <c r="L33" s="110"/>
      <c r="M33" s="110"/>
      <c r="N33" s="110"/>
      <c r="O33" s="110"/>
      <c r="P33" s="110"/>
      <c r="Q33" s="110"/>
      <c r="R33" s="111"/>
    </row>
    <row r="34" spans="2:18" x14ac:dyDescent="0.35">
      <c r="B34" s="97"/>
      <c r="C34" s="110"/>
      <c r="D34" s="110"/>
      <c r="E34" s="110"/>
      <c r="F34" s="110"/>
      <c r="G34" s="110"/>
      <c r="H34" s="110"/>
      <c r="I34" s="110"/>
      <c r="J34" s="110"/>
      <c r="K34" s="110"/>
      <c r="L34" s="110"/>
      <c r="M34" s="110"/>
      <c r="N34" s="110"/>
      <c r="O34" s="110"/>
      <c r="P34" s="110"/>
      <c r="Q34" s="110"/>
      <c r="R34" s="111"/>
    </row>
    <row r="35" spans="2:18" x14ac:dyDescent="0.35">
      <c r="B35" s="97"/>
      <c r="C35" s="110"/>
      <c r="D35" s="110"/>
      <c r="E35" s="110"/>
      <c r="F35" s="110"/>
      <c r="G35" s="110"/>
      <c r="H35" s="110"/>
      <c r="I35" s="110"/>
      <c r="J35" s="110"/>
      <c r="K35" s="110"/>
      <c r="L35" s="110"/>
      <c r="M35" s="110"/>
      <c r="N35" s="110"/>
      <c r="O35" s="110"/>
      <c r="P35" s="110"/>
      <c r="Q35" s="110"/>
      <c r="R35" s="111"/>
    </row>
    <row r="36" spans="2:18" x14ac:dyDescent="0.35">
      <c r="B36" s="97"/>
      <c r="C36" s="644" t="s">
        <v>15</v>
      </c>
      <c r="D36" s="644"/>
      <c r="E36" s="644"/>
      <c r="F36" s="644"/>
      <c r="G36" s="644"/>
      <c r="H36" s="644"/>
      <c r="I36" s="644"/>
      <c r="J36" s="644"/>
      <c r="K36" s="644"/>
      <c r="L36" s="644"/>
      <c r="M36" s="644"/>
      <c r="N36" s="644"/>
      <c r="O36" s="644"/>
      <c r="P36" s="644"/>
      <c r="Q36" s="644"/>
      <c r="R36" s="645"/>
    </row>
    <row r="37" spans="2:18" x14ac:dyDescent="0.35">
      <c r="B37" s="97"/>
      <c r="C37" s="644"/>
      <c r="D37" s="644"/>
      <c r="E37" s="644"/>
      <c r="F37" s="644"/>
      <c r="G37" s="644"/>
      <c r="H37" s="644"/>
      <c r="I37" s="644"/>
      <c r="J37" s="644"/>
      <c r="K37" s="644"/>
      <c r="L37" s="644"/>
      <c r="M37" s="644"/>
      <c r="N37" s="644"/>
      <c r="O37" s="644"/>
      <c r="P37" s="644"/>
      <c r="Q37" s="644"/>
      <c r="R37" s="645"/>
    </row>
    <row r="38" spans="2:18" x14ac:dyDescent="0.35">
      <c r="B38" s="97"/>
      <c r="C38" s="397"/>
      <c r="D38" s="397"/>
      <c r="E38" s="397"/>
      <c r="F38" s="397"/>
      <c r="G38" s="397"/>
      <c r="H38" s="397"/>
      <c r="I38" s="397"/>
      <c r="J38" s="397"/>
      <c r="K38" s="397"/>
      <c r="L38" s="397"/>
      <c r="M38" s="397"/>
      <c r="N38" s="397"/>
      <c r="O38" s="397"/>
      <c r="P38" s="397"/>
      <c r="Q38" s="397"/>
      <c r="R38" s="102"/>
    </row>
    <row r="39" spans="2:18" x14ac:dyDescent="0.35">
      <c r="B39" s="97"/>
      <c r="C39" s="98"/>
      <c r="D39" s="98"/>
      <c r="E39" s="98"/>
      <c r="F39" s="98"/>
      <c r="G39" s="98"/>
      <c r="H39" s="98"/>
      <c r="I39" s="98"/>
      <c r="J39" s="98"/>
      <c r="K39" s="98"/>
      <c r="L39" s="98"/>
      <c r="M39" s="98"/>
      <c r="N39" s="98"/>
      <c r="O39" s="98"/>
      <c r="P39" s="98"/>
      <c r="Q39" s="98"/>
      <c r="R39" s="99"/>
    </row>
    <row r="40" spans="2:18" x14ac:dyDescent="0.35">
      <c r="B40" s="97"/>
      <c r="C40" s="98"/>
      <c r="D40" s="98"/>
      <c r="E40" s="98"/>
      <c r="F40" s="98"/>
      <c r="G40" s="98"/>
      <c r="H40" s="98"/>
      <c r="I40" s="98"/>
      <c r="J40" s="98"/>
      <c r="K40" s="98"/>
      <c r="L40" s="98"/>
      <c r="M40" s="98"/>
      <c r="N40" s="98"/>
      <c r="O40" s="98"/>
      <c r="P40" s="98"/>
      <c r="Q40" s="98"/>
      <c r="R40" s="99"/>
    </row>
    <row r="41" spans="2:18" x14ac:dyDescent="0.35">
      <c r="B41" s="97"/>
      <c r="C41" s="98"/>
      <c r="D41" s="98"/>
      <c r="E41" s="98"/>
      <c r="F41" s="98"/>
      <c r="G41" s="98"/>
      <c r="H41" s="98"/>
      <c r="I41" s="98"/>
      <c r="J41" s="98"/>
      <c r="K41" s="98"/>
      <c r="L41" s="98"/>
      <c r="M41" s="98"/>
      <c r="N41" s="98"/>
      <c r="O41" s="98"/>
      <c r="P41" s="98"/>
      <c r="Q41" s="98"/>
      <c r="R41" s="99"/>
    </row>
    <row r="42" spans="2:18" x14ac:dyDescent="0.35">
      <c r="B42" s="97"/>
      <c r="C42" s="98"/>
      <c r="D42" s="98"/>
      <c r="E42" s="98"/>
      <c r="F42" s="98"/>
      <c r="G42" s="98"/>
      <c r="H42" s="98"/>
      <c r="I42" s="98"/>
      <c r="J42" s="98"/>
      <c r="K42" s="98"/>
      <c r="L42" s="98"/>
      <c r="M42" s="98"/>
      <c r="N42" s="98"/>
      <c r="O42" s="98"/>
      <c r="P42" s="98"/>
      <c r="Q42" s="98"/>
      <c r="R42" s="99"/>
    </row>
    <row r="43" spans="2:18" x14ac:dyDescent="0.35">
      <c r="B43" s="97"/>
      <c r="C43" s="644" t="s">
        <v>16</v>
      </c>
      <c r="D43" s="644"/>
      <c r="E43" s="644"/>
      <c r="F43" s="644"/>
      <c r="G43" s="644"/>
      <c r="H43" s="644"/>
      <c r="I43" s="644"/>
      <c r="J43" s="644"/>
      <c r="K43" s="644"/>
      <c r="L43" s="644"/>
      <c r="M43" s="644"/>
      <c r="N43" s="644"/>
      <c r="O43" s="644"/>
      <c r="P43" s="644"/>
      <c r="Q43" s="644"/>
      <c r="R43" s="645"/>
    </row>
    <row r="44" spans="2:18" x14ac:dyDescent="0.35">
      <c r="B44" s="97"/>
      <c r="C44" s="644"/>
      <c r="D44" s="644"/>
      <c r="E44" s="644"/>
      <c r="F44" s="644"/>
      <c r="G44" s="644"/>
      <c r="H44" s="644"/>
      <c r="I44" s="644"/>
      <c r="J44" s="644"/>
      <c r="K44" s="644"/>
      <c r="L44" s="644"/>
      <c r="M44" s="644"/>
      <c r="N44" s="644"/>
      <c r="O44" s="644"/>
      <c r="P44" s="644"/>
      <c r="Q44" s="644"/>
      <c r="R44" s="645"/>
    </row>
    <row r="45" spans="2:18" x14ac:dyDescent="0.35">
      <c r="B45" s="97"/>
      <c r="C45" s="98"/>
      <c r="D45" s="98"/>
      <c r="E45" s="98"/>
      <c r="F45" s="98"/>
      <c r="G45" s="98"/>
      <c r="H45" s="98"/>
      <c r="I45" s="98"/>
      <c r="J45" s="98"/>
      <c r="K45" s="98"/>
      <c r="L45" s="98"/>
      <c r="M45" s="98"/>
      <c r="N45" s="98"/>
      <c r="O45" s="98"/>
      <c r="P45" s="98"/>
      <c r="Q45" s="98"/>
      <c r="R45" s="99"/>
    </row>
    <row r="46" spans="2:18" x14ac:dyDescent="0.35">
      <c r="B46" s="97"/>
      <c r="C46" s="98"/>
      <c r="D46" s="98"/>
      <c r="E46" s="98"/>
      <c r="F46" s="98"/>
      <c r="G46" s="98"/>
      <c r="H46" s="98"/>
      <c r="I46" s="98"/>
      <c r="J46" s="98"/>
      <c r="K46" s="98"/>
      <c r="L46" s="98"/>
      <c r="M46" s="98"/>
      <c r="N46" s="98"/>
      <c r="O46" s="98"/>
      <c r="P46" s="98"/>
      <c r="Q46" s="98"/>
      <c r="R46" s="99"/>
    </row>
    <row r="47" spans="2:18" ht="19.5" customHeight="1" x14ac:dyDescent="0.35">
      <c r="B47" s="97"/>
      <c r="C47" s="98"/>
      <c r="D47" s="98"/>
      <c r="E47" s="98"/>
      <c r="F47" s="98"/>
      <c r="G47" s="98"/>
      <c r="H47" s="98"/>
      <c r="I47" s="98"/>
      <c r="J47" s="98"/>
      <c r="K47" s="98"/>
      <c r="L47" s="98"/>
      <c r="M47" s="98"/>
      <c r="N47" s="98"/>
      <c r="O47" s="98"/>
      <c r="P47" s="98"/>
      <c r="Q47" s="98"/>
      <c r="R47" s="99"/>
    </row>
    <row r="48" spans="2:18" ht="21.65" customHeight="1" thickBot="1" x14ac:dyDescent="0.4">
      <c r="B48" s="97"/>
      <c r="C48" s="98"/>
      <c r="D48" s="98"/>
      <c r="E48" s="98"/>
      <c r="F48" s="98"/>
      <c r="G48" s="98"/>
      <c r="H48" s="98"/>
      <c r="I48" s="98"/>
      <c r="J48" s="98"/>
      <c r="K48" s="98"/>
      <c r="L48" s="98"/>
      <c r="M48" s="98"/>
      <c r="N48" s="98"/>
      <c r="O48" s="98"/>
      <c r="P48" s="98"/>
      <c r="Q48" s="98"/>
      <c r="R48" s="99"/>
    </row>
    <row r="49" spans="2:18" ht="16" thickBot="1" x14ac:dyDescent="0.4">
      <c r="B49" s="640"/>
      <c r="C49" s="641"/>
      <c r="D49" s="641"/>
      <c r="E49" s="641"/>
      <c r="F49" s="641"/>
      <c r="G49" s="641"/>
      <c r="H49" s="641"/>
      <c r="I49" s="641"/>
      <c r="J49" s="641"/>
      <c r="K49" s="641"/>
      <c r="L49" s="641"/>
      <c r="M49" s="641"/>
      <c r="N49" s="641"/>
      <c r="O49" s="641"/>
      <c r="P49" s="641"/>
      <c r="Q49" s="641"/>
      <c r="R49" s="642"/>
    </row>
    <row r="51" spans="2:18" ht="16" thickBot="1" x14ac:dyDescent="0.4"/>
    <row r="52" spans="2:18" ht="15.75" customHeight="1" x14ac:dyDescent="0.35">
      <c r="B52" s="646" t="s">
        <v>17</v>
      </c>
      <c r="C52" s="647"/>
      <c r="D52" s="647"/>
      <c r="E52" s="647"/>
      <c r="F52" s="647"/>
      <c r="G52" s="647"/>
      <c r="H52" s="647"/>
      <c r="I52" s="647"/>
      <c r="J52" s="647"/>
      <c r="K52" s="647"/>
      <c r="L52" s="647"/>
      <c r="M52" s="647"/>
      <c r="N52" s="647"/>
      <c r="O52" s="647"/>
      <c r="P52" s="647"/>
      <c r="Q52" s="647"/>
      <c r="R52" s="648"/>
    </row>
    <row r="53" spans="2:18" x14ac:dyDescent="0.35">
      <c r="B53" s="649"/>
      <c r="C53" s="650"/>
      <c r="D53" s="650"/>
      <c r="E53" s="650"/>
      <c r="F53" s="650"/>
      <c r="G53" s="650"/>
      <c r="H53" s="650"/>
      <c r="I53" s="650"/>
      <c r="J53" s="650"/>
      <c r="K53" s="650"/>
      <c r="L53" s="650"/>
      <c r="M53" s="650"/>
      <c r="N53" s="650"/>
      <c r="O53" s="650"/>
      <c r="P53" s="650"/>
      <c r="Q53" s="650"/>
      <c r="R53" s="651"/>
    </row>
    <row r="54" spans="2:18" x14ac:dyDescent="0.35">
      <c r="B54" s="649"/>
      <c r="C54" s="650"/>
      <c r="D54" s="650"/>
      <c r="E54" s="650"/>
      <c r="F54" s="650"/>
      <c r="G54" s="650"/>
      <c r="H54" s="650"/>
      <c r="I54" s="650"/>
      <c r="J54" s="650"/>
      <c r="K54" s="650"/>
      <c r="L54" s="650"/>
      <c r="M54" s="650"/>
      <c r="N54" s="650"/>
      <c r="O54" s="650"/>
      <c r="P54" s="650"/>
      <c r="Q54" s="650"/>
      <c r="R54" s="651"/>
    </row>
    <row r="55" spans="2:18" x14ac:dyDescent="0.35">
      <c r="B55" s="649"/>
      <c r="C55" s="650"/>
      <c r="D55" s="650"/>
      <c r="E55" s="650"/>
      <c r="F55" s="650"/>
      <c r="G55" s="650"/>
      <c r="H55" s="650"/>
      <c r="I55" s="650"/>
      <c r="J55" s="650"/>
      <c r="K55" s="650"/>
      <c r="L55" s="650"/>
      <c r="M55" s="650"/>
      <c r="N55" s="650"/>
      <c r="O55" s="650"/>
      <c r="P55" s="650"/>
      <c r="Q55" s="650"/>
      <c r="R55" s="651"/>
    </row>
    <row r="56" spans="2:18" x14ac:dyDescent="0.35">
      <c r="B56" s="649"/>
      <c r="C56" s="650"/>
      <c r="D56" s="650"/>
      <c r="E56" s="650"/>
      <c r="F56" s="650"/>
      <c r="G56" s="650"/>
      <c r="H56" s="650"/>
      <c r="I56" s="650"/>
      <c r="J56" s="650"/>
      <c r="K56" s="650"/>
      <c r="L56" s="650"/>
      <c r="M56" s="650"/>
      <c r="N56" s="650"/>
      <c r="O56" s="650"/>
      <c r="P56" s="650"/>
      <c r="Q56" s="650"/>
      <c r="R56" s="651"/>
    </row>
    <row r="57" spans="2:18" x14ac:dyDescent="0.35">
      <c r="B57" s="649"/>
      <c r="C57" s="650"/>
      <c r="D57" s="650"/>
      <c r="E57" s="650"/>
      <c r="F57" s="650"/>
      <c r="G57" s="650"/>
      <c r="H57" s="650"/>
      <c r="I57" s="650"/>
      <c r="J57" s="650"/>
      <c r="K57" s="650"/>
      <c r="L57" s="650"/>
      <c r="M57" s="650"/>
      <c r="N57" s="650"/>
      <c r="O57" s="650"/>
      <c r="P57" s="650"/>
      <c r="Q57" s="650"/>
      <c r="R57" s="651"/>
    </row>
    <row r="58" spans="2:18" x14ac:dyDescent="0.35">
      <c r="B58" s="649"/>
      <c r="C58" s="650"/>
      <c r="D58" s="650"/>
      <c r="E58" s="650"/>
      <c r="F58" s="650"/>
      <c r="G58" s="650"/>
      <c r="H58" s="650"/>
      <c r="I58" s="650"/>
      <c r="J58" s="650"/>
      <c r="K58" s="650"/>
      <c r="L58" s="650"/>
      <c r="M58" s="650"/>
      <c r="N58" s="650"/>
      <c r="O58" s="650"/>
      <c r="P58" s="650"/>
      <c r="Q58" s="650"/>
      <c r="R58" s="651"/>
    </row>
    <row r="59" spans="2:18" x14ac:dyDescent="0.35">
      <c r="B59" s="649"/>
      <c r="C59" s="650"/>
      <c r="D59" s="650"/>
      <c r="E59" s="650"/>
      <c r="F59" s="650"/>
      <c r="G59" s="650"/>
      <c r="H59" s="650"/>
      <c r="I59" s="650"/>
      <c r="J59" s="650"/>
      <c r="K59" s="650"/>
      <c r="L59" s="650"/>
      <c r="M59" s="650"/>
      <c r="N59" s="650"/>
      <c r="O59" s="650"/>
      <c r="P59" s="650"/>
      <c r="Q59" s="650"/>
      <c r="R59" s="651"/>
    </row>
    <row r="60" spans="2:18" x14ac:dyDescent="0.35">
      <c r="B60" s="649"/>
      <c r="C60" s="650"/>
      <c r="D60" s="650"/>
      <c r="E60" s="650"/>
      <c r="F60" s="650"/>
      <c r="G60" s="650"/>
      <c r="H60" s="650"/>
      <c r="I60" s="650"/>
      <c r="J60" s="650"/>
      <c r="K60" s="650"/>
      <c r="L60" s="650"/>
      <c r="M60" s="650"/>
      <c r="N60" s="650"/>
      <c r="O60" s="650"/>
      <c r="P60" s="650"/>
      <c r="Q60" s="650"/>
      <c r="R60" s="651"/>
    </row>
    <row r="61" spans="2:18" x14ac:dyDescent="0.35">
      <c r="B61" s="649"/>
      <c r="C61" s="650"/>
      <c r="D61" s="650"/>
      <c r="E61" s="650"/>
      <c r="F61" s="650"/>
      <c r="G61" s="650"/>
      <c r="H61" s="650"/>
      <c r="I61" s="650"/>
      <c r="J61" s="650"/>
      <c r="K61" s="650"/>
      <c r="L61" s="650"/>
      <c r="M61" s="650"/>
      <c r="N61" s="650"/>
      <c r="O61" s="650"/>
      <c r="P61" s="650"/>
      <c r="Q61" s="650"/>
      <c r="R61" s="651"/>
    </row>
    <row r="62" spans="2:18" x14ac:dyDescent="0.35">
      <c r="B62" s="649"/>
      <c r="C62" s="650"/>
      <c r="D62" s="650"/>
      <c r="E62" s="650"/>
      <c r="F62" s="650"/>
      <c r="G62" s="650"/>
      <c r="H62" s="650"/>
      <c r="I62" s="650"/>
      <c r="J62" s="650"/>
      <c r="K62" s="650"/>
      <c r="L62" s="650"/>
      <c r="M62" s="650"/>
      <c r="N62" s="650"/>
      <c r="O62" s="650"/>
      <c r="P62" s="650"/>
      <c r="Q62" s="650"/>
      <c r="R62" s="651"/>
    </row>
    <row r="63" spans="2:18" x14ac:dyDescent="0.35">
      <c r="B63" s="649"/>
      <c r="C63" s="650"/>
      <c r="D63" s="650"/>
      <c r="E63" s="650"/>
      <c r="F63" s="650"/>
      <c r="G63" s="650"/>
      <c r="H63" s="650"/>
      <c r="I63" s="650"/>
      <c r="J63" s="650"/>
      <c r="K63" s="650"/>
      <c r="L63" s="650"/>
      <c r="M63" s="650"/>
      <c r="N63" s="650"/>
      <c r="O63" s="650"/>
      <c r="P63" s="650"/>
      <c r="Q63" s="650"/>
      <c r="R63" s="651"/>
    </row>
    <row r="64" spans="2:18" x14ac:dyDescent="0.35">
      <c r="B64" s="649"/>
      <c r="C64" s="650"/>
      <c r="D64" s="650"/>
      <c r="E64" s="650"/>
      <c r="F64" s="650"/>
      <c r="G64" s="650"/>
      <c r="H64" s="650"/>
      <c r="I64" s="650"/>
      <c r="J64" s="650"/>
      <c r="K64" s="650"/>
      <c r="L64" s="650"/>
      <c r="M64" s="650"/>
      <c r="N64" s="650"/>
      <c r="O64" s="650"/>
      <c r="P64" s="650"/>
      <c r="Q64" s="650"/>
      <c r="R64" s="651"/>
    </row>
    <row r="65" spans="2:18" x14ac:dyDescent="0.35">
      <c r="B65" s="649"/>
      <c r="C65" s="650"/>
      <c r="D65" s="650"/>
      <c r="E65" s="650"/>
      <c r="F65" s="650"/>
      <c r="G65" s="650"/>
      <c r="H65" s="650"/>
      <c r="I65" s="650"/>
      <c r="J65" s="650"/>
      <c r="K65" s="650"/>
      <c r="L65" s="650"/>
      <c r="M65" s="650"/>
      <c r="N65" s="650"/>
      <c r="O65" s="650"/>
      <c r="P65" s="650"/>
      <c r="Q65" s="650"/>
      <c r="R65" s="651"/>
    </row>
    <row r="66" spans="2:18" x14ac:dyDescent="0.35">
      <c r="B66" s="649"/>
      <c r="C66" s="650"/>
      <c r="D66" s="650"/>
      <c r="E66" s="650"/>
      <c r="F66" s="650"/>
      <c r="G66" s="650"/>
      <c r="H66" s="650"/>
      <c r="I66" s="650"/>
      <c r="J66" s="650"/>
      <c r="K66" s="650"/>
      <c r="L66" s="650"/>
      <c r="M66" s="650"/>
      <c r="N66" s="650"/>
      <c r="O66" s="650"/>
      <c r="P66" s="650"/>
      <c r="Q66" s="650"/>
      <c r="R66" s="651"/>
    </row>
    <row r="67" spans="2:18" x14ac:dyDescent="0.35">
      <c r="B67" s="649"/>
      <c r="C67" s="650"/>
      <c r="D67" s="650"/>
      <c r="E67" s="650"/>
      <c r="F67" s="650"/>
      <c r="G67" s="650"/>
      <c r="H67" s="650"/>
      <c r="I67" s="650"/>
      <c r="J67" s="650"/>
      <c r="K67" s="650"/>
      <c r="L67" s="650"/>
      <c r="M67" s="650"/>
      <c r="N67" s="650"/>
      <c r="O67" s="650"/>
      <c r="P67" s="650"/>
      <c r="Q67" s="650"/>
      <c r="R67" s="651"/>
    </row>
    <row r="68" spans="2:18" x14ac:dyDescent="0.35">
      <c r="B68" s="649"/>
      <c r="C68" s="650"/>
      <c r="D68" s="650"/>
      <c r="E68" s="650"/>
      <c r="F68" s="650"/>
      <c r="G68" s="650"/>
      <c r="H68" s="650"/>
      <c r="I68" s="650"/>
      <c r="J68" s="650"/>
      <c r="K68" s="650"/>
      <c r="L68" s="650"/>
      <c r="M68" s="650"/>
      <c r="N68" s="650"/>
      <c r="O68" s="650"/>
      <c r="P68" s="650"/>
      <c r="Q68" s="650"/>
      <c r="R68" s="651"/>
    </row>
    <row r="69" spans="2:18" x14ac:dyDescent="0.35">
      <c r="B69" s="649"/>
      <c r="C69" s="650"/>
      <c r="D69" s="650"/>
      <c r="E69" s="650"/>
      <c r="F69" s="650"/>
      <c r="G69" s="650"/>
      <c r="H69" s="650"/>
      <c r="I69" s="650"/>
      <c r="J69" s="650"/>
      <c r="K69" s="650"/>
      <c r="L69" s="650"/>
      <c r="M69" s="650"/>
      <c r="N69" s="650"/>
      <c r="O69" s="650"/>
      <c r="P69" s="650"/>
      <c r="Q69" s="650"/>
      <c r="R69" s="651"/>
    </row>
    <row r="70" spans="2:18" x14ac:dyDescent="0.35">
      <c r="B70" s="649"/>
      <c r="C70" s="650"/>
      <c r="D70" s="650"/>
      <c r="E70" s="650"/>
      <c r="F70" s="650"/>
      <c r="G70" s="650"/>
      <c r="H70" s="650"/>
      <c r="I70" s="650"/>
      <c r="J70" s="650"/>
      <c r="K70" s="650"/>
      <c r="L70" s="650"/>
      <c r="M70" s="650"/>
      <c r="N70" s="650"/>
      <c r="O70" s="650"/>
      <c r="P70" s="650"/>
      <c r="Q70" s="650"/>
      <c r="R70" s="651"/>
    </row>
    <row r="71" spans="2:18" ht="61.5" customHeight="1" thickBot="1" x14ac:dyDescent="0.4">
      <c r="B71" s="652"/>
      <c r="C71" s="653"/>
      <c r="D71" s="653"/>
      <c r="E71" s="653"/>
      <c r="F71" s="653"/>
      <c r="G71" s="653"/>
      <c r="H71" s="653"/>
      <c r="I71" s="653"/>
      <c r="J71" s="653"/>
      <c r="K71" s="653"/>
      <c r="L71" s="653"/>
      <c r="M71" s="653"/>
      <c r="N71" s="653"/>
      <c r="O71" s="653"/>
      <c r="P71" s="653"/>
      <c r="Q71" s="653"/>
      <c r="R71" s="654"/>
    </row>
    <row r="72" spans="2:18" ht="16" thickBot="1" x14ac:dyDescent="0.4">
      <c r="B72" s="640"/>
      <c r="C72" s="641"/>
      <c r="D72" s="641"/>
      <c r="E72" s="641"/>
      <c r="F72" s="641"/>
      <c r="G72" s="641"/>
      <c r="H72" s="641"/>
      <c r="I72" s="641"/>
      <c r="J72" s="641"/>
      <c r="K72" s="641"/>
      <c r="L72" s="641"/>
      <c r="M72" s="641"/>
      <c r="N72" s="641"/>
      <c r="O72" s="641"/>
      <c r="P72" s="641"/>
      <c r="Q72" s="641"/>
      <c r="R72" s="642"/>
    </row>
  </sheetData>
  <sheetProtection algorithmName="SHA-512" hashValue="L5acX0zBXwhLu9oiVO5q+yvLfzYM3//064sufcEV0KRfX69sQzOGnYbQuf/K2hhQGj86g4zG4bfDgv5J8hoHsw==" saltValue="2Jms58Xs2zPltP0bdiyoOw==" spinCount="100000" sheet="1" objects="1" scenarios="1"/>
  <mergeCells count="17">
    <mergeCell ref="B2:R2"/>
    <mergeCell ref="C29:R30"/>
    <mergeCell ref="C36:R37"/>
    <mergeCell ref="C6:R6"/>
    <mergeCell ref="C9:L9"/>
    <mergeCell ref="C8:R8"/>
    <mergeCell ref="G7:I7"/>
    <mergeCell ref="K7:M7"/>
    <mergeCell ref="O7:Q7"/>
    <mergeCell ref="C10:Q11"/>
    <mergeCell ref="C7:F7"/>
    <mergeCell ref="B49:R49"/>
    <mergeCell ref="C3:O3"/>
    <mergeCell ref="C43:R44"/>
    <mergeCell ref="B72:R72"/>
    <mergeCell ref="B52:R71"/>
    <mergeCell ref="C17:R18"/>
  </mergeCells>
  <dataValidations count="1">
    <dataValidation type="custom" allowBlank="1" showInputMessage="1" showErrorMessage="1" sqref="R9:R11 C9:Q9" xr:uid="{10DD5618-06EE-4507-9CD6-F2E3D37CE9B3}">
      <formula1>"&lt;0&gt;0"</formula1>
    </dataValidation>
  </dataValidations>
  <hyperlinks>
    <hyperlink ref="C7" r:id="rId1" xr:uid="{23E04996-A3AE-4CC6-8094-A59D6513BD44}"/>
  </hyperlinks>
  <pageMargins left="0.70866141732283472" right="0.70866141732283472" top="0.74803149606299213" bottom="0.74803149606299213" header="0.31496062992125984" footer="0.31496062992125984"/>
  <pageSetup paperSize="9" scale="55" orientation="portrait" horizont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2DAE76"/>
    <pageSetUpPr fitToPage="1"/>
  </sheetPr>
  <dimension ref="A1:BR140"/>
  <sheetViews>
    <sheetView showGridLines="0" tabSelected="1" zoomScaleNormal="100" zoomScaleSheetLayoutView="80" workbookViewId="0">
      <selection activeCell="H14" sqref="H14"/>
    </sheetView>
  </sheetViews>
  <sheetFormatPr defaultColWidth="9.1796875" defaultRowHeight="13" x14ac:dyDescent="0.3"/>
  <cols>
    <col min="1" max="1" width="4.453125" style="17" customWidth="1"/>
    <col min="2" max="2" width="21.81640625" style="18" customWidth="1"/>
    <col min="3" max="3" width="16.1796875" style="18" customWidth="1"/>
    <col min="4" max="4" width="15.54296875" style="19" customWidth="1"/>
    <col min="5" max="6" width="12.1796875" style="20" customWidth="1"/>
    <col min="7" max="7" width="11.453125" style="20" customWidth="1"/>
    <col min="8" max="8" width="19.453125" style="21" customWidth="1"/>
    <col min="9" max="9" width="16" style="21" customWidth="1"/>
    <col min="10" max="10" width="21.54296875" style="21" customWidth="1"/>
    <col min="11" max="11" width="18.1796875" style="22" customWidth="1"/>
    <col min="12" max="12" width="19" style="22" customWidth="1"/>
    <col min="13" max="13" width="15.54296875" style="23" customWidth="1"/>
    <col min="14" max="14" width="16.453125" style="23" customWidth="1"/>
    <col min="15" max="15" width="18.453125" style="24" customWidth="1"/>
    <col min="16" max="17" width="15.54296875" style="24" customWidth="1"/>
    <col min="18" max="18" width="13.453125" style="17" hidden="1" customWidth="1"/>
    <col min="19" max="19" width="15.54296875" style="24" customWidth="1"/>
    <col min="20" max="20" width="15.54296875" style="24" hidden="1" customWidth="1"/>
    <col min="21" max="21" width="15.54296875" style="24" customWidth="1"/>
    <col min="22" max="22" width="16" style="24" customWidth="1"/>
    <col min="23" max="23" width="9.1796875" style="24" hidden="1" customWidth="1"/>
    <col min="24" max="24" width="13.54296875" style="24" hidden="1" customWidth="1"/>
    <col min="25" max="25" width="17.54296875" style="24" hidden="1" customWidth="1"/>
    <col min="26" max="26" width="6.453125" style="24" hidden="1" customWidth="1"/>
    <col min="27" max="27" width="9.1796875" style="24" hidden="1" customWidth="1"/>
    <col min="28" max="28" width="5.54296875" style="24" hidden="1" customWidth="1"/>
    <col min="29" max="32" width="16" style="24" hidden="1" customWidth="1"/>
    <col min="33" max="36" width="15.54296875" style="24" hidden="1" customWidth="1"/>
    <col min="37" max="37" width="17.453125" style="24" hidden="1" customWidth="1"/>
    <col min="38" max="38" width="21.453125" style="24" hidden="1" customWidth="1"/>
    <col min="39" max="43" width="9.1796875" style="24" hidden="1" customWidth="1"/>
    <col min="44" max="63" width="9.1796875" style="24" customWidth="1"/>
    <col min="64" max="16384" width="9.1796875" style="24"/>
  </cols>
  <sheetData>
    <row r="1" spans="1:43" ht="13.5" thickBot="1" x14ac:dyDescent="0.35">
      <c r="R1" s="17" t="s">
        <v>18</v>
      </c>
      <c r="T1" s="24" t="s">
        <v>19</v>
      </c>
    </row>
    <row r="2" spans="1:43" ht="13.5" customHeight="1" thickBot="1" x14ac:dyDescent="0.35">
      <c r="A2" s="565"/>
      <c r="B2" s="566"/>
      <c r="C2" s="566"/>
      <c r="D2" s="567"/>
      <c r="E2" s="568"/>
      <c r="F2" s="568"/>
      <c r="G2" s="568"/>
      <c r="H2" s="569"/>
      <c r="I2" s="569"/>
      <c r="J2" s="569"/>
      <c r="K2" s="570"/>
      <c r="L2" s="570"/>
      <c r="M2" s="571"/>
      <c r="N2" s="571"/>
      <c r="O2" s="572"/>
      <c r="P2" s="572"/>
      <c r="Q2" s="572"/>
      <c r="R2" s="573"/>
      <c r="S2" s="572"/>
      <c r="T2" s="572"/>
      <c r="U2" s="572"/>
      <c r="V2" s="574"/>
      <c r="AQ2" s="24" t="s">
        <v>20</v>
      </c>
    </row>
    <row r="3" spans="1:43" ht="26.25" customHeight="1" x14ac:dyDescent="0.35">
      <c r="A3" s="575"/>
      <c r="B3" s="691" t="s">
        <v>21</v>
      </c>
      <c r="C3" s="692"/>
      <c r="D3" s="689"/>
      <c r="E3" s="689"/>
      <c r="F3" s="689"/>
      <c r="G3" s="690"/>
      <c r="H3" s="576"/>
      <c r="I3" s="577"/>
      <c r="J3" s="578" t="s">
        <v>22</v>
      </c>
      <c r="K3" s="577"/>
      <c r="L3" s="579"/>
      <c r="M3" s="580"/>
      <c r="N3" s="133" t="s">
        <v>23</v>
      </c>
      <c r="O3" s="134"/>
      <c r="P3" s="581"/>
      <c r="Q3" s="582"/>
      <c r="R3" s="583" t="str">
        <f>IF($D$4="Recycling Fund","Client Additional Fund:","")</f>
        <v/>
      </c>
      <c r="S3" s="584"/>
      <c r="T3" s="584"/>
      <c r="U3" s="695"/>
      <c r="V3" s="696"/>
      <c r="W3" s="11"/>
      <c r="X3" s="11"/>
      <c r="AQ3" s="24" t="s">
        <v>20</v>
      </c>
    </row>
    <row r="4" spans="1:43" ht="26.25" customHeight="1" thickBot="1" x14ac:dyDescent="0.4">
      <c r="A4" s="585"/>
      <c r="B4" s="666" t="s">
        <v>24</v>
      </c>
      <c r="C4" s="667"/>
      <c r="D4" s="672"/>
      <c r="E4" s="672"/>
      <c r="F4" s="672"/>
      <c r="G4" s="673"/>
      <c r="H4" s="586"/>
      <c r="I4" s="577"/>
      <c r="J4" s="587" t="s">
        <v>26</v>
      </c>
      <c r="K4" s="434"/>
      <c r="L4" s="579"/>
      <c r="M4" s="580"/>
      <c r="N4" s="113" t="s">
        <v>27</v>
      </c>
      <c r="O4" s="554" t="str">
        <f>IF(D4="SEELS England","No payback criteria - loan repaid in 5 Years",IF($D$4="","",'Extra look-up'!F80&amp;" years"))</f>
        <v/>
      </c>
      <c r="P4" s="588"/>
      <c r="Q4" s="411"/>
      <c r="R4" s="589" t="str">
        <f>IF($D$4="Recycling Fund","10 years","")</f>
        <v/>
      </c>
      <c r="S4" s="584"/>
      <c r="T4" s="584"/>
      <c r="U4" s="695"/>
      <c r="V4" s="696"/>
      <c r="W4" s="11"/>
      <c r="X4" s="11"/>
      <c r="AQ4" s="24" t="s">
        <v>20</v>
      </c>
    </row>
    <row r="5" spans="1:43" ht="26.25" customHeight="1" x14ac:dyDescent="0.35">
      <c r="A5" s="585"/>
      <c r="B5" s="590"/>
      <c r="C5" s="590"/>
      <c r="D5" s="590"/>
      <c r="E5" s="590"/>
      <c r="F5" s="590"/>
      <c r="G5" s="590"/>
      <c r="H5" s="586"/>
      <c r="I5" s="590"/>
      <c r="J5" s="435" t="str">
        <f ca="1">"© Salix Finance "&amp;YEAR(NOW())</f>
        <v>© Salix Finance 2023</v>
      </c>
      <c r="K5" s="590"/>
      <c r="L5" s="579"/>
      <c r="M5" s="580"/>
      <c r="N5" s="113" t="s">
        <v>29</v>
      </c>
      <c r="O5" s="114" t="str">
        <f>IF($D$4="","","£"&amp;'Extra look-up'!G80)</f>
        <v/>
      </c>
      <c r="P5" s="588"/>
      <c r="Q5" s="411"/>
      <c r="R5" s="589" t="str">
        <f>IF($D$4="Recycling Fund","£400","")</f>
        <v/>
      </c>
      <c r="S5" s="584"/>
      <c r="T5" s="584"/>
      <c r="U5" s="695"/>
      <c r="V5" s="696"/>
      <c r="W5" s="11"/>
      <c r="X5" s="11"/>
      <c r="AQ5" s="24" t="s">
        <v>20</v>
      </c>
    </row>
    <row r="6" spans="1:43" ht="26.25" customHeight="1" x14ac:dyDescent="0.35">
      <c r="A6" s="591"/>
      <c r="B6" s="590"/>
      <c r="C6" s="590"/>
      <c r="D6" s="590"/>
      <c r="E6" s="590"/>
      <c r="F6" s="590"/>
      <c r="G6" s="590"/>
      <c r="H6" s="674"/>
      <c r="I6" s="674"/>
      <c r="J6" s="405"/>
      <c r="K6" s="584"/>
      <c r="L6" s="579"/>
      <c r="M6" s="580"/>
      <c r="N6" s="670" t="str">
        <f>IF(OR(O12&gt;=100000,O13&gt;=100000,O14&gt;=100000,O15&gt;=100000,O16&gt;=100000,O17&gt;=100000,O18&gt;=100000,O19&gt;=100000,O20&gt;=100000,O61&gt;=100000),"Please Complete Business Case Information in next tab","")</f>
        <v/>
      </c>
      <c r="O6" s="670"/>
      <c r="P6" s="584"/>
      <c r="Q6" s="584"/>
      <c r="R6" s="584"/>
      <c r="S6" s="584"/>
      <c r="T6" s="584"/>
      <c r="U6" s="695"/>
      <c r="V6" s="696"/>
      <c r="W6" s="11"/>
      <c r="X6" s="11"/>
      <c r="AQ6" s="24" t="s">
        <v>20</v>
      </c>
    </row>
    <row r="7" spans="1:43" ht="14.25" customHeight="1" thickBot="1" x14ac:dyDescent="0.35">
      <c r="A7" s="592"/>
      <c r="B7" s="562"/>
      <c r="C7" s="429"/>
      <c r="D7" s="430"/>
      <c r="E7" s="431"/>
      <c r="F7" s="431"/>
      <c r="G7" s="431"/>
      <c r="H7" s="432"/>
      <c r="I7" s="433"/>
      <c r="J7" s="433"/>
      <c r="K7" s="436"/>
      <c r="L7" s="437"/>
      <c r="M7" s="580"/>
      <c r="N7" s="671"/>
      <c r="O7" s="671"/>
      <c r="P7" s="584"/>
      <c r="Q7" s="584"/>
      <c r="R7" s="584"/>
      <c r="S7" s="584"/>
      <c r="T7" s="584"/>
      <c r="U7" s="695"/>
      <c r="V7" s="696"/>
      <c r="W7" s="11"/>
      <c r="X7" s="11"/>
      <c r="AQ7" s="24" t="s">
        <v>20</v>
      </c>
    </row>
    <row r="8" spans="1:43" s="25" customFormat="1" ht="60.75" customHeight="1" thickBot="1" x14ac:dyDescent="0.4">
      <c r="A8" s="593"/>
      <c r="B8" s="139" t="s">
        <v>30</v>
      </c>
      <c r="C8" s="171" t="s">
        <v>31</v>
      </c>
      <c r="D8" s="612" t="s">
        <v>32</v>
      </c>
      <c r="E8" s="136" t="s">
        <v>33</v>
      </c>
      <c r="F8" s="611" t="s">
        <v>34</v>
      </c>
      <c r="G8" s="668" t="s">
        <v>35</v>
      </c>
      <c r="H8" s="687"/>
      <c r="I8" s="687"/>
      <c r="J8" s="687"/>
      <c r="K8" s="688"/>
      <c r="L8" s="702" t="s">
        <v>36</v>
      </c>
      <c r="M8" s="688"/>
      <c r="N8" s="438"/>
      <c r="O8" s="584"/>
      <c r="P8" s="584"/>
      <c r="Q8" s="594"/>
      <c r="R8" s="594"/>
      <c r="S8" s="594"/>
      <c r="T8" s="594"/>
      <c r="U8" s="594"/>
      <c r="V8" s="595"/>
      <c r="W8" s="6"/>
      <c r="X8" s="6"/>
      <c r="Y8" s="6"/>
      <c r="Z8" s="5"/>
      <c r="AA8" s="5"/>
      <c r="AB8" s="6"/>
      <c r="AC8" s="6"/>
      <c r="AD8" s="6"/>
      <c r="AE8" s="6"/>
      <c r="AF8" s="6"/>
      <c r="AG8" s="6"/>
      <c r="AH8" s="6"/>
      <c r="AI8" s="6"/>
      <c r="AJ8" s="6"/>
      <c r="AK8" s="6"/>
      <c r="AL8" s="6"/>
      <c r="AM8" s="6"/>
      <c r="AN8" s="6"/>
      <c r="AO8" s="6"/>
      <c r="AP8" s="6"/>
      <c r="AQ8" s="24" t="s">
        <v>20</v>
      </c>
    </row>
    <row r="9" spans="1:43" s="25" customFormat="1" ht="43.5" customHeight="1" thickBot="1" x14ac:dyDescent="0.4">
      <c r="A9" s="593"/>
      <c r="B9" s="563"/>
      <c r="C9" s="561"/>
      <c r="D9" s="296"/>
      <c r="E9" s="297"/>
      <c r="F9" s="298"/>
      <c r="G9" s="697"/>
      <c r="H9" s="698"/>
      <c r="I9" s="698"/>
      <c r="J9" s="698"/>
      <c r="K9" s="699"/>
      <c r="L9" s="700" t="str">
        <f>IF(AND(C9="",D9="",E9="",F9="",G9=""),"",IF($F$9="","Enter site life","OK"))</f>
        <v/>
      </c>
      <c r="M9" s="701"/>
      <c r="N9" s="295"/>
      <c r="O9" s="584"/>
      <c r="P9" s="584"/>
      <c r="Q9" s="594"/>
      <c r="R9" s="594"/>
      <c r="S9" s="594"/>
      <c r="T9" s="594"/>
      <c r="U9" s="594"/>
      <c r="V9" s="595"/>
      <c r="W9" s="6"/>
      <c r="X9" s="6"/>
      <c r="Y9" s="6"/>
      <c r="Z9" s="5"/>
      <c r="AA9" s="5"/>
      <c r="AB9" s="6"/>
      <c r="AC9" s="6"/>
      <c r="AD9" s="6"/>
      <c r="AE9" s="6"/>
      <c r="AF9" s="6"/>
      <c r="AG9" s="6"/>
      <c r="AH9" s="6"/>
      <c r="AI9" s="6"/>
      <c r="AJ9" s="6"/>
      <c r="AK9" s="6"/>
      <c r="AL9" s="6"/>
      <c r="AM9" s="6"/>
      <c r="AN9" s="6"/>
      <c r="AO9" s="6"/>
      <c r="AP9" s="6"/>
      <c r="AQ9" s="24" t="s">
        <v>20</v>
      </c>
    </row>
    <row r="10" spans="1:43" s="25" customFormat="1" ht="15" customHeight="1" thickBot="1" x14ac:dyDescent="0.35">
      <c r="A10" s="596"/>
      <c r="B10" s="693"/>
      <c r="C10" s="693"/>
      <c r="D10" s="693"/>
      <c r="E10" s="693"/>
      <c r="F10" s="693"/>
      <c r="G10" s="693"/>
      <c r="H10" s="693"/>
      <c r="I10" s="693"/>
      <c r="J10" s="693"/>
      <c r="K10" s="693"/>
      <c r="L10" s="693"/>
      <c r="M10" s="693"/>
      <c r="N10" s="693"/>
      <c r="O10" s="693"/>
      <c r="P10" s="693"/>
      <c r="Q10" s="693"/>
      <c r="R10" s="693"/>
      <c r="S10" s="693"/>
      <c r="T10" s="693"/>
      <c r="U10" s="693"/>
      <c r="V10" s="694"/>
      <c r="W10" s="6"/>
      <c r="X10" s="6"/>
      <c r="Y10" s="5"/>
      <c r="Z10" s="5"/>
      <c r="AA10" s="6"/>
      <c r="AB10" s="6"/>
      <c r="AC10" s="6"/>
      <c r="AD10" s="6"/>
      <c r="AE10" s="6"/>
      <c r="AF10" s="6"/>
      <c r="AG10" s="6"/>
      <c r="AH10" s="6"/>
      <c r="AI10" s="6"/>
      <c r="AJ10" s="6"/>
      <c r="AK10" s="6"/>
      <c r="AL10" s="6"/>
      <c r="AM10" s="6"/>
      <c r="AN10" s="6"/>
      <c r="AO10" s="6"/>
      <c r="AQ10" s="24" t="s">
        <v>20</v>
      </c>
    </row>
    <row r="11" spans="1:43" s="25" customFormat="1" ht="60.75" customHeight="1" thickBot="1" x14ac:dyDescent="0.35">
      <c r="A11" s="564"/>
      <c r="B11" s="409" t="s">
        <v>37</v>
      </c>
      <c r="C11" s="613" t="s">
        <v>38</v>
      </c>
      <c r="D11" s="135" t="s">
        <v>39</v>
      </c>
      <c r="E11" s="137" t="s">
        <v>40</v>
      </c>
      <c r="F11" s="138" t="s">
        <v>41</v>
      </c>
      <c r="G11" s="139" t="s">
        <v>42</v>
      </c>
      <c r="H11" s="410" t="s">
        <v>43</v>
      </c>
      <c r="I11" s="668" t="s">
        <v>44</v>
      </c>
      <c r="J11" s="669"/>
      <c r="K11" s="137" t="s">
        <v>45</v>
      </c>
      <c r="L11" s="140" t="s">
        <v>46</v>
      </c>
      <c r="M11" s="293" t="s">
        <v>47</v>
      </c>
      <c r="N11" s="294" t="s">
        <v>48</v>
      </c>
      <c r="O11" s="141" t="s">
        <v>49</v>
      </c>
      <c r="P11" s="277" t="s">
        <v>50</v>
      </c>
      <c r="Q11" s="135" t="s">
        <v>51</v>
      </c>
      <c r="R11" s="135" t="s">
        <v>52</v>
      </c>
      <c r="S11" s="142" t="s">
        <v>53</v>
      </c>
      <c r="T11" s="135" t="s">
        <v>54</v>
      </c>
      <c r="U11" s="143" t="s">
        <v>55</v>
      </c>
      <c r="V11" s="637" t="s">
        <v>36</v>
      </c>
      <c r="W11" s="606" t="s">
        <v>56</v>
      </c>
      <c r="X11" s="605" t="s">
        <v>27</v>
      </c>
      <c r="Y11" s="607" t="s">
        <v>57</v>
      </c>
      <c r="Z11" s="597"/>
      <c r="AA11" s="597"/>
      <c r="AB11" s="597" t="s">
        <v>58</v>
      </c>
      <c r="AC11" s="616" t="s">
        <v>59</v>
      </c>
      <c r="AD11" s="620" t="s">
        <v>60</v>
      </c>
      <c r="AE11" s="6"/>
      <c r="AF11" s="6"/>
      <c r="AG11" s="9"/>
      <c r="AH11" s="9"/>
      <c r="AI11" s="9"/>
      <c r="AJ11" s="42" t="s">
        <v>27</v>
      </c>
      <c r="AK11" s="42" t="s">
        <v>61</v>
      </c>
      <c r="AL11" s="33"/>
      <c r="AM11" s="7"/>
      <c r="AP11" s="6"/>
      <c r="AQ11" s="24" t="s">
        <v>20</v>
      </c>
    </row>
    <row r="12" spans="1:43" s="25" customFormat="1" ht="34" customHeight="1" x14ac:dyDescent="0.3">
      <c r="A12" s="168">
        <v>1</v>
      </c>
      <c r="B12" s="115"/>
      <c r="C12" s="116"/>
      <c r="D12" s="117"/>
      <c r="E12" s="118"/>
      <c r="F12" s="119"/>
      <c r="G12" s="144" t="str">
        <f t="shared" ref="G12:G43" si="0">IFERROR(((F12/E12)^(1/X12))-1,"")</f>
        <v/>
      </c>
      <c r="H12" s="391"/>
      <c r="I12" s="664"/>
      <c r="J12" s="665"/>
      <c r="K12" s="120"/>
      <c r="L12" s="121"/>
      <c r="M12" s="145" t="str">
        <f>IF(K12="","",K12-L12)</f>
        <v/>
      </c>
      <c r="N12" s="146">
        <f>IFERROR(M12/K12,0)</f>
        <v>0</v>
      </c>
      <c r="O12" s="122"/>
      <c r="P12" s="151" t="str">
        <f t="shared" ref="P12:P43" si="1">IF(OR(F12="",M12=""),"",M12*F12/100)</f>
        <v/>
      </c>
      <c r="Q12" s="152" t="str">
        <f t="shared" ref="Q12:Q61" si="2">IF(OR(P12&lt;=0,P12=""),"",O12/P12)</f>
        <v/>
      </c>
      <c r="R12" s="153" t="str">
        <f t="shared" ref="R12:R43" si="3">IFERROR(IF(D12="Electricity",AD12,HLOOKUP(D12,$AH$100:$AQ$140,2,FALSE)),"")</f>
        <v/>
      </c>
      <c r="S12" s="154" t="str">
        <f t="shared" ref="S12:S43" si="4">IF(OR(D12="",M12="",R12=""),"",M12*R12/1000)</f>
        <v/>
      </c>
      <c r="T12" s="154" t="str">
        <f>IF(S12="","",W12*S12)</f>
        <v/>
      </c>
      <c r="U12" s="155" t="str">
        <f>IF(ISERROR(O12/T12),"",O12/T12)</f>
        <v/>
      </c>
      <c r="V12" s="638" t="str">
        <f ca="1">IF('Extra look-up'!$H6="Work Type","Check Work Type",IF(AND(D12="",F12="",H12="",I12="",L12="",M12=""),"",IF(OR(D12="",F12="",H12="",I12="",L12="",M12="",$L$9&lt;&gt;"OK"),"Check all fields completed correctly",IF(AND(D12="",OR(F12&lt;&gt;"",H12&lt;&gt;"",I12&lt;&gt;"",L12&lt;&gt;"")),"Check all fields completed correctly","OK"))))</f>
        <v/>
      </c>
      <c r="W12" s="599" t="str">
        <f>IF(I12="","",IF(VLOOKUP(I12,'Eligible Technologies'!$D$7:$G$69,4,FALSE)&lt;$F$9,VLOOKUP(I12,'Eligible Technologies'!$D$7:$G$69,4,FALSE),$F$9))</f>
        <v/>
      </c>
      <c r="X12" s="600" t="str">
        <f t="shared" ref="X12:X17" si="5">IF(Q12="","",ROUNDUP($Q$65,0))</f>
        <v/>
      </c>
      <c r="Y12" s="600">
        <f ca="1">IF(V12="",0,1)</f>
        <v>0</v>
      </c>
      <c r="Z12" s="600" t="str">
        <f>'Extra look-up'!F6</f>
        <v/>
      </c>
      <c r="AA12" s="600" t="str">
        <f ca="1">'Extra look-up'!H6</f>
        <v>OK</v>
      </c>
      <c r="AB12" s="600">
        <f ca="1">IF(AND(V12&lt;&gt;"OK",V12&lt;&gt;""),51,1)</f>
        <v>1</v>
      </c>
      <c r="AC12" s="617" t="e">
        <f>ROUNDUP(W12,0)+100</f>
        <v>#VALUE!</v>
      </c>
      <c r="AD12" s="621" t="str">
        <f ca="1">IFERROR(AVERAGE($AH$101:INDIRECT(CONCATENATE("AH"&amp;AC12))),"")</f>
        <v/>
      </c>
      <c r="AE12" s="614"/>
      <c r="AF12" s="614"/>
      <c r="AG12" s="9"/>
      <c r="AH12" s="9"/>
      <c r="AI12" s="9"/>
      <c r="AJ12" s="42" t="str">
        <f>IF(OR($D$5="Higher Education Institute",$D$4="Scotland",$D$4="Wales",$D$4="Northern Ireland"),8,IF(OR($D$5="Local Authority",$D$5="NHS",$D$5="Emergency Services",$D$5="Maintained School (Local Authority)"),10,""))</f>
        <v/>
      </c>
      <c r="AK12" s="42" t="str">
        <f>IF($D$4="Scotland",250,IF($D$4="Northern Ireland",200,IF(OR($D$4="Wales",$D$5="Higher Education Institute"),275,IF(OR($D$5="Local Authority",$D$5="NHS",$D$5="Emergency Services",$D$5="Maintained School (Local Authority)"),344,""))))</f>
        <v/>
      </c>
      <c r="AL12" s="8"/>
      <c r="AM12" s="6"/>
      <c r="AP12" s="6"/>
      <c r="AQ12" s="24" t="s">
        <v>20</v>
      </c>
    </row>
    <row r="13" spans="1:43" s="25" customFormat="1" ht="34" customHeight="1" x14ac:dyDescent="0.3">
      <c r="A13" s="169">
        <v>2</v>
      </c>
      <c r="B13" s="115"/>
      <c r="C13" s="124"/>
      <c r="D13" s="117"/>
      <c r="E13" s="118"/>
      <c r="F13" s="119"/>
      <c r="G13" s="144" t="str">
        <f t="shared" si="0"/>
        <v/>
      </c>
      <c r="H13" s="391"/>
      <c r="I13" s="664"/>
      <c r="J13" s="665"/>
      <c r="K13" s="120"/>
      <c r="L13" s="121"/>
      <c r="M13" s="147" t="str">
        <f t="shared" ref="M13:M61" si="6">IF(K13="","",K13-L13)</f>
        <v/>
      </c>
      <c r="N13" s="148">
        <f t="shared" ref="N13:N61" si="7">IFERROR(M13/K13,0)</f>
        <v>0</v>
      </c>
      <c r="O13" s="122"/>
      <c r="P13" s="156" t="str">
        <f t="shared" si="1"/>
        <v/>
      </c>
      <c r="Q13" s="157" t="str">
        <f t="shared" si="2"/>
        <v/>
      </c>
      <c r="R13" s="627" t="str">
        <f t="shared" si="3"/>
        <v/>
      </c>
      <c r="S13" s="158" t="str">
        <f t="shared" si="4"/>
        <v/>
      </c>
      <c r="T13" s="158" t="str">
        <f t="shared" ref="T13:T61" si="8">IF(S13="","",W13*S13)</f>
        <v/>
      </c>
      <c r="U13" s="159" t="str">
        <f t="shared" ref="U13:U61" si="9">IF(ISERROR(O13/T13),"",O13/T13)</f>
        <v/>
      </c>
      <c r="V13" s="638" t="str">
        <f ca="1">IF('Extra look-up'!$H7="Work Type","Check Work Type",IF(AND(D13="",F13="",H13="",I13="",L13="",M13=""),"",IF(OR(D13="",F13="",H13="",I13="",L13="",M13="",$L$9&lt;&gt;"OK"),"Check all fields completed correctly",IF(AND(D13="",OR(F13&lt;&gt;"",H13&lt;&gt;"",I13&lt;&gt;"",L13&lt;&gt;"")),"Check all fields completed correctly","OK"))))</f>
        <v/>
      </c>
      <c r="W13" s="601" t="str">
        <f>IF(I13="","",IF(VLOOKUP(I13,'Eligible Technologies'!$D$7:$G$69,4,FALSE)&lt;$F$9,VLOOKUP(I13,'Eligible Technologies'!$D$7:$G$69,4,FALSE),$F$9))</f>
        <v/>
      </c>
      <c r="X13" s="602" t="str">
        <f t="shared" si="5"/>
        <v/>
      </c>
      <c r="Y13" s="602">
        <f t="shared" ref="Y13:Y61" ca="1" si="10">IF(V13="",0,1)</f>
        <v>0</v>
      </c>
      <c r="Z13" s="602" t="str">
        <f>'Extra look-up'!F7</f>
        <v/>
      </c>
      <c r="AA13" s="602" t="str">
        <f ca="1">'Extra look-up'!H7</f>
        <v>OK</v>
      </c>
      <c r="AB13" s="602">
        <f ca="1">IF(AND(V13&lt;&gt;"OK",V13&lt;&gt;""),51,1)</f>
        <v>1</v>
      </c>
      <c r="AC13" s="618" t="e">
        <f>ROUNDUP(W13,0)+100</f>
        <v>#VALUE!</v>
      </c>
      <c r="AD13" s="621" t="str">
        <f ca="1">IFERROR(AVERAGE($AH$101:INDIRECT(CONCATENATE("AH"&amp;AC13))),"")</f>
        <v/>
      </c>
      <c r="AE13" s="615"/>
      <c r="AF13" s="615"/>
      <c r="AG13" s="9"/>
      <c r="AH13" s="9"/>
      <c r="AI13" s="9"/>
      <c r="AJ13" s="9"/>
      <c r="AK13" s="9"/>
      <c r="AL13" s="9"/>
      <c r="AM13" s="6"/>
      <c r="AP13" s="6"/>
      <c r="AQ13" s="24" t="s">
        <v>20</v>
      </c>
    </row>
    <row r="14" spans="1:43" s="25" customFormat="1" ht="34" customHeight="1" x14ac:dyDescent="0.3">
      <c r="A14" s="169">
        <v>3</v>
      </c>
      <c r="B14" s="115"/>
      <c r="C14" s="125"/>
      <c r="D14" s="117"/>
      <c r="E14" s="118"/>
      <c r="F14" s="119"/>
      <c r="G14" s="144" t="str">
        <f t="shared" si="0"/>
        <v/>
      </c>
      <c r="H14" s="391"/>
      <c r="I14" s="664"/>
      <c r="J14" s="665"/>
      <c r="K14" s="120"/>
      <c r="L14" s="121"/>
      <c r="M14" s="147" t="str">
        <f t="shared" si="6"/>
        <v/>
      </c>
      <c r="N14" s="148">
        <f t="shared" si="7"/>
        <v>0</v>
      </c>
      <c r="O14" s="122"/>
      <c r="P14" s="156" t="str">
        <f t="shared" si="1"/>
        <v/>
      </c>
      <c r="Q14" s="157" t="str">
        <f t="shared" si="2"/>
        <v/>
      </c>
      <c r="R14" s="627" t="str">
        <f t="shared" si="3"/>
        <v/>
      </c>
      <c r="S14" s="158" t="str">
        <f t="shared" si="4"/>
        <v/>
      </c>
      <c r="T14" s="158" t="str">
        <f t="shared" si="8"/>
        <v/>
      </c>
      <c r="U14" s="159" t="str">
        <f t="shared" si="9"/>
        <v/>
      </c>
      <c r="V14" s="638" t="str">
        <f ca="1">IF('Extra look-up'!$H8="Work Type","Check Work Type",IF(AND(D14="",F14="",H14="",I14="",L14="",M14=""),"",IF(OR(D14="",F14="",H14="",I14="",L14="",M14="",$L$9&lt;&gt;"OK"),"Check all fields completed correctly",IF(AND(D14="",OR(F14&lt;&gt;"",H14&lt;&gt;"",I14&lt;&gt;"",L14&lt;&gt;"")),"Check all fields completed correctly","OK"))))</f>
        <v/>
      </c>
      <c r="W14" s="601" t="str">
        <f>IF(I14="","",IF(VLOOKUP(I14,'Eligible Technologies'!$D$7:$G$69,4,FALSE)&lt;$F$9,VLOOKUP(I14,'Eligible Technologies'!$D$7:$G$69,4,FALSE),$F$9))</f>
        <v/>
      </c>
      <c r="X14" s="602" t="str">
        <f t="shared" si="5"/>
        <v/>
      </c>
      <c r="Y14" s="602">
        <f t="shared" ca="1" si="10"/>
        <v>0</v>
      </c>
      <c r="Z14" s="602" t="str">
        <f>'Extra look-up'!F8</f>
        <v/>
      </c>
      <c r="AA14" s="602" t="str">
        <f ca="1">'Extra look-up'!H8</f>
        <v>OK</v>
      </c>
      <c r="AB14" s="602">
        <f t="shared" ref="AB14:AB61" ca="1" si="11">IF(AND(V14&lt;&gt;"OK",V14&lt;&gt;""),51,1)</f>
        <v>1</v>
      </c>
      <c r="AC14" s="618" t="e">
        <f>ROUNDUP(W14,0)+100</f>
        <v>#VALUE!</v>
      </c>
      <c r="AD14" s="621" t="str">
        <f ca="1">IFERROR(AVERAGE($AH$101:INDIRECT(CONCATENATE("AH"&amp;AC14))),"")</f>
        <v/>
      </c>
      <c r="AE14" s="615"/>
      <c r="AF14" s="615"/>
      <c r="AG14" s="9"/>
      <c r="AH14" s="9"/>
      <c r="AI14" s="9"/>
      <c r="AJ14" s="9"/>
      <c r="AK14" s="9"/>
      <c r="AL14" s="9"/>
      <c r="AM14" s="6"/>
      <c r="AN14" s="6"/>
      <c r="AO14" s="6"/>
      <c r="AP14" s="6"/>
      <c r="AQ14" s="24" t="s">
        <v>20</v>
      </c>
    </row>
    <row r="15" spans="1:43" s="25" customFormat="1" ht="34" customHeight="1" x14ac:dyDescent="0.3">
      <c r="A15" s="169">
        <v>4</v>
      </c>
      <c r="B15" s="115"/>
      <c r="C15" s="123"/>
      <c r="D15" s="117"/>
      <c r="E15" s="118"/>
      <c r="F15" s="119"/>
      <c r="G15" s="144" t="str">
        <f t="shared" si="0"/>
        <v/>
      </c>
      <c r="H15" s="391"/>
      <c r="I15" s="664"/>
      <c r="J15" s="665"/>
      <c r="K15" s="120"/>
      <c r="L15" s="121"/>
      <c r="M15" s="149" t="str">
        <f t="shared" si="6"/>
        <v/>
      </c>
      <c r="N15" s="148">
        <f t="shared" si="7"/>
        <v>0</v>
      </c>
      <c r="O15" s="122"/>
      <c r="P15" s="156" t="str">
        <f t="shared" si="1"/>
        <v/>
      </c>
      <c r="Q15" s="157" t="str">
        <f t="shared" si="2"/>
        <v/>
      </c>
      <c r="R15" s="627" t="str">
        <f t="shared" si="3"/>
        <v/>
      </c>
      <c r="S15" s="158" t="str">
        <f t="shared" si="4"/>
        <v/>
      </c>
      <c r="T15" s="158" t="str">
        <f t="shared" si="8"/>
        <v/>
      </c>
      <c r="U15" s="159" t="str">
        <f t="shared" si="9"/>
        <v/>
      </c>
      <c r="V15" s="638" t="str">
        <f ca="1">IF('Extra look-up'!$H9="Work Type","Check Work Type",IF(AND(D15="",F15="",H15="",I15="",L15="",M15=""),"",IF(OR(D15="",F15="",H15="",I15="",L15="",M15="",$L$9&lt;&gt;"OK"),"Check all fields completed correctly",IF(AND(D15="",OR(F15&lt;&gt;"",H15&lt;&gt;"",I15&lt;&gt;"",L15&lt;&gt;"")),"Check all fields completed correctly","OK"))))</f>
        <v/>
      </c>
      <c r="W15" s="601" t="str">
        <f>IF(I15="","",IF(VLOOKUP(I15,'Eligible Technologies'!$D$7:$G$69,4,FALSE)&lt;$F$9,VLOOKUP(I15,'Eligible Technologies'!$D$7:$G$69,4,FALSE),$F$9))</f>
        <v/>
      </c>
      <c r="X15" s="602" t="str">
        <f t="shared" si="5"/>
        <v/>
      </c>
      <c r="Y15" s="602">
        <f t="shared" ca="1" si="10"/>
        <v>0</v>
      </c>
      <c r="Z15" s="602" t="str">
        <f>'Extra look-up'!F9</f>
        <v/>
      </c>
      <c r="AA15" s="602" t="str">
        <f ca="1">'Extra look-up'!H9</f>
        <v>OK</v>
      </c>
      <c r="AB15" s="602">
        <f t="shared" ca="1" si="11"/>
        <v>1</v>
      </c>
      <c r="AC15" s="618" t="e">
        <f t="shared" ref="AC15:AC61" si="12">ROUNDUP(W15,0)+100</f>
        <v>#VALUE!</v>
      </c>
      <c r="AD15" s="621" t="str">
        <f ca="1">IFERROR(AVERAGE($AH$101:INDIRECT(CONCATENATE("AH"&amp;AC15))),"")</f>
        <v/>
      </c>
      <c r="AE15" s="615"/>
      <c r="AF15" s="615"/>
      <c r="AG15" s="9"/>
      <c r="AH15" s="9"/>
      <c r="AI15" s="9"/>
      <c r="AJ15" s="9"/>
      <c r="AK15" s="9"/>
      <c r="AL15" s="9"/>
      <c r="AM15" s="6"/>
      <c r="AN15" s="6"/>
      <c r="AO15" s="6"/>
      <c r="AP15" s="6"/>
      <c r="AQ15" s="24" t="s">
        <v>20</v>
      </c>
    </row>
    <row r="16" spans="1:43" s="25" customFormat="1" ht="34" customHeight="1" x14ac:dyDescent="0.3">
      <c r="A16" s="169">
        <v>5</v>
      </c>
      <c r="B16" s="115"/>
      <c r="C16" s="124"/>
      <c r="D16" s="117"/>
      <c r="E16" s="118"/>
      <c r="F16" s="119"/>
      <c r="G16" s="144" t="str">
        <f t="shared" si="0"/>
        <v/>
      </c>
      <c r="H16" s="391"/>
      <c r="I16" s="664"/>
      <c r="J16" s="665"/>
      <c r="K16" s="120"/>
      <c r="L16" s="121"/>
      <c r="M16" s="150" t="str">
        <f t="shared" si="6"/>
        <v/>
      </c>
      <c r="N16" s="148">
        <f t="shared" si="7"/>
        <v>0</v>
      </c>
      <c r="O16" s="122"/>
      <c r="P16" s="156" t="str">
        <f t="shared" si="1"/>
        <v/>
      </c>
      <c r="Q16" s="157" t="str">
        <f>IF(OR(P16&lt;=0,P16=""),"",O16/P16)</f>
        <v/>
      </c>
      <c r="R16" s="627" t="str">
        <f t="shared" si="3"/>
        <v/>
      </c>
      <c r="S16" s="158" t="str">
        <f t="shared" si="4"/>
        <v/>
      </c>
      <c r="T16" s="158" t="str">
        <f t="shared" si="8"/>
        <v/>
      </c>
      <c r="U16" s="159" t="str">
        <f t="shared" si="9"/>
        <v/>
      </c>
      <c r="V16" s="638" t="str">
        <f ca="1">IF('Extra look-up'!$H10="Work Type","Check Work Type",IF(AND(D16="",F16="",H16="",I16="",L16="",M16=""),"",IF(OR(D16="",F16="",H16="",I16="",L16="",M16="",$L$9&lt;&gt;"OK"),"Check all fields completed correctly",IF(AND(D16="",OR(F16&lt;&gt;"",H16&lt;&gt;"",I16&lt;&gt;"",L16&lt;&gt;"")),"Check all fields completed correctly","OK"))))</f>
        <v/>
      </c>
      <c r="W16" s="601" t="str">
        <f>IF(I16="","",IF(VLOOKUP(I16,'Eligible Technologies'!$D$7:$G$69,4,FALSE)&lt;$F$9,VLOOKUP(I16,'Eligible Technologies'!$D$7:$G$69,4,FALSE),$F$9))</f>
        <v/>
      </c>
      <c r="X16" s="602" t="str">
        <f t="shared" si="5"/>
        <v/>
      </c>
      <c r="Y16" s="602">
        <f t="shared" ca="1" si="10"/>
        <v>0</v>
      </c>
      <c r="Z16" s="602" t="str">
        <f>'Extra look-up'!F10</f>
        <v/>
      </c>
      <c r="AA16" s="602" t="str">
        <f ca="1">'Extra look-up'!H10</f>
        <v>OK</v>
      </c>
      <c r="AB16" s="602">
        <f t="shared" ca="1" si="11"/>
        <v>1</v>
      </c>
      <c r="AC16" s="618" t="e">
        <f t="shared" si="12"/>
        <v>#VALUE!</v>
      </c>
      <c r="AD16" s="621" t="str">
        <f ca="1">IFERROR(AVERAGE($AH$101:INDIRECT(CONCATENATE("AH"&amp;AC16))),"")</f>
        <v/>
      </c>
      <c r="AE16" s="615"/>
      <c r="AF16" s="615"/>
      <c r="AG16" s="9"/>
      <c r="AH16" s="9"/>
      <c r="AI16" s="9"/>
      <c r="AJ16" s="9"/>
      <c r="AK16" s="9"/>
      <c r="AL16" s="9"/>
      <c r="AM16" s="6"/>
      <c r="AN16" s="6"/>
      <c r="AO16" s="6"/>
      <c r="AP16" s="6"/>
      <c r="AQ16" s="24" t="s">
        <v>20</v>
      </c>
    </row>
    <row r="17" spans="1:70" s="25" customFormat="1" ht="34" customHeight="1" x14ac:dyDescent="0.25">
      <c r="A17" s="169">
        <v>6</v>
      </c>
      <c r="B17" s="115"/>
      <c r="C17" s="123"/>
      <c r="D17" s="117"/>
      <c r="E17" s="118"/>
      <c r="F17" s="119"/>
      <c r="G17" s="144" t="str">
        <f t="shared" si="0"/>
        <v/>
      </c>
      <c r="H17" s="391"/>
      <c r="I17" s="664"/>
      <c r="J17" s="665"/>
      <c r="K17" s="120"/>
      <c r="L17" s="121"/>
      <c r="M17" s="147" t="str">
        <f>IF(K17="","",K17-L17)</f>
        <v/>
      </c>
      <c r="N17" s="148">
        <f t="shared" si="7"/>
        <v>0</v>
      </c>
      <c r="O17" s="122"/>
      <c r="P17" s="156" t="str">
        <f t="shared" si="1"/>
        <v/>
      </c>
      <c r="Q17" s="157" t="str">
        <f t="shared" si="2"/>
        <v/>
      </c>
      <c r="R17" s="627" t="str">
        <f t="shared" si="3"/>
        <v/>
      </c>
      <c r="S17" s="158" t="str">
        <f t="shared" si="4"/>
        <v/>
      </c>
      <c r="T17" s="158" t="str">
        <f t="shared" si="8"/>
        <v/>
      </c>
      <c r="U17" s="159" t="str">
        <f t="shared" si="9"/>
        <v/>
      </c>
      <c r="V17" s="638" t="str">
        <f ca="1">IF('Extra look-up'!$H11="Work Type","Check Work Type",IF(AND(D17="",F17="",H17="",I17="",L17="",M17=""),"",IF(OR(D17="",F17="",H17="",I17="",L17="",M17="",$L$9&lt;&gt;"OK"),"Check all fields completed correctly",IF(AND(D17="",OR(F17&lt;&gt;"",H17&lt;&gt;"",I17&lt;&gt;"",L17&lt;&gt;"")),"Check all fields completed correctly","OK"))))</f>
        <v/>
      </c>
      <c r="W17" s="601" t="str">
        <f>IF(I17="","",IF(VLOOKUP(I17,'Eligible Technologies'!$D$7:$G$69,4,FALSE)&lt;$F$9,VLOOKUP(I17,'Eligible Technologies'!$D$7:$G$69,4,FALSE),$F$9))</f>
        <v/>
      </c>
      <c r="X17" s="602" t="str">
        <f t="shared" si="5"/>
        <v/>
      </c>
      <c r="Y17" s="602">
        <f t="shared" ca="1" si="10"/>
        <v>0</v>
      </c>
      <c r="Z17" s="602" t="str">
        <f>'Extra look-up'!F11</f>
        <v/>
      </c>
      <c r="AA17" s="602" t="str">
        <f ca="1">'Extra look-up'!H11</f>
        <v>OK</v>
      </c>
      <c r="AB17" s="602">
        <f t="shared" ca="1" si="11"/>
        <v>1</v>
      </c>
      <c r="AC17" s="618" t="e">
        <f t="shared" si="12"/>
        <v>#VALUE!</v>
      </c>
      <c r="AD17" s="621" t="str">
        <f ca="1">IFERROR(AVERAGE($AH$101:INDIRECT(CONCATENATE("AH"&amp;AC17))),"")</f>
        <v/>
      </c>
      <c r="AE17" s="615"/>
      <c r="AF17" s="615"/>
      <c r="AG17" s="8"/>
      <c r="AH17" s="9"/>
      <c r="AI17" s="8"/>
      <c r="AJ17" s="8"/>
      <c r="AK17" s="9"/>
      <c r="AL17" s="9"/>
      <c r="AM17" s="6"/>
      <c r="AN17" s="6"/>
      <c r="AO17" s="6"/>
      <c r="AP17" s="6"/>
    </row>
    <row r="18" spans="1:70" s="25" customFormat="1" ht="34" customHeight="1" x14ac:dyDescent="0.25">
      <c r="A18" s="169">
        <v>7</v>
      </c>
      <c r="B18" s="115"/>
      <c r="C18" s="124"/>
      <c r="D18" s="117"/>
      <c r="E18" s="118"/>
      <c r="F18" s="119"/>
      <c r="G18" s="144" t="str">
        <f t="shared" si="0"/>
        <v/>
      </c>
      <c r="H18" s="391"/>
      <c r="I18" s="664"/>
      <c r="J18" s="665"/>
      <c r="K18" s="120"/>
      <c r="L18" s="121"/>
      <c r="M18" s="149" t="str">
        <f t="shared" si="6"/>
        <v/>
      </c>
      <c r="N18" s="148">
        <f t="shared" si="7"/>
        <v>0</v>
      </c>
      <c r="O18" s="122"/>
      <c r="P18" s="156" t="str">
        <f t="shared" si="1"/>
        <v/>
      </c>
      <c r="Q18" s="157" t="str">
        <f t="shared" si="2"/>
        <v/>
      </c>
      <c r="R18" s="627" t="str">
        <f t="shared" si="3"/>
        <v/>
      </c>
      <c r="S18" s="158" t="str">
        <f t="shared" si="4"/>
        <v/>
      </c>
      <c r="T18" s="158" t="str">
        <f t="shared" si="8"/>
        <v/>
      </c>
      <c r="U18" s="159" t="str">
        <f t="shared" si="9"/>
        <v/>
      </c>
      <c r="V18" s="638" t="str">
        <f ca="1">IF('Extra look-up'!$H12="Work Type","Check Work Type",IF(AND(D18="",F18="",H18="",I18="",L18="",M18=""),"",IF(OR(D18="",F18="",H18="",I18="",L18="",M18="",$L$9&lt;&gt;"OK"),"Check all fields completed correctly",IF(AND(D18="",OR(F18&lt;&gt;"",H18&lt;&gt;"",I18&lt;&gt;"",L18&lt;&gt;"")),"Check all fields completed correctly","OK"))))</f>
        <v/>
      </c>
      <c r="W18" s="601" t="str">
        <f>IF(I18="","",IF(VLOOKUP(I18,'Eligible Technologies'!$D$7:$G$69,4,FALSE)&lt;$F$9,VLOOKUP(I18,'Eligible Technologies'!$D$7:$G$69,4,FALSE),$F$9))</f>
        <v/>
      </c>
      <c r="X18" s="602" t="str">
        <f t="shared" ref="X18:X61" si="13">IF(Q18="","",ROUNDUP($Q$65,0))</f>
        <v/>
      </c>
      <c r="Y18" s="602">
        <f t="shared" ca="1" si="10"/>
        <v>0</v>
      </c>
      <c r="Z18" s="602" t="str">
        <f>'Extra look-up'!F12</f>
        <v/>
      </c>
      <c r="AA18" s="602" t="str">
        <f ca="1">'Extra look-up'!H12</f>
        <v>OK</v>
      </c>
      <c r="AB18" s="602">
        <f t="shared" ca="1" si="11"/>
        <v>1</v>
      </c>
      <c r="AC18" s="618" t="e">
        <f t="shared" si="12"/>
        <v>#VALUE!</v>
      </c>
      <c r="AD18" s="621" t="str">
        <f ca="1">IFERROR(AVERAGE($AH$101:INDIRECT(CONCATENATE("AH"&amp;AC18))),"")</f>
        <v/>
      </c>
      <c r="AE18" s="615"/>
      <c r="AF18" s="615"/>
      <c r="AG18" s="8"/>
      <c r="AH18" s="9"/>
      <c r="AI18" s="8"/>
      <c r="AJ18" s="8"/>
      <c r="AK18" s="9"/>
      <c r="AL18" s="9"/>
      <c r="AM18" s="6"/>
      <c r="AN18" s="6"/>
      <c r="AO18" s="6"/>
      <c r="AP18" s="6"/>
    </row>
    <row r="19" spans="1:70" s="25" customFormat="1" ht="34" customHeight="1" x14ac:dyDescent="0.25">
      <c r="A19" s="169">
        <v>8</v>
      </c>
      <c r="B19" s="115"/>
      <c r="C19" s="124"/>
      <c r="D19" s="117"/>
      <c r="E19" s="118"/>
      <c r="F19" s="119"/>
      <c r="G19" s="144" t="str">
        <f t="shared" si="0"/>
        <v/>
      </c>
      <c r="H19" s="391"/>
      <c r="I19" s="664"/>
      <c r="J19" s="665"/>
      <c r="K19" s="120"/>
      <c r="L19" s="121"/>
      <c r="M19" s="147" t="str">
        <f t="shared" si="6"/>
        <v/>
      </c>
      <c r="N19" s="148">
        <f t="shared" si="7"/>
        <v>0</v>
      </c>
      <c r="O19" s="122"/>
      <c r="P19" s="156" t="str">
        <f t="shared" si="1"/>
        <v/>
      </c>
      <c r="Q19" s="157" t="str">
        <f t="shared" si="2"/>
        <v/>
      </c>
      <c r="R19" s="627" t="str">
        <f t="shared" si="3"/>
        <v/>
      </c>
      <c r="S19" s="158" t="str">
        <f t="shared" si="4"/>
        <v/>
      </c>
      <c r="T19" s="158" t="str">
        <f t="shared" si="8"/>
        <v/>
      </c>
      <c r="U19" s="159" t="str">
        <f t="shared" si="9"/>
        <v/>
      </c>
      <c r="V19" s="638" t="str">
        <f ca="1">IF('Extra look-up'!$H13="Work Type","Check Work Type",IF(AND(D19="",F19="",H19="",I19="",L19="",M19=""),"",IF(OR(D19="",F19="",H19="",I19="",L19="",M19="",$L$9&lt;&gt;"OK"),"Check all fields completed correctly",IF(AND(D19="",OR(F19&lt;&gt;"",H19&lt;&gt;"",I19&lt;&gt;"",L19&lt;&gt;"")),"Check all fields completed correctly","OK"))))</f>
        <v/>
      </c>
      <c r="W19" s="601" t="str">
        <f>IF(I19="","",IF(VLOOKUP(I19,'Eligible Technologies'!$D$7:$G$69,4,FALSE)&lt;$F$9,VLOOKUP(I19,'Eligible Technologies'!$D$7:$G$69,4,FALSE),$F$9))</f>
        <v/>
      </c>
      <c r="X19" s="602" t="str">
        <f t="shared" si="13"/>
        <v/>
      </c>
      <c r="Y19" s="602">
        <f t="shared" ca="1" si="10"/>
        <v>0</v>
      </c>
      <c r="Z19" s="602" t="str">
        <f>'Extra look-up'!F13</f>
        <v/>
      </c>
      <c r="AA19" s="602" t="str">
        <f ca="1">'Extra look-up'!H13</f>
        <v>OK</v>
      </c>
      <c r="AB19" s="602">
        <f t="shared" ca="1" si="11"/>
        <v>1</v>
      </c>
      <c r="AC19" s="618" t="e">
        <f t="shared" si="12"/>
        <v>#VALUE!</v>
      </c>
      <c r="AD19" s="621" t="str">
        <f ca="1">IFERROR(AVERAGE($AH$101:INDIRECT(CONCATENATE("AH"&amp;AC19))),"")</f>
        <v/>
      </c>
      <c r="AE19" s="615"/>
      <c r="AF19" s="615"/>
      <c r="AG19" s="35" t="s">
        <v>65</v>
      </c>
      <c r="AH19" s="33" t="s">
        <v>66</v>
      </c>
      <c r="AI19" s="35" t="s">
        <v>67</v>
      </c>
      <c r="AJ19" s="35" t="s">
        <v>68</v>
      </c>
      <c r="AK19" s="33" t="s">
        <v>69</v>
      </c>
      <c r="AL19" s="33" t="s">
        <v>70</v>
      </c>
      <c r="AM19" s="7" t="s">
        <v>71</v>
      </c>
      <c r="AN19" s="7" t="s">
        <v>72</v>
      </c>
      <c r="AO19" s="7" t="s">
        <v>73</v>
      </c>
      <c r="AP19" s="6"/>
    </row>
    <row r="20" spans="1:70" s="25" customFormat="1" ht="34" customHeight="1" x14ac:dyDescent="0.25">
      <c r="A20" s="169">
        <v>9</v>
      </c>
      <c r="B20" s="115"/>
      <c r="C20" s="125"/>
      <c r="D20" s="117"/>
      <c r="E20" s="118"/>
      <c r="F20" s="119"/>
      <c r="G20" s="144" t="str">
        <f t="shared" si="0"/>
        <v/>
      </c>
      <c r="H20" s="391"/>
      <c r="I20" s="664"/>
      <c r="J20" s="665"/>
      <c r="K20" s="120"/>
      <c r="L20" s="121"/>
      <c r="M20" s="147" t="str">
        <f t="shared" si="6"/>
        <v/>
      </c>
      <c r="N20" s="148">
        <f t="shared" si="7"/>
        <v>0</v>
      </c>
      <c r="O20" s="122"/>
      <c r="P20" s="156" t="str">
        <f t="shared" si="1"/>
        <v/>
      </c>
      <c r="Q20" s="157" t="str">
        <f t="shared" si="2"/>
        <v/>
      </c>
      <c r="R20" s="627" t="str">
        <f t="shared" si="3"/>
        <v/>
      </c>
      <c r="S20" s="158" t="str">
        <f t="shared" si="4"/>
        <v/>
      </c>
      <c r="T20" s="158" t="str">
        <f t="shared" si="8"/>
        <v/>
      </c>
      <c r="U20" s="159" t="str">
        <f t="shared" si="9"/>
        <v/>
      </c>
      <c r="V20" s="638" t="str">
        <f ca="1">IF('Extra look-up'!$H14="Work Type","Check Work Type",IF(AND(D20="",F20="",H20="",I20="",L20="",M20=""),"",IF(OR(D20="",F20="",H20="",I20="",L20="",M20="",$L$9&lt;&gt;"OK"),"Check all fields completed correctly",IF(AND(D20="",OR(F20&lt;&gt;"",H20&lt;&gt;"",I20&lt;&gt;"",L20&lt;&gt;"")),"Check all fields completed correctly","OK"))))</f>
        <v/>
      </c>
      <c r="W20" s="601" t="str">
        <f>IF(I20="","",IF(VLOOKUP(I20,'Eligible Technologies'!$D$7:$G$69,4,FALSE)&lt;$F$9,VLOOKUP(I20,'Eligible Technologies'!$D$7:$G$69,4,FALSE),$F$9))</f>
        <v/>
      </c>
      <c r="X20" s="602" t="str">
        <f t="shared" si="13"/>
        <v/>
      </c>
      <c r="Y20" s="602">
        <f t="shared" ca="1" si="10"/>
        <v>0</v>
      </c>
      <c r="Z20" s="602" t="str">
        <f>'Extra look-up'!F14</f>
        <v/>
      </c>
      <c r="AA20" s="602" t="str">
        <f ca="1">'Extra look-up'!H14</f>
        <v>OK</v>
      </c>
      <c r="AB20" s="602">
        <f t="shared" ca="1" si="11"/>
        <v>1</v>
      </c>
      <c r="AC20" s="618" t="e">
        <f t="shared" si="12"/>
        <v>#VALUE!</v>
      </c>
      <c r="AD20" s="621" t="str">
        <f ca="1">IFERROR(AVERAGE($AH$101:INDIRECT(CONCATENATE("AH"&amp;AC20))),"")</f>
        <v/>
      </c>
      <c r="AE20" s="615"/>
      <c r="AF20" s="615"/>
      <c r="AG20" s="8" t="s">
        <v>74</v>
      </c>
      <c r="AH20" s="9" t="s">
        <v>75</v>
      </c>
      <c r="AI20" s="8" t="s">
        <v>75</v>
      </c>
      <c r="AJ20" s="8" t="s">
        <v>74</v>
      </c>
      <c r="AK20" s="9" t="s">
        <v>76</v>
      </c>
      <c r="AL20" s="9" t="s">
        <v>74</v>
      </c>
      <c r="AM20" s="6" t="s">
        <v>74</v>
      </c>
      <c r="AN20" s="6" t="s">
        <v>74</v>
      </c>
      <c r="AO20" s="43" t="e">
        <f>'Extra look-up'!G126</f>
        <v>#N/A</v>
      </c>
      <c r="AP20" s="6"/>
    </row>
    <row r="21" spans="1:70" s="25" customFormat="1" ht="34" customHeight="1" x14ac:dyDescent="0.25">
      <c r="A21" s="169">
        <v>10</v>
      </c>
      <c r="B21" s="115"/>
      <c r="C21" s="125"/>
      <c r="D21" s="117"/>
      <c r="E21" s="118"/>
      <c r="F21" s="119"/>
      <c r="G21" s="144" t="str">
        <f t="shared" si="0"/>
        <v/>
      </c>
      <c r="H21" s="391"/>
      <c r="I21" s="664"/>
      <c r="J21" s="665"/>
      <c r="K21" s="120"/>
      <c r="L21" s="121"/>
      <c r="M21" s="147" t="str">
        <f t="shared" si="6"/>
        <v/>
      </c>
      <c r="N21" s="148">
        <f t="shared" si="7"/>
        <v>0</v>
      </c>
      <c r="O21" s="122"/>
      <c r="P21" s="156" t="str">
        <f t="shared" si="1"/>
        <v/>
      </c>
      <c r="Q21" s="157" t="str">
        <f t="shared" si="2"/>
        <v/>
      </c>
      <c r="R21" s="627" t="str">
        <f t="shared" si="3"/>
        <v/>
      </c>
      <c r="S21" s="158" t="str">
        <f t="shared" si="4"/>
        <v/>
      </c>
      <c r="T21" s="158" t="str">
        <f t="shared" si="8"/>
        <v/>
      </c>
      <c r="U21" s="159" t="str">
        <f t="shared" si="9"/>
        <v/>
      </c>
      <c r="V21" s="638" t="str">
        <f ca="1">IF('Extra look-up'!$H15="Work Type","Check Work Type",IF(AND(D21="",F21="",H21="",I21="",L21="",M21=""),"",IF(OR(D21="",F21="",H21="",I21="",L21="",M21="",$L$9&lt;&gt;"OK"),"Check all fields completed correctly",IF(AND(D21="",OR(F21&lt;&gt;"",H21&lt;&gt;"",I21&lt;&gt;"",L21&lt;&gt;"")),"Check all fields completed correctly","OK"))))</f>
        <v/>
      </c>
      <c r="W21" s="601" t="str">
        <f>IF(I21="","",IF(VLOOKUP(I21,'Eligible Technologies'!$D$7:$G$69,4,FALSE)&lt;$F$9,VLOOKUP(I21,'Eligible Technologies'!$D$7:$G$69,4,FALSE),$F$9))</f>
        <v/>
      </c>
      <c r="X21" s="602" t="str">
        <f t="shared" si="13"/>
        <v/>
      </c>
      <c r="Y21" s="602">
        <f t="shared" ca="1" si="10"/>
        <v>0</v>
      </c>
      <c r="Z21" s="602" t="str">
        <f>'Extra look-up'!F15</f>
        <v/>
      </c>
      <c r="AA21" s="602" t="str">
        <f ca="1">'Extra look-up'!H15</f>
        <v>OK</v>
      </c>
      <c r="AB21" s="602">
        <f t="shared" ca="1" si="11"/>
        <v>1</v>
      </c>
      <c r="AC21" s="618" t="e">
        <f t="shared" si="12"/>
        <v>#VALUE!</v>
      </c>
      <c r="AD21" s="621" t="str">
        <f ca="1">IFERROR(AVERAGE($AH$101:INDIRECT(CONCATENATE("AH"&amp;AC21))),"")</f>
        <v/>
      </c>
      <c r="AE21" s="615"/>
      <c r="AF21" s="615"/>
      <c r="AG21" s="8" t="s">
        <v>77</v>
      </c>
      <c r="AH21" s="9" t="s">
        <v>74</v>
      </c>
      <c r="AI21" s="8" t="s">
        <v>74</v>
      </c>
      <c r="AJ21" s="8" t="s">
        <v>78</v>
      </c>
      <c r="AK21" s="9" t="s">
        <v>74</v>
      </c>
      <c r="AL21" s="9" t="s">
        <v>78</v>
      </c>
      <c r="AM21" s="6" t="s">
        <v>78</v>
      </c>
      <c r="AN21" s="6" t="s">
        <v>78</v>
      </c>
      <c r="AO21" s="6"/>
      <c r="AP21" s="6"/>
    </row>
    <row r="22" spans="1:70" s="25" customFormat="1" ht="34" customHeight="1" x14ac:dyDescent="0.25">
      <c r="A22" s="169">
        <v>11</v>
      </c>
      <c r="B22" s="115"/>
      <c r="C22" s="125"/>
      <c r="D22" s="117"/>
      <c r="E22" s="118"/>
      <c r="F22" s="119"/>
      <c r="G22" s="144" t="str">
        <f t="shared" si="0"/>
        <v/>
      </c>
      <c r="H22" s="391"/>
      <c r="I22" s="664"/>
      <c r="J22" s="665"/>
      <c r="K22" s="120"/>
      <c r="L22" s="121"/>
      <c r="M22" s="147" t="str">
        <f t="shared" si="6"/>
        <v/>
      </c>
      <c r="N22" s="148">
        <f t="shared" si="7"/>
        <v>0</v>
      </c>
      <c r="O22" s="122"/>
      <c r="P22" s="156" t="str">
        <f t="shared" si="1"/>
        <v/>
      </c>
      <c r="Q22" s="157" t="str">
        <f t="shared" si="2"/>
        <v/>
      </c>
      <c r="R22" s="627" t="str">
        <f t="shared" si="3"/>
        <v/>
      </c>
      <c r="S22" s="158" t="str">
        <f t="shared" si="4"/>
        <v/>
      </c>
      <c r="T22" s="158" t="str">
        <f t="shared" si="8"/>
        <v/>
      </c>
      <c r="U22" s="159" t="str">
        <f t="shared" si="9"/>
        <v/>
      </c>
      <c r="V22" s="638" t="str">
        <f ca="1">IF('Extra look-up'!$H16="Work Type","Check Work Type",IF(AND(D22="",F22="",H22="",I22="",L22="",M22=""),"",IF(OR(D22="",F22="",H22="",I22="",L22="",M22="",$L$9&lt;&gt;"OK"),"Check all fields completed correctly",IF(AND(D22="",OR(F22&lt;&gt;"",H22&lt;&gt;"",I22&lt;&gt;"",L22&lt;&gt;"")),"Check all fields completed correctly","OK"))))</f>
        <v/>
      </c>
      <c r="W22" s="601" t="str">
        <f>IF(I22="","",IF(VLOOKUP(I22,'Eligible Technologies'!$D$7:$G$69,4,FALSE)&lt;$F$9,VLOOKUP(I22,'Eligible Technologies'!$D$7:$G$69,4,FALSE),$F$9))</f>
        <v/>
      </c>
      <c r="X22" s="602" t="str">
        <f t="shared" si="13"/>
        <v/>
      </c>
      <c r="Y22" s="602">
        <f t="shared" ca="1" si="10"/>
        <v>0</v>
      </c>
      <c r="Z22" s="602" t="str">
        <f>'Extra look-up'!F16</f>
        <v/>
      </c>
      <c r="AA22" s="602" t="str">
        <f ca="1">'Extra look-up'!H16</f>
        <v>OK</v>
      </c>
      <c r="AB22" s="602">
        <f t="shared" ca="1" si="11"/>
        <v>1</v>
      </c>
      <c r="AC22" s="618" t="e">
        <f t="shared" si="12"/>
        <v>#VALUE!</v>
      </c>
      <c r="AD22" s="621" t="str">
        <f ca="1">IFERROR(AVERAGE($AH$101:INDIRECT(CONCATENATE("AH"&amp;AC22))),"")</f>
        <v/>
      </c>
      <c r="AE22" s="615"/>
      <c r="AF22" s="615"/>
      <c r="AG22" s="8" t="s">
        <v>79</v>
      </c>
      <c r="AH22" s="9" t="s">
        <v>80</v>
      </c>
      <c r="AI22" s="8" t="s">
        <v>80</v>
      </c>
      <c r="AJ22" s="8" t="s">
        <v>81</v>
      </c>
      <c r="AK22" s="9" t="s">
        <v>78</v>
      </c>
      <c r="AL22" s="9" t="s">
        <v>82</v>
      </c>
      <c r="AM22" s="6" t="s">
        <v>82</v>
      </c>
      <c r="AN22" s="6" t="s">
        <v>82</v>
      </c>
      <c r="AO22" s="6"/>
      <c r="AP22" s="6"/>
    </row>
    <row r="23" spans="1:70" s="25" customFormat="1" ht="34" customHeight="1" x14ac:dyDescent="0.25">
      <c r="A23" s="169">
        <v>12</v>
      </c>
      <c r="B23" s="115"/>
      <c r="C23" s="125"/>
      <c r="D23" s="117"/>
      <c r="E23" s="118"/>
      <c r="F23" s="119"/>
      <c r="G23" s="144" t="str">
        <f t="shared" si="0"/>
        <v/>
      </c>
      <c r="H23" s="391"/>
      <c r="I23" s="664"/>
      <c r="J23" s="665"/>
      <c r="K23" s="120"/>
      <c r="L23" s="121"/>
      <c r="M23" s="147" t="str">
        <f t="shared" si="6"/>
        <v/>
      </c>
      <c r="N23" s="148">
        <f t="shared" si="7"/>
        <v>0</v>
      </c>
      <c r="O23" s="122"/>
      <c r="P23" s="156" t="str">
        <f t="shared" si="1"/>
        <v/>
      </c>
      <c r="Q23" s="157" t="str">
        <f t="shared" si="2"/>
        <v/>
      </c>
      <c r="R23" s="627" t="str">
        <f t="shared" si="3"/>
        <v/>
      </c>
      <c r="S23" s="158" t="str">
        <f t="shared" si="4"/>
        <v/>
      </c>
      <c r="T23" s="158" t="str">
        <f t="shared" si="8"/>
        <v/>
      </c>
      <c r="U23" s="159" t="str">
        <f t="shared" si="9"/>
        <v/>
      </c>
      <c r="V23" s="638" t="str">
        <f ca="1">IF('Extra look-up'!$H17="Work Type","Check Work Type",IF(AND(D23="",F23="",H23="",I23="",L23="",M23=""),"",IF(OR(D23="",F23="",H23="",I23="",L23="",M23="",$L$9&lt;&gt;"OK"),"Check all fields completed correctly",IF(AND(D23="",OR(F23&lt;&gt;"",H23&lt;&gt;"",I23&lt;&gt;"",L23&lt;&gt;"")),"Check all fields completed correctly","OK"))))</f>
        <v/>
      </c>
      <c r="W23" s="601" t="str">
        <f>IF(I23="","",IF(VLOOKUP(I23,'Eligible Technologies'!$D$7:$G$69,4,FALSE)&lt;$F$9,VLOOKUP(I23,'Eligible Technologies'!$D$7:$G$69,4,FALSE),$F$9))</f>
        <v/>
      </c>
      <c r="X23" s="602" t="str">
        <f t="shared" si="13"/>
        <v/>
      </c>
      <c r="Y23" s="602">
        <f t="shared" ca="1" si="10"/>
        <v>0</v>
      </c>
      <c r="Z23" s="602" t="str">
        <f>'Extra look-up'!F17</f>
        <v/>
      </c>
      <c r="AA23" s="602" t="str">
        <f ca="1">'Extra look-up'!H17</f>
        <v>OK</v>
      </c>
      <c r="AB23" s="602">
        <f t="shared" ca="1" si="11"/>
        <v>1</v>
      </c>
      <c r="AC23" s="618" t="e">
        <f t="shared" si="12"/>
        <v>#VALUE!</v>
      </c>
      <c r="AD23" s="621" t="str">
        <f ca="1">IFERROR(AVERAGE($AH$101:INDIRECT(CONCATENATE("AH"&amp;AC23))),"")</f>
        <v/>
      </c>
      <c r="AE23" s="615"/>
      <c r="AF23" s="615"/>
      <c r="AG23" s="25" t="s">
        <v>83</v>
      </c>
      <c r="AH23" s="25" t="s">
        <v>84</v>
      </c>
      <c r="AI23" s="25" t="s">
        <v>84</v>
      </c>
      <c r="AJ23" s="25" t="s">
        <v>85</v>
      </c>
      <c r="AK23" s="25" t="s">
        <v>86</v>
      </c>
      <c r="AL23" s="25" t="s">
        <v>79</v>
      </c>
      <c r="AM23" s="6" t="s">
        <v>79</v>
      </c>
      <c r="AN23" s="6" t="s">
        <v>79</v>
      </c>
      <c r="AO23" s="6"/>
      <c r="AP23" s="6"/>
    </row>
    <row r="24" spans="1:70" s="25" customFormat="1" ht="34" customHeight="1" x14ac:dyDescent="0.25">
      <c r="A24" s="169">
        <v>13</v>
      </c>
      <c r="B24" s="115"/>
      <c r="C24" s="125"/>
      <c r="D24" s="117"/>
      <c r="E24" s="118"/>
      <c r="F24" s="119"/>
      <c r="G24" s="144" t="str">
        <f t="shared" si="0"/>
        <v/>
      </c>
      <c r="H24" s="391"/>
      <c r="I24" s="664"/>
      <c r="J24" s="665"/>
      <c r="K24" s="120"/>
      <c r="L24" s="121"/>
      <c r="M24" s="147" t="str">
        <f t="shared" si="6"/>
        <v/>
      </c>
      <c r="N24" s="148">
        <f t="shared" si="7"/>
        <v>0</v>
      </c>
      <c r="O24" s="122"/>
      <c r="P24" s="156" t="str">
        <f t="shared" si="1"/>
        <v/>
      </c>
      <c r="Q24" s="157" t="str">
        <f t="shared" si="2"/>
        <v/>
      </c>
      <c r="R24" s="627" t="str">
        <f t="shared" si="3"/>
        <v/>
      </c>
      <c r="S24" s="158" t="str">
        <f t="shared" si="4"/>
        <v/>
      </c>
      <c r="T24" s="158" t="str">
        <f t="shared" si="8"/>
        <v/>
      </c>
      <c r="U24" s="159" t="str">
        <f t="shared" si="9"/>
        <v/>
      </c>
      <c r="V24" s="638" t="str">
        <f ca="1">IF('Extra look-up'!$H18="Work Type","Check Work Type",IF(AND(D24="",F24="",H24="",I24="",L24="",M24=""),"",IF(OR(D24="",F24="",H24="",I24="",L24="",M24="",$L$9&lt;&gt;"OK"),"Check all fields completed correctly",IF(AND(D24="",OR(F24&lt;&gt;"",H24&lt;&gt;"",I24&lt;&gt;"",L24&lt;&gt;"")),"Check all fields completed correctly","OK"))))</f>
        <v/>
      </c>
      <c r="W24" s="601" t="str">
        <f>IF(I24="","",IF(VLOOKUP(I24,'Eligible Technologies'!$D$7:$G$69,4,FALSE)&lt;$F$9,VLOOKUP(I24,'Eligible Technologies'!$D$7:$G$69,4,FALSE),$F$9))</f>
        <v/>
      </c>
      <c r="X24" s="602" t="str">
        <f t="shared" si="13"/>
        <v/>
      </c>
      <c r="Y24" s="602">
        <f t="shared" ca="1" si="10"/>
        <v>0</v>
      </c>
      <c r="Z24" s="602" t="str">
        <f>'Extra look-up'!F18</f>
        <v/>
      </c>
      <c r="AA24" s="602" t="str">
        <f ca="1">'Extra look-up'!H18</f>
        <v>OK</v>
      </c>
      <c r="AB24" s="602">
        <f t="shared" ca="1" si="11"/>
        <v>1</v>
      </c>
      <c r="AC24" s="618" t="e">
        <f t="shared" si="12"/>
        <v>#VALUE!</v>
      </c>
      <c r="AD24" s="621" t="str">
        <f ca="1">IFERROR(AVERAGE($AH$101:INDIRECT(CONCATENATE("AH"&amp;AC24))),"")</f>
        <v/>
      </c>
      <c r="AE24" s="615"/>
      <c r="AF24" s="615"/>
      <c r="AG24" s="25" t="s">
        <v>87</v>
      </c>
      <c r="AH24" s="9" t="s">
        <v>88</v>
      </c>
      <c r="AI24" s="25" t="s">
        <v>88</v>
      </c>
      <c r="AJ24" s="25" t="s">
        <v>89</v>
      </c>
      <c r="AK24" s="25" t="s">
        <v>90</v>
      </c>
      <c r="AL24" s="25" t="s">
        <v>91</v>
      </c>
      <c r="AM24" s="6" t="s">
        <v>91</v>
      </c>
      <c r="AN24" s="6" t="s">
        <v>91</v>
      </c>
      <c r="AO24" s="6"/>
      <c r="AP24" s="6"/>
    </row>
    <row r="25" spans="1:70" s="25" customFormat="1" ht="34" customHeight="1" x14ac:dyDescent="0.3">
      <c r="A25" s="169">
        <v>14</v>
      </c>
      <c r="B25" s="115"/>
      <c r="C25" s="125"/>
      <c r="D25" s="117"/>
      <c r="E25" s="118"/>
      <c r="F25" s="119"/>
      <c r="G25" s="144" t="str">
        <f t="shared" si="0"/>
        <v/>
      </c>
      <c r="H25" s="391"/>
      <c r="I25" s="664"/>
      <c r="J25" s="665"/>
      <c r="K25" s="120"/>
      <c r="L25" s="121"/>
      <c r="M25" s="147" t="str">
        <f t="shared" si="6"/>
        <v/>
      </c>
      <c r="N25" s="148">
        <f t="shared" si="7"/>
        <v>0</v>
      </c>
      <c r="O25" s="122"/>
      <c r="P25" s="156" t="str">
        <f t="shared" si="1"/>
        <v/>
      </c>
      <c r="Q25" s="157" t="str">
        <f t="shared" si="2"/>
        <v/>
      </c>
      <c r="R25" s="627" t="str">
        <f t="shared" si="3"/>
        <v/>
      </c>
      <c r="S25" s="158" t="str">
        <f t="shared" si="4"/>
        <v/>
      </c>
      <c r="T25" s="158" t="str">
        <f t="shared" si="8"/>
        <v/>
      </c>
      <c r="U25" s="159" t="str">
        <f t="shared" si="9"/>
        <v/>
      </c>
      <c r="V25" s="638" t="str">
        <f ca="1">IF('Extra look-up'!$H19="Work Type","Check Work Type",IF(AND(D25="",F25="",H25="",I25="",L25="",M25=""),"",IF(OR(D25="",F25="",H25="",I25="",L25="",M25="",$L$9&lt;&gt;"OK"),"Check all fields completed correctly",IF(AND(D25="",OR(F25&lt;&gt;"",H25&lt;&gt;"",I25&lt;&gt;"",L25&lt;&gt;"")),"Check all fields completed correctly","OK"))))</f>
        <v/>
      </c>
      <c r="W25" s="601" t="str">
        <f>IF(I25="","",IF(VLOOKUP(I25,'Eligible Technologies'!$D$7:$G$69,4,FALSE)&lt;$F$9,VLOOKUP(I25,'Eligible Technologies'!$D$7:$G$69,4,FALSE),$F$9))</f>
        <v/>
      </c>
      <c r="X25" s="602" t="str">
        <f t="shared" si="13"/>
        <v/>
      </c>
      <c r="Y25" s="602">
        <f t="shared" ca="1" si="10"/>
        <v>0</v>
      </c>
      <c r="Z25" s="602" t="str">
        <f>'Extra look-up'!F19</f>
        <v/>
      </c>
      <c r="AA25" s="602" t="str">
        <f ca="1">'Extra look-up'!H19</f>
        <v>OK</v>
      </c>
      <c r="AB25" s="602">
        <f t="shared" ca="1" si="11"/>
        <v>1</v>
      </c>
      <c r="AC25" s="618" t="e">
        <f t="shared" si="12"/>
        <v>#VALUE!</v>
      </c>
      <c r="AD25" s="621" t="str">
        <f ca="1">IFERROR(AVERAGE($AH$101:INDIRECT(CONCATENATE("AH"&amp;AC25))),"")</f>
        <v/>
      </c>
      <c r="AE25" s="615"/>
      <c r="AF25" s="615"/>
      <c r="AG25" s="9" t="s">
        <v>92</v>
      </c>
      <c r="AH25" s="9" t="s">
        <v>83</v>
      </c>
      <c r="AI25" s="8" t="s">
        <v>83</v>
      </c>
      <c r="AJ25" s="8" t="s">
        <v>93</v>
      </c>
      <c r="AK25" s="9" t="s">
        <v>94</v>
      </c>
      <c r="AL25" s="9" t="s">
        <v>92</v>
      </c>
      <c r="AM25" s="11" t="s">
        <v>92</v>
      </c>
      <c r="AN25" s="11" t="s">
        <v>92</v>
      </c>
      <c r="AO25" s="6"/>
      <c r="AP25" s="6"/>
    </row>
    <row r="26" spans="1:70" s="25" customFormat="1" ht="34" customHeight="1" thickBot="1" x14ac:dyDescent="0.35">
      <c r="A26" s="169">
        <v>15</v>
      </c>
      <c r="B26" s="115"/>
      <c r="C26" s="125"/>
      <c r="D26" s="117"/>
      <c r="E26" s="118"/>
      <c r="F26" s="119"/>
      <c r="G26" s="144" t="str">
        <f t="shared" si="0"/>
        <v/>
      </c>
      <c r="H26" s="391"/>
      <c r="I26" s="664"/>
      <c r="J26" s="665"/>
      <c r="K26" s="120"/>
      <c r="L26" s="121"/>
      <c r="M26" s="147" t="str">
        <f t="shared" si="6"/>
        <v/>
      </c>
      <c r="N26" s="148">
        <f t="shared" si="7"/>
        <v>0</v>
      </c>
      <c r="O26" s="122"/>
      <c r="P26" s="156" t="str">
        <f t="shared" si="1"/>
        <v/>
      </c>
      <c r="Q26" s="157" t="str">
        <f t="shared" si="2"/>
        <v/>
      </c>
      <c r="R26" s="627" t="str">
        <f t="shared" si="3"/>
        <v/>
      </c>
      <c r="S26" s="158" t="str">
        <f t="shared" si="4"/>
        <v/>
      </c>
      <c r="T26" s="158" t="str">
        <f t="shared" si="8"/>
        <v/>
      </c>
      <c r="U26" s="159" t="str">
        <f t="shared" si="9"/>
        <v/>
      </c>
      <c r="V26" s="638" t="str">
        <f ca="1">IF('Extra look-up'!$H20="Work Type","Check Work Type",IF(AND(D26="",F26="",H26="",I26="",L26="",M26=""),"",IF(OR(D26="",F26="",H26="",I26="",L26="",M26="",$L$9&lt;&gt;"OK"),"Check all fields completed correctly",IF(AND(D26="",OR(F26&lt;&gt;"",H26&lt;&gt;"",I26&lt;&gt;"",L26&lt;&gt;"")),"Check all fields completed correctly","OK"))))</f>
        <v/>
      </c>
      <c r="W26" s="601" t="str">
        <f>IF(I26="","",IF(VLOOKUP(I26,'Eligible Technologies'!$D$7:$G$69,4,FALSE)&lt;$F$9,VLOOKUP(I26,'Eligible Technologies'!$D$7:$G$69,4,FALSE),$F$9))</f>
        <v/>
      </c>
      <c r="X26" s="602" t="str">
        <f t="shared" si="13"/>
        <v/>
      </c>
      <c r="Y26" s="602">
        <f t="shared" ca="1" si="10"/>
        <v>0</v>
      </c>
      <c r="Z26" s="602" t="str">
        <f>'Extra look-up'!F20</f>
        <v/>
      </c>
      <c r="AA26" s="602" t="str">
        <f ca="1">'Extra look-up'!H20</f>
        <v>OK</v>
      </c>
      <c r="AB26" s="602">
        <f t="shared" ca="1" si="11"/>
        <v>1</v>
      </c>
      <c r="AC26" s="618" t="e">
        <f t="shared" si="12"/>
        <v>#VALUE!</v>
      </c>
      <c r="AD26" s="621" t="str">
        <f ca="1">IFERROR(AVERAGE($AH$101:INDIRECT(CONCATENATE("AH"&amp;AC26))),"")</f>
        <v/>
      </c>
      <c r="AE26" s="615"/>
      <c r="AF26" s="615"/>
      <c r="AG26" s="9" t="s">
        <v>95</v>
      </c>
      <c r="AH26" s="9" t="s">
        <v>96</v>
      </c>
      <c r="AI26" s="8" t="s">
        <v>96</v>
      </c>
      <c r="AJ26" s="8" t="s">
        <v>91</v>
      </c>
      <c r="AK26" s="9" t="s">
        <v>97</v>
      </c>
      <c r="AL26" s="9" t="s">
        <v>98</v>
      </c>
      <c r="AM26" s="11" t="s">
        <v>98</v>
      </c>
      <c r="AN26" s="11" t="s">
        <v>98</v>
      </c>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row>
    <row r="27" spans="1:70" s="25" customFormat="1" ht="34" hidden="1" customHeight="1" x14ac:dyDescent="0.25">
      <c r="A27" s="169">
        <v>16</v>
      </c>
      <c r="B27" s="115"/>
      <c r="C27" s="125"/>
      <c r="D27" s="117"/>
      <c r="E27" s="118"/>
      <c r="F27" s="119"/>
      <c r="G27" s="144" t="str">
        <f t="shared" si="0"/>
        <v/>
      </c>
      <c r="H27" s="391"/>
      <c r="I27" s="664"/>
      <c r="J27" s="665"/>
      <c r="K27" s="120"/>
      <c r="L27" s="121"/>
      <c r="M27" s="147" t="str">
        <f t="shared" si="6"/>
        <v/>
      </c>
      <c r="N27" s="148">
        <f t="shared" si="7"/>
        <v>0</v>
      </c>
      <c r="O27" s="122"/>
      <c r="P27" s="156" t="str">
        <f t="shared" si="1"/>
        <v/>
      </c>
      <c r="Q27" s="157" t="str">
        <f t="shared" si="2"/>
        <v/>
      </c>
      <c r="R27" s="627" t="str">
        <f t="shared" si="3"/>
        <v/>
      </c>
      <c r="S27" s="158" t="str">
        <f t="shared" si="4"/>
        <v/>
      </c>
      <c r="T27" s="158" t="str">
        <f t="shared" si="8"/>
        <v/>
      </c>
      <c r="U27" s="159" t="str">
        <f t="shared" si="9"/>
        <v/>
      </c>
      <c r="V27" s="638" t="str">
        <f ca="1">IF('Extra look-up'!$H21="Work Type","Check Work Type",IF(AND(D27="",F27="",H27="",I27="",L27="",M27=""),"",IF(OR(D27="",F27="",H27="",I27="",L27="",M27="",$L$9&lt;&gt;"OK"),"Check all fields completed correctly",IF(AND(D27="",OR(F27&lt;&gt;"",H27&lt;&gt;"",I27&lt;&gt;"",L27&lt;&gt;"")),"Check all fields completed correctly","OK"))))</f>
        <v/>
      </c>
      <c r="W27" s="601" t="str">
        <f>IF(I27="","",IF(VLOOKUP(I27,'Eligible Technologies'!$D$7:$G$69,4,FALSE)&lt;$F$9,VLOOKUP(I27,'Eligible Technologies'!$D$7:$G$69,4,FALSE),$F$9))</f>
        <v/>
      </c>
      <c r="X27" s="602" t="str">
        <f t="shared" si="13"/>
        <v/>
      </c>
      <c r="Y27" s="602">
        <f t="shared" ca="1" si="10"/>
        <v>0</v>
      </c>
      <c r="Z27" s="602" t="str">
        <f>'Extra look-up'!F21</f>
        <v/>
      </c>
      <c r="AA27" s="602" t="str">
        <f ca="1">'Extra look-up'!H21</f>
        <v>OK</v>
      </c>
      <c r="AB27" s="602">
        <f t="shared" ca="1" si="11"/>
        <v>1</v>
      </c>
      <c r="AC27" s="618" t="e">
        <f t="shared" si="12"/>
        <v>#VALUE!</v>
      </c>
      <c r="AD27" s="621" t="str">
        <f ca="1">IFERROR(AVERAGE($AH$101:INDIRECT(CONCATENATE("AH"&amp;AC27))),"")</f>
        <v/>
      </c>
      <c r="AE27" s="615"/>
      <c r="AF27" s="615"/>
      <c r="AG27" s="9" t="s">
        <v>99</v>
      </c>
      <c r="AH27" s="10" t="s">
        <v>94</v>
      </c>
      <c r="AI27" s="8" t="s">
        <v>94</v>
      </c>
      <c r="AJ27" s="8" t="s">
        <v>95</v>
      </c>
      <c r="AK27" s="9" t="s">
        <v>98</v>
      </c>
      <c r="AL27" s="9" t="s">
        <v>100</v>
      </c>
      <c r="AM27" s="6" t="s">
        <v>100</v>
      </c>
      <c r="AN27" s="6" t="s">
        <v>100</v>
      </c>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0" s="25" customFormat="1" ht="34" hidden="1" customHeight="1" x14ac:dyDescent="0.3">
      <c r="A28" s="169">
        <v>17</v>
      </c>
      <c r="B28" s="115"/>
      <c r="C28" s="125"/>
      <c r="D28" s="117"/>
      <c r="E28" s="118"/>
      <c r="F28" s="119"/>
      <c r="G28" s="144" t="str">
        <f t="shared" si="0"/>
        <v/>
      </c>
      <c r="H28" s="391"/>
      <c r="I28" s="664"/>
      <c r="J28" s="665"/>
      <c r="K28" s="120"/>
      <c r="L28" s="121"/>
      <c r="M28" s="147" t="str">
        <f t="shared" si="6"/>
        <v/>
      </c>
      <c r="N28" s="148">
        <f t="shared" si="7"/>
        <v>0</v>
      </c>
      <c r="O28" s="122"/>
      <c r="P28" s="156" t="str">
        <f t="shared" si="1"/>
        <v/>
      </c>
      <c r="Q28" s="157" t="str">
        <f t="shared" si="2"/>
        <v/>
      </c>
      <c r="R28" s="627" t="str">
        <f t="shared" si="3"/>
        <v/>
      </c>
      <c r="S28" s="158" t="str">
        <f t="shared" si="4"/>
        <v/>
      </c>
      <c r="T28" s="158" t="str">
        <f t="shared" si="8"/>
        <v/>
      </c>
      <c r="U28" s="159" t="str">
        <f t="shared" si="9"/>
        <v/>
      </c>
      <c r="V28" s="638" t="str">
        <f ca="1">IF('Extra look-up'!$H22="Work Type","Check Work Type",IF(AND(D28="",F28="",H28="",I28="",L28="",M28=""),"",IF(OR(D28="",F28="",H28="",I28="",L28="",M28="",$L$9&lt;&gt;"OK"),"Check all fields completed correctly",IF(AND(D28="",OR(F28&lt;&gt;"",H28&lt;&gt;"",I28&lt;&gt;"",L28&lt;&gt;"")),"Check all fields completed correctly","OK"))))</f>
        <v/>
      </c>
      <c r="W28" s="601" t="str">
        <f>IF(I28="","",IF(VLOOKUP(I28,'Eligible Technologies'!$D$7:$G$69,4,FALSE)&lt;$F$9,VLOOKUP(I28,'Eligible Technologies'!$D$7:$G$69,4,FALSE),$F$9))</f>
        <v/>
      </c>
      <c r="X28" s="602" t="str">
        <f t="shared" si="13"/>
        <v/>
      </c>
      <c r="Y28" s="602">
        <f t="shared" ca="1" si="10"/>
        <v>0</v>
      </c>
      <c r="Z28" s="602" t="str">
        <f>'Extra look-up'!F22</f>
        <v/>
      </c>
      <c r="AA28" s="602" t="str">
        <f ca="1">'Extra look-up'!H22</f>
        <v>OK</v>
      </c>
      <c r="AB28" s="602">
        <f t="shared" ca="1" si="11"/>
        <v>1</v>
      </c>
      <c r="AC28" s="618" t="e">
        <f t="shared" si="12"/>
        <v>#VALUE!</v>
      </c>
      <c r="AD28" s="621" t="str">
        <f ca="1">IFERROR(AVERAGE($AH$101:INDIRECT(CONCATENATE("AH"&amp;AC28))),"")</f>
        <v/>
      </c>
      <c r="AE28" s="615"/>
      <c r="AF28" s="615"/>
      <c r="AG28" s="10" t="s">
        <v>101</v>
      </c>
      <c r="AH28" s="12" t="s">
        <v>102</v>
      </c>
      <c r="AI28" s="10" t="s">
        <v>102</v>
      </c>
      <c r="AJ28" s="10" t="s">
        <v>100</v>
      </c>
      <c r="AK28" s="10" t="s">
        <v>99</v>
      </c>
      <c r="AL28" s="10" t="s">
        <v>99</v>
      </c>
      <c r="AM28" s="6" t="s">
        <v>99</v>
      </c>
      <c r="AN28" s="6" t="s">
        <v>99</v>
      </c>
      <c r="AO28" s="11"/>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row>
    <row r="29" spans="1:70" s="25" customFormat="1" ht="34" hidden="1" customHeight="1" x14ac:dyDescent="0.3">
      <c r="A29" s="169">
        <v>18</v>
      </c>
      <c r="B29" s="115"/>
      <c r="C29" s="125"/>
      <c r="D29" s="117"/>
      <c r="E29" s="118"/>
      <c r="F29" s="119"/>
      <c r="G29" s="144" t="str">
        <f t="shared" si="0"/>
        <v/>
      </c>
      <c r="H29" s="391"/>
      <c r="I29" s="664"/>
      <c r="J29" s="665"/>
      <c r="K29" s="120"/>
      <c r="L29" s="121"/>
      <c r="M29" s="147" t="str">
        <f t="shared" si="6"/>
        <v/>
      </c>
      <c r="N29" s="148">
        <f t="shared" si="7"/>
        <v>0</v>
      </c>
      <c r="O29" s="122"/>
      <c r="P29" s="156" t="str">
        <f t="shared" si="1"/>
        <v/>
      </c>
      <c r="Q29" s="157" t="str">
        <f t="shared" si="2"/>
        <v/>
      </c>
      <c r="R29" s="627" t="str">
        <f t="shared" si="3"/>
        <v/>
      </c>
      <c r="S29" s="158" t="str">
        <f t="shared" si="4"/>
        <v/>
      </c>
      <c r="T29" s="158" t="str">
        <f t="shared" si="8"/>
        <v/>
      </c>
      <c r="U29" s="159" t="str">
        <f t="shared" si="9"/>
        <v/>
      </c>
      <c r="V29" s="638" t="str">
        <f ca="1">IF('Extra look-up'!$H23="Work Type","Check Work Type",IF(AND(D29="",F29="",H29="",I29="",L29="",M29=""),"",IF(OR(D29="",F29="",H29="",I29="",L29="",M29="",$L$9&lt;&gt;"OK"),"Check all fields completed correctly",IF(AND(D29="",OR(F29&lt;&gt;"",H29&lt;&gt;"",I29&lt;&gt;"",L29&lt;&gt;"")),"Check all fields completed correctly","OK"))))</f>
        <v/>
      </c>
      <c r="W29" s="601" t="str">
        <f>IF(I29="","",IF(VLOOKUP(I29,'Eligible Technologies'!$D$7:$G$69,4,FALSE)&lt;$F$9,VLOOKUP(I29,'Eligible Technologies'!$D$7:$G$69,4,FALSE),$F$9))</f>
        <v/>
      </c>
      <c r="X29" s="602" t="str">
        <f t="shared" si="13"/>
        <v/>
      </c>
      <c r="Y29" s="602">
        <f t="shared" ca="1" si="10"/>
        <v>0</v>
      </c>
      <c r="Z29" s="602" t="str">
        <f>'Extra look-up'!F23</f>
        <v/>
      </c>
      <c r="AA29" s="602" t="str">
        <f ca="1">'Extra look-up'!H23</f>
        <v>OK</v>
      </c>
      <c r="AB29" s="602">
        <f t="shared" ca="1" si="11"/>
        <v>1</v>
      </c>
      <c r="AC29" s="618" t="e">
        <f t="shared" si="12"/>
        <v>#VALUE!</v>
      </c>
      <c r="AD29" s="621" t="str">
        <f ca="1">IFERROR(AVERAGE($AH$101:INDIRECT(CONCATENATE("AH"&amp;AC29))),"")</f>
        <v/>
      </c>
      <c r="AE29" s="615"/>
      <c r="AF29" s="615"/>
      <c r="AG29" s="12" t="s">
        <v>103</v>
      </c>
      <c r="AH29" s="10" t="s">
        <v>92</v>
      </c>
      <c r="AI29" s="12" t="s">
        <v>92</v>
      </c>
      <c r="AJ29" s="12" t="s">
        <v>104</v>
      </c>
      <c r="AK29" s="12" t="s">
        <v>105</v>
      </c>
      <c r="AL29" s="12" t="s">
        <v>105</v>
      </c>
      <c r="AM29" s="6" t="s">
        <v>106</v>
      </c>
      <c r="AN29" s="6" t="s">
        <v>106</v>
      </c>
      <c r="AO29" s="11"/>
      <c r="AP29" s="11"/>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row>
    <row r="30" spans="1:70" s="25" customFormat="1" ht="34" hidden="1" customHeight="1" x14ac:dyDescent="0.3">
      <c r="A30" s="169">
        <v>19</v>
      </c>
      <c r="B30" s="115"/>
      <c r="C30" s="125"/>
      <c r="D30" s="117"/>
      <c r="E30" s="118"/>
      <c r="F30" s="119"/>
      <c r="G30" s="144" t="str">
        <f t="shared" si="0"/>
        <v/>
      </c>
      <c r="H30" s="391"/>
      <c r="I30" s="664"/>
      <c r="J30" s="665"/>
      <c r="K30" s="120"/>
      <c r="L30" s="121"/>
      <c r="M30" s="147" t="str">
        <f t="shared" si="6"/>
        <v/>
      </c>
      <c r="N30" s="148">
        <f t="shared" si="7"/>
        <v>0</v>
      </c>
      <c r="O30" s="122"/>
      <c r="P30" s="156" t="str">
        <f t="shared" si="1"/>
        <v/>
      </c>
      <c r="Q30" s="157" t="str">
        <f t="shared" si="2"/>
        <v/>
      </c>
      <c r="R30" s="627" t="str">
        <f t="shared" si="3"/>
        <v/>
      </c>
      <c r="S30" s="158" t="str">
        <f t="shared" si="4"/>
        <v/>
      </c>
      <c r="T30" s="158" t="str">
        <f t="shared" si="8"/>
        <v/>
      </c>
      <c r="U30" s="159" t="str">
        <f t="shared" si="9"/>
        <v/>
      </c>
      <c r="V30" s="638" t="str">
        <f ca="1">IF('Extra look-up'!$H24="Work Type","Check Work Type",IF(AND(D30="",F30="",H30="",I30="",L30="",M30=""),"",IF(OR(D30="",F30="",H30="",I30="",L30="",M30="",$L$9&lt;&gt;"OK"),"Check all fields completed correctly",IF(AND(D30="",OR(F30&lt;&gt;"",H30&lt;&gt;"",I30&lt;&gt;"",L30&lt;&gt;"")),"Check all fields completed correctly","OK"))))</f>
        <v/>
      </c>
      <c r="W30" s="601" t="str">
        <f>IF(I30="","",IF(VLOOKUP(I30,'Eligible Technologies'!$D$7:$G$69,4,FALSE)&lt;$F$9,VLOOKUP(I30,'Eligible Technologies'!$D$7:$G$69,4,FALSE),$F$9))</f>
        <v/>
      </c>
      <c r="X30" s="602" t="str">
        <f t="shared" si="13"/>
        <v/>
      </c>
      <c r="Y30" s="602">
        <f t="shared" ca="1" si="10"/>
        <v>0</v>
      </c>
      <c r="Z30" s="602" t="str">
        <f>'Extra look-up'!F24</f>
        <v/>
      </c>
      <c r="AA30" s="602" t="str">
        <f ca="1">'Extra look-up'!H24</f>
        <v>OK</v>
      </c>
      <c r="AB30" s="602">
        <f t="shared" ca="1" si="11"/>
        <v>1</v>
      </c>
      <c r="AC30" s="618" t="e">
        <f t="shared" si="12"/>
        <v>#VALUE!</v>
      </c>
      <c r="AD30" s="621" t="str">
        <f ca="1">IFERROR(AVERAGE($AH$101:INDIRECT(CONCATENATE("AH"&amp;AC30))),"")</f>
        <v/>
      </c>
      <c r="AE30" s="615"/>
      <c r="AF30" s="615"/>
      <c r="AG30" s="10" t="s">
        <v>105</v>
      </c>
      <c r="AH30" s="10" t="s">
        <v>95</v>
      </c>
      <c r="AI30" s="10" t="s">
        <v>95</v>
      </c>
      <c r="AJ30" s="10" t="s">
        <v>107</v>
      </c>
      <c r="AK30" s="10"/>
      <c r="AL30" s="10" t="s">
        <v>108</v>
      </c>
      <c r="AM30" s="11" t="s">
        <v>109</v>
      </c>
      <c r="AN30" s="11" t="s">
        <v>109</v>
      </c>
      <c r="AO30" s="11"/>
      <c r="AP30" s="11"/>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row>
    <row r="31" spans="1:70" s="25" customFormat="1" ht="34" hidden="1" customHeight="1" x14ac:dyDescent="0.3">
      <c r="A31" s="169">
        <v>20</v>
      </c>
      <c r="B31" s="115"/>
      <c r="C31" s="125"/>
      <c r="D31" s="117"/>
      <c r="E31" s="118"/>
      <c r="F31" s="119"/>
      <c r="G31" s="144" t="str">
        <f t="shared" si="0"/>
        <v/>
      </c>
      <c r="H31" s="391"/>
      <c r="I31" s="664"/>
      <c r="J31" s="665"/>
      <c r="K31" s="120"/>
      <c r="L31" s="121"/>
      <c r="M31" s="147" t="str">
        <f t="shared" si="6"/>
        <v/>
      </c>
      <c r="N31" s="148">
        <f t="shared" si="7"/>
        <v>0</v>
      </c>
      <c r="O31" s="122"/>
      <c r="P31" s="156" t="str">
        <f t="shared" si="1"/>
        <v/>
      </c>
      <c r="Q31" s="157" t="str">
        <f t="shared" si="2"/>
        <v/>
      </c>
      <c r="R31" s="627" t="str">
        <f t="shared" si="3"/>
        <v/>
      </c>
      <c r="S31" s="158" t="str">
        <f t="shared" si="4"/>
        <v/>
      </c>
      <c r="T31" s="158" t="str">
        <f t="shared" si="8"/>
        <v/>
      </c>
      <c r="U31" s="159" t="str">
        <f t="shared" si="9"/>
        <v/>
      </c>
      <c r="V31" s="638" t="str">
        <f ca="1">IF('Extra look-up'!$H25="Work Type","Check Work Type",IF(AND(D31="",F31="",H31="",I31="",L31="",M31=""),"",IF(OR(D31="",F31="",H31="",I31="",L31="",M31="",$L$9&lt;&gt;"OK"),"Check all fields completed correctly",IF(AND(D31="",OR(F31&lt;&gt;"",H31&lt;&gt;"",I31&lt;&gt;"",L31&lt;&gt;"")),"Check all fields completed correctly","OK"))))</f>
        <v/>
      </c>
      <c r="W31" s="601" t="str">
        <f>IF(I31="","",IF(VLOOKUP(I31,'Eligible Technologies'!$D$7:$G$69,4,FALSE)&lt;$F$9,VLOOKUP(I31,'Eligible Technologies'!$D$7:$G$69,4,FALSE),$F$9))</f>
        <v/>
      </c>
      <c r="X31" s="602" t="str">
        <f t="shared" si="13"/>
        <v/>
      </c>
      <c r="Y31" s="602">
        <f t="shared" ca="1" si="10"/>
        <v>0</v>
      </c>
      <c r="Z31" s="602" t="str">
        <f>'Extra look-up'!F25</f>
        <v/>
      </c>
      <c r="AA31" s="602" t="str">
        <f ca="1">'Extra look-up'!H25</f>
        <v>OK</v>
      </c>
      <c r="AB31" s="602">
        <f t="shared" ca="1" si="11"/>
        <v>1</v>
      </c>
      <c r="AC31" s="618" t="e">
        <f t="shared" si="12"/>
        <v>#VALUE!</v>
      </c>
      <c r="AD31" s="621" t="str">
        <f ca="1">IFERROR(AVERAGE($AH$101:INDIRECT(CONCATENATE("AH"&amp;AC31))),"")</f>
        <v/>
      </c>
      <c r="AE31" s="615"/>
      <c r="AF31" s="615"/>
      <c r="AG31" s="10"/>
      <c r="AH31" s="10" t="s">
        <v>100</v>
      </c>
      <c r="AI31" s="10" t="s">
        <v>100</v>
      </c>
      <c r="AJ31" s="10" t="s">
        <v>110</v>
      </c>
      <c r="AK31" s="10"/>
      <c r="AL31" s="10"/>
      <c r="AM31" s="11"/>
      <c r="AN31" s="6"/>
      <c r="AO31" s="11"/>
      <c r="AP31" s="11"/>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row>
    <row r="32" spans="1:70" s="25" customFormat="1" ht="34" hidden="1" customHeight="1" x14ac:dyDescent="0.3">
      <c r="A32" s="169">
        <v>21</v>
      </c>
      <c r="B32" s="115"/>
      <c r="C32" s="125"/>
      <c r="D32" s="117"/>
      <c r="E32" s="118"/>
      <c r="F32" s="119"/>
      <c r="G32" s="144" t="str">
        <f t="shared" si="0"/>
        <v/>
      </c>
      <c r="H32" s="391"/>
      <c r="I32" s="664"/>
      <c r="J32" s="665"/>
      <c r="K32" s="120"/>
      <c r="L32" s="121"/>
      <c r="M32" s="147" t="str">
        <f t="shared" si="6"/>
        <v/>
      </c>
      <c r="N32" s="148">
        <f t="shared" si="7"/>
        <v>0</v>
      </c>
      <c r="O32" s="122"/>
      <c r="P32" s="156" t="str">
        <f t="shared" si="1"/>
        <v/>
      </c>
      <c r="Q32" s="157" t="str">
        <f t="shared" si="2"/>
        <v/>
      </c>
      <c r="R32" s="627" t="str">
        <f t="shared" si="3"/>
        <v/>
      </c>
      <c r="S32" s="158" t="str">
        <f t="shared" si="4"/>
        <v/>
      </c>
      <c r="T32" s="158" t="str">
        <f t="shared" si="8"/>
        <v/>
      </c>
      <c r="U32" s="159" t="str">
        <f t="shared" si="9"/>
        <v/>
      </c>
      <c r="V32" s="638" t="str">
        <f ca="1">IF('Extra look-up'!$H26="Work Type","Check Work Type",IF(AND(D32="",F32="",H32="",I32="",L32="",M32=""),"",IF(OR(D32="",F32="",H32="",I32="",L32="",M32="",$L$9&lt;&gt;"OK"),"Check all fields completed correctly",IF(AND(D32="",OR(F32&lt;&gt;"",H32&lt;&gt;"",I32&lt;&gt;"",L32&lt;&gt;"")),"Check all fields completed correctly","OK"))))</f>
        <v/>
      </c>
      <c r="W32" s="601" t="str">
        <f>IF(I32="","",IF(VLOOKUP(I32,'Eligible Technologies'!$D$7:$G$69,4,FALSE)&lt;$F$9,VLOOKUP(I32,'Eligible Technologies'!$D$7:$G$69,4,FALSE),$F$9))</f>
        <v/>
      </c>
      <c r="X32" s="602" t="str">
        <f t="shared" si="13"/>
        <v/>
      </c>
      <c r="Y32" s="602">
        <f t="shared" ca="1" si="10"/>
        <v>0</v>
      </c>
      <c r="Z32" s="602" t="str">
        <f>'Extra look-up'!F26</f>
        <v/>
      </c>
      <c r="AA32" s="602" t="str">
        <f ca="1">'Extra look-up'!H26</f>
        <v>OK</v>
      </c>
      <c r="AB32" s="602">
        <f t="shared" ca="1" si="11"/>
        <v>1</v>
      </c>
      <c r="AC32" s="618" t="e">
        <f t="shared" si="12"/>
        <v>#VALUE!</v>
      </c>
      <c r="AD32" s="621" t="str">
        <f ca="1">IFERROR(AVERAGE($AH$101:INDIRECT(CONCATENATE("AH"&amp;AC32))),"")</f>
        <v/>
      </c>
      <c r="AE32" s="615"/>
      <c r="AF32" s="615"/>
      <c r="AG32" s="10"/>
      <c r="AH32" s="12" t="s">
        <v>99</v>
      </c>
      <c r="AI32" s="10" t="s">
        <v>99</v>
      </c>
      <c r="AJ32" s="10" t="s">
        <v>111</v>
      </c>
      <c r="AK32" s="10"/>
      <c r="AL32" s="10"/>
      <c r="AM32" s="11"/>
      <c r="AN32" s="6"/>
      <c r="AO32" s="11"/>
      <c r="AP32" s="11"/>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row>
    <row r="33" spans="1:70" s="25" customFormat="1" ht="34" hidden="1" customHeight="1" x14ac:dyDescent="0.3">
      <c r="A33" s="169">
        <v>22</v>
      </c>
      <c r="B33" s="115"/>
      <c r="C33" s="125"/>
      <c r="D33" s="117"/>
      <c r="E33" s="118"/>
      <c r="F33" s="119"/>
      <c r="G33" s="144" t="str">
        <f t="shared" si="0"/>
        <v/>
      </c>
      <c r="H33" s="391"/>
      <c r="I33" s="664"/>
      <c r="J33" s="665"/>
      <c r="K33" s="120"/>
      <c r="L33" s="121"/>
      <c r="M33" s="147" t="str">
        <f t="shared" si="6"/>
        <v/>
      </c>
      <c r="N33" s="148">
        <f t="shared" si="7"/>
        <v>0</v>
      </c>
      <c r="O33" s="122"/>
      <c r="P33" s="156" t="str">
        <f t="shared" si="1"/>
        <v/>
      </c>
      <c r="Q33" s="157" t="str">
        <f t="shared" si="2"/>
        <v/>
      </c>
      <c r="R33" s="627" t="str">
        <f t="shared" si="3"/>
        <v/>
      </c>
      <c r="S33" s="158" t="str">
        <f t="shared" si="4"/>
        <v/>
      </c>
      <c r="T33" s="158" t="str">
        <f t="shared" si="8"/>
        <v/>
      </c>
      <c r="U33" s="159" t="str">
        <f t="shared" si="9"/>
        <v/>
      </c>
      <c r="V33" s="638" t="str">
        <f ca="1">IF('Extra look-up'!$H27="Work Type","Check Work Type",IF(AND(D33="",F33="",H33="",I33="",L33="",M33=""),"",IF(OR(D33="",F33="",H33="",I33="",L33="",M33="",$L$9&lt;&gt;"OK"),"Check all fields completed correctly",IF(AND(D33="",OR(F33&lt;&gt;"",H33&lt;&gt;"",I33&lt;&gt;"",L33&lt;&gt;"")),"Check all fields completed correctly","OK"))))</f>
        <v/>
      </c>
      <c r="W33" s="601" t="str">
        <f>IF(I33="","",IF(VLOOKUP(I33,'Eligible Technologies'!$D$7:$G$69,4,FALSE)&lt;$F$9,VLOOKUP(I33,'Eligible Technologies'!$D$7:$G$69,4,FALSE),$F$9))</f>
        <v/>
      </c>
      <c r="X33" s="602" t="str">
        <f t="shared" si="13"/>
        <v/>
      </c>
      <c r="Y33" s="602">
        <f t="shared" ca="1" si="10"/>
        <v>0</v>
      </c>
      <c r="Z33" s="602" t="str">
        <f>'Extra look-up'!F27</f>
        <v/>
      </c>
      <c r="AA33" s="602" t="str">
        <f ca="1">'Extra look-up'!H27</f>
        <v>OK</v>
      </c>
      <c r="AB33" s="602">
        <f t="shared" ca="1" si="11"/>
        <v>1</v>
      </c>
      <c r="AC33" s="618" t="e">
        <f t="shared" si="12"/>
        <v>#VALUE!</v>
      </c>
      <c r="AD33" s="621" t="str">
        <f ca="1">IFERROR(AVERAGE($AH$101:INDIRECT(CONCATENATE("AH"&amp;AC33))),"")</f>
        <v/>
      </c>
      <c r="AE33" s="615"/>
      <c r="AF33" s="615"/>
      <c r="AG33" s="12"/>
      <c r="AH33" s="12" t="s">
        <v>107</v>
      </c>
      <c r="AI33" s="12" t="s">
        <v>107</v>
      </c>
      <c r="AJ33" s="12" t="s">
        <v>112</v>
      </c>
      <c r="AK33" s="12"/>
      <c r="AL33" s="12"/>
      <c r="AM33" s="11"/>
      <c r="AN33" s="11"/>
      <c r="AO33" s="11"/>
      <c r="AP33" s="11"/>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row>
    <row r="34" spans="1:70" s="25" customFormat="1" ht="34" hidden="1" customHeight="1" x14ac:dyDescent="0.3">
      <c r="A34" s="169">
        <v>23</v>
      </c>
      <c r="B34" s="115"/>
      <c r="C34" s="125"/>
      <c r="D34" s="117"/>
      <c r="E34" s="118"/>
      <c r="F34" s="119"/>
      <c r="G34" s="144" t="str">
        <f t="shared" si="0"/>
        <v/>
      </c>
      <c r="H34" s="391"/>
      <c r="I34" s="664"/>
      <c r="J34" s="665"/>
      <c r="K34" s="120"/>
      <c r="L34" s="121"/>
      <c r="M34" s="147" t="str">
        <f t="shared" si="6"/>
        <v/>
      </c>
      <c r="N34" s="148">
        <f t="shared" si="7"/>
        <v>0</v>
      </c>
      <c r="O34" s="122"/>
      <c r="P34" s="156" t="str">
        <f t="shared" si="1"/>
        <v/>
      </c>
      <c r="Q34" s="157" t="str">
        <f t="shared" si="2"/>
        <v/>
      </c>
      <c r="R34" s="627" t="str">
        <f t="shared" si="3"/>
        <v/>
      </c>
      <c r="S34" s="158" t="str">
        <f t="shared" si="4"/>
        <v/>
      </c>
      <c r="T34" s="158" t="str">
        <f t="shared" si="8"/>
        <v/>
      </c>
      <c r="U34" s="159" t="str">
        <f t="shared" si="9"/>
        <v/>
      </c>
      <c r="V34" s="638" t="str">
        <f ca="1">IF('Extra look-up'!$H28="Work Type","Check Work Type",IF(AND(D34="",F34="",H34="",I34="",L34="",M34=""),"",IF(OR(D34="",F34="",H34="",I34="",L34="",M34="",$L$9&lt;&gt;"OK"),"Check all fields completed correctly",IF(AND(D34="",OR(F34&lt;&gt;"",H34&lt;&gt;"",I34&lt;&gt;"",L34&lt;&gt;"")),"Check all fields completed correctly","OK"))))</f>
        <v/>
      </c>
      <c r="W34" s="601" t="str">
        <f>IF(I34="","",IF(VLOOKUP(I34,'Eligible Technologies'!$D$7:$G$69,4,FALSE)&lt;$F$9,VLOOKUP(I34,'Eligible Technologies'!$D$7:$G$69,4,FALSE),$F$9))</f>
        <v/>
      </c>
      <c r="X34" s="602" t="str">
        <f t="shared" si="13"/>
        <v/>
      </c>
      <c r="Y34" s="602">
        <f t="shared" ca="1" si="10"/>
        <v>0</v>
      </c>
      <c r="Z34" s="602" t="str">
        <f>'Extra look-up'!F28</f>
        <v/>
      </c>
      <c r="AA34" s="602" t="str">
        <f ca="1">'Extra look-up'!H28</f>
        <v>OK</v>
      </c>
      <c r="AB34" s="602">
        <f t="shared" ca="1" si="11"/>
        <v>1</v>
      </c>
      <c r="AC34" s="618" t="e">
        <f t="shared" si="12"/>
        <v>#VALUE!</v>
      </c>
      <c r="AD34" s="621" t="str">
        <f ca="1">IFERROR(AVERAGE($AH$101:INDIRECT(CONCATENATE("AH"&amp;AC34))),"")</f>
        <v/>
      </c>
      <c r="AE34" s="615"/>
      <c r="AF34" s="615"/>
      <c r="AG34" s="12"/>
      <c r="AH34" s="12" t="s">
        <v>103</v>
      </c>
      <c r="AI34" s="12" t="s">
        <v>103</v>
      </c>
      <c r="AJ34" s="12"/>
      <c r="AK34" s="12"/>
      <c r="AL34" s="12"/>
      <c r="AM34" s="11"/>
      <c r="AN34" s="11"/>
      <c r="AO34" s="11"/>
      <c r="AP34" s="11"/>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row>
    <row r="35" spans="1:70" s="25" customFormat="1" ht="34" hidden="1" customHeight="1" x14ac:dyDescent="0.3">
      <c r="A35" s="169">
        <v>24</v>
      </c>
      <c r="B35" s="115"/>
      <c r="C35" s="125"/>
      <c r="D35" s="117"/>
      <c r="E35" s="118"/>
      <c r="F35" s="119"/>
      <c r="G35" s="144" t="str">
        <f t="shared" si="0"/>
        <v/>
      </c>
      <c r="H35" s="391"/>
      <c r="I35" s="664"/>
      <c r="J35" s="665"/>
      <c r="K35" s="120"/>
      <c r="L35" s="121"/>
      <c r="M35" s="147" t="str">
        <f t="shared" si="6"/>
        <v/>
      </c>
      <c r="N35" s="148">
        <f t="shared" si="7"/>
        <v>0</v>
      </c>
      <c r="O35" s="122"/>
      <c r="P35" s="156" t="str">
        <f t="shared" si="1"/>
        <v/>
      </c>
      <c r="Q35" s="157" t="str">
        <f t="shared" si="2"/>
        <v/>
      </c>
      <c r="R35" s="627" t="str">
        <f t="shared" si="3"/>
        <v/>
      </c>
      <c r="S35" s="158" t="str">
        <f t="shared" si="4"/>
        <v/>
      </c>
      <c r="T35" s="158" t="str">
        <f t="shared" si="8"/>
        <v/>
      </c>
      <c r="U35" s="159" t="str">
        <f t="shared" si="9"/>
        <v/>
      </c>
      <c r="V35" s="638" t="str">
        <f ca="1">IF('Extra look-up'!$H29="Work Type","Check Work Type",IF(AND(D35="",F35="",H35="",I35="",L35="",M35=""),"",IF(OR(D35="",F35="",H35="",I35="",L35="",M35="",$L$9&lt;&gt;"OK"),"Check all fields completed correctly",IF(AND(D35="",OR(F35&lt;&gt;"",H35&lt;&gt;"",I35&lt;&gt;"",L35&lt;&gt;"")),"Check all fields completed correctly","OK"))))</f>
        <v/>
      </c>
      <c r="W35" s="601" t="str">
        <f>IF(I35="","",IF(VLOOKUP(I35,'Eligible Technologies'!$D$7:$G$69,4,FALSE)&lt;$F$9,VLOOKUP(I35,'Eligible Technologies'!$D$7:$G$69,4,FALSE),$F$9))</f>
        <v/>
      </c>
      <c r="X35" s="602" t="str">
        <f t="shared" si="13"/>
        <v/>
      </c>
      <c r="Y35" s="602">
        <f t="shared" ca="1" si="10"/>
        <v>0</v>
      </c>
      <c r="Z35" s="602" t="str">
        <f>'Extra look-up'!F29</f>
        <v/>
      </c>
      <c r="AA35" s="602" t="str">
        <f ca="1">'Extra look-up'!H29</f>
        <v>OK</v>
      </c>
      <c r="AB35" s="602">
        <f t="shared" ca="1" si="11"/>
        <v>1</v>
      </c>
      <c r="AC35" s="618" t="e">
        <f t="shared" si="12"/>
        <v>#VALUE!</v>
      </c>
      <c r="AD35" s="621" t="str">
        <f ca="1">IFERROR(AVERAGE($AH$101:INDIRECT(CONCATENATE("AH"&amp;AC35))),"")</f>
        <v/>
      </c>
      <c r="AE35" s="615"/>
      <c r="AF35" s="615"/>
      <c r="AG35" s="12"/>
      <c r="AH35" s="12" t="s">
        <v>105</v>
      </c>
      <c r="AI35" s="12" t="s">
        <v>105</v>
      </c>
      <c r="AJ35" s="12"/>
      <c r="AK35" s="12"/>
      <c r="AL35" s="12"/>
      <c r="AM35" s="11"/>
      <c r="AN35" s="11"/>
      <c r="AO35" s="11"/>
      <c r="AP35" s="11"/>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row>
    <row r="36" spans="1:70" s="25" customFormat="1" ht="34" hidden="1" customHeight="1" x14ac:dyDescent="0.3">
      <c r="A36" s="169">
        <v>25</v>
      </c>
      <c r="B36" s="115"/>
      <c r="C36" s="125"/>
      <c r="D36" s="117"/>
      <c r="E36" s="118"/>
      <c r="F36" s="119"/>
      <c r="G36" s="144" t="str">
        <f t="shared" si="0"/>
        <v/>
      </c>
      <c r="H36" s="391"/>
      <c r="I36" s="664"/>
      <c r="J36" s="665"/>
      <c r="K36" s="120"/>
      <c r="L36" s="121"/>
      <c r="M36" s="147" t="str">
        <f t="shared" si="6"/>
        <v/>
      </c>
      <c r="N36" s="148">
        <f t="shared" si="7"/>
        <v>0</v>
      </c>
      <c r="O36" s="122"/>
      <c r="P36" s="156" t="str">
        <f t="shared" si="1"/>
        <v/>
      </c>
      <c r="Q36" s="157" t="str">
        <f t="shared" si="2"/>
        <v/>
      </c>
      <c r="R36" s="627" t="str">
        <f t="shared" si="3"/>
        <v/>
      </c>
      <c r="S36" s="158" t="str">
        <f t="shared" si="4"/>
        <v/>
      </c>
      <c r="T36" s="158" t="str">
        <f t="shared" si="8"/>
        <v/>
      </c>
      <c r="U36" s="159" t="str">
        <f t="shared" si="9"/>
        <v/>
      </c>
      <c r="V36" s="638" t="str">
        <f ca="1">IF('Extra look-up'!$H30="Work Type","Check Work Type",IF(AND(D36="",F36="",H36="",I36="",L36="",M36=""),"",IF(OR(D36="",F36="",H36="",I36="",L36="",M36="",$L$9&lt;&gt;"OK"),"Check all fields completed correctly",IF(AND(D36="",OR(F36&lt;&gt;"",H36&lt;&gt;"",I36&lt;&gt;"",L36&lt;&gt;"")),"Check all fields completed correctly","OK"))))</f>
        <v/>
      </c>
      <c r="W36" s="601" t="str">
        <f>IF(I36="","",IF(VLOOKUP(I36,'Eligible Technologies'!$D$7:$G$69,4,FALSE)&lt;$F$9,VLOOKUP(I36,'Eligible Technologies'!$D$7:$G$69,4,FALSE),$F$9))</f>
        <v/>
      </c>
      <c r="X36" s="602" t="str">
        <f t="shared" si="13"/>
        <v/>
      </c>
      <c r="Y36" s="602">
        <f t="shared" ca="1" si="10"/>
        <v>0</v>
      </c>
      <c r="Z36" s="602" t="str">
        <f>'Extra look-up'!F30</f>
        <v/>
      </c>
      <c r="AA36" s="602" t="str">
        <f ca="1">'Extra look-up'!H30</f>
        <v>OK</v>
      </c>
      <c r="AB36" s="602">
        <f t="shared" ca="1" si="11"/>
        <v>1</v>
      </c>
      <c r="AC36" s="618" t="e">
        <f t="shared" si="12"/>
        <v>#VALUE!</v>
      </c>
      <c r="AD36" s="621" t="str">
        <f ca="1">IFERROR(AVERAGE($AH$101:INDIRECT(CONCATENATE("AH"&amp;AC36))),"")</f>
        <v/>
      </c>
      <c r="AE36" s="615"/>
      <c r="AF36" s="615"/>
      <c r="AG36" s="12"/>
      <c r="AH36" s="12" t="s">
        <v>113</v>
      </c>
      <c r="AI36" s="12" t="s">
        <v>109</v>
      </c>
      <c r="AJ36" s="12"/>
      <c r="AK36" s="12"/>
      <c r="AL36" s="12"/>
      <c r="AM36" s="24"/>
      <c r="AN36" s="11"/>
      <c r="AO36" s="11"/>
      <c r="AP36" s="11"/>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row>
    <row r="37" spans="1:70" s="25" customFormat="1" ht="34" hidden="1" customHeight="1" x14ac:dyDescent="0.3">
      <c r="A37" s="169">
        <v>26</v>
      </c>
      <c r="B37" s="115"/>
      <c r="C37" s="125"/>
      <c r="D37" s="117"/>
      <c r="E37" s="118"/>
      <c r="F37" s="119"/>
      <c r="G37" s="144" t="str">
        <f t="shared" si="0"/>
        <v/>
      </c>
      <c r="H37" s="391"/>
      <c r="I37" s="664"/>
      <c r="J37" s="665"/>
      <c r="K37" s="120"/>
      <c r="L37" s="121"/>
      <c r="M37" s="147" t="str">
        <f t="shared" si="6"/>
        <v/>
      </c>
      <c r="N37" s="148">
        <f t="shared" si="7"/>
        <v>0</v>
      </c>
      <c r="O37" s="122"/>
      <c r="P37" s="156" t="str">
        <f t="shared" si="1"/>
        <v/>
      </c>
      <c r="Q37" s="157" t="str">
        <f t="shared" si="2"/>
        <v/>
      </c>
      <c r="R37" s="627" t="str">
        <f t="shared" si="3"/>
        <v/>
      </c>
      <c r="S37" s="158" t="str">
        <f t="shared" si="4"/>
        <v/>
      </c>
      <c r="T37" s="158" t="str">
        <f t="shared" si="8"/>
        <v/>
      </c>
      <c r="U37" s="159" t="str">
        <f t="shared" si="9"/>
        <v/>
      </c>
      <c r="V37" s="638" t="str">
        <f ca="1">IF('Extra look-up'!$H31="Work Type","Check Work Type",IF(AND(D37="",F37="",H37="",I37="",L37="",M37=""),"",IF(OR(D37="",F37="",H37="",I37="",L37="",M37="",$L$9&lt;&gt;"OK"),"Check all fields completed correctly",IF(AND(D37="",OR(F37&lt;&gt;"",H37&lt;&gt;"",I37&lt;&gt;"",L37&lt;&gt;"")),"Check all fields completed correctly","OK"))))</f>
        <v/>
      </c>
      <c r="W37" s="601" t="str">
        <f>IF(I37="","",IF(VLOOKUP(I37,'Eligible Technologies'!$D$7:$G$69,4,FALSE)&lt;$F$9,VLOOKUP(I37,'Eligible Technologies'!$D$7:$G$69,4,FALSE),$F$9))</f>
        <v/>
      </c>
      <c r="X37" s="602" t="str">
        <f t="shared" si="13"/>
        <v/>
      </c>
      <c r="Y37" s="602">
        <f t="shared" ca="1" si="10"/>
        <v>0</v>
      </c>
      <c r="Z37" s="602" t="str">
        <f>'Extra look-up'!F31</f>
        <v/>
      </c>
      <c r="AA37" s="602" t="str">
        <f ca="1">'Extra look-up'!H31</f>
        <v>OK</v>
      </c>
      <c r="AB37" s="602">
        <f t="shared" ca="1" si="11"/>
        <v>1</v>
      </c>
      <c r="AC37" s="618" t="e">
        <f t="shared" si="12"/>
        <v>#VALUE!</v>
      </c>
      <c r="AD37" s="621" t="str">
        <f ca="1">IFERROR(AVERAGE($AH$101:INDIRECT(CONCATENATE("AH"&amp;AC37))),"")</f>
        <v/>
      </c>
      <c r="AE37" s="615"/>
      <c r="AF37" s="615"/>
      <c r="AG37" s="12"/>
      <c r="AH37" s="11" t="s">
        <v>114</v>
      </c>
      <c r="AI37" s="12" t="s">
        <v>114</v>
      </c>
      <c r="AJ37" s="12"/>
      <c r="AK37" s="24"/>
      <c r="AL37" s="24"/>
      <c r="AM37" s="24"/>
      <c r="AN37" s="11"/>
      <c r="AO37" s="11"/>
      <c r="AP37" s="11"/>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row>
    <row r="38" spans="1:70" s="25" customFormat="1" ht="34" hidden="1" customHeight="1" x14ac:dyDescent="0.3">
      <c r="A38" s="169">
        <v>27</v>
      </c>
      <c r="B38" s="115"/>
      <c r="C38" s="125"/>
      <c r="D38" s="117"/>
      <c r="E38" s="118"/>
      <c r="F38" s="119"/>
      <c r="G38" s="144" t="str">
        <f t="shared" si="0"/>
        <v/>
      </c>
      <c r="H38" s="391"/>
      <c r="I38" s="664"/>
      <c r="J38" s="665"/>
      <c r="K38" s="120"/>
      <c r="L38" s="121"/>
      <c r="M38" s="147" t="str">
        <f t="shared" si="6"/>
        <v/>
      </c>
      <c r="N38" s="148">
        <f t="shared" si="7"/>
        <v>0</v>
      </c>
      <c r="O38" s="122"/>
      <c r="P38" s="156" t="str">
        <f t="shared" si="1"/>
        <v/>
      </c>
      <c r="Q38" s="157" t="str">
        <f t="shared" si="2"/>
        <v/>
      </c>
      <c r="R38" s="627" t="str">
        <f t="shared" si="3"/>
        <v/>
      </c>
      <c r="S38" s="158" t="str">
        <f t="shared" si="4"/>
        <v/>
      </c>
      <c r="T38" s="158" t="str">
        <f t="shared" si="8"/>
        <v/>
      </c>
      <c r="U38" s="159" t="str">
        <f t="shared" si="9"/>
        <v/>
      </c>
      <c r="V38" s="638" t="str">
        <f ca="1">IF('Extra look-up'!$H32="Work Type","Check Work Type",IF(AND(D38="",F38="",H38="",I38="",L38="",M38=""),"",IF(OR(D38="",F38="",H38="",I38="",L38="",M38="",$L$9&lt;&gt;"OK"),"Check all fields completed correctly",IF(AND(D38="",OR(F38&lt;&gt;"",H38&lt;&gt;"",I38&lt;&gt;"",L38&lt;&gt;"")),"Check all fields completed correctly","OK"))))</f>
        <v/>
      </c>
      <c r="W38" s="601" t="str">
        <f>IF(I38="","",IF(VLOOKUP(I38,'Eligible Technologies'!$D$7:$G$69,4,FALSE)&lt;$F$9,VLOOKUP(I38,'Eligible Technologies'!$D$7:$G$69,4,FALSE),$F$9))</f>
        <v/>
      </c>
      <c r="X38" s="602" t="str">
        <f t="shared" si="13"/>
        <v/>
      </c>
      <c r="Y38" s="602">
        <f t="shared" ca="1" si="10"/>
        <v>0</v>
      </c>
      <c r="Z38" s="602" t="str">
        <f>'Extra look-up'!F32</f>
        <v/>
      </c>
      <c r="AA38" s="602" t="str">
        <f ca="1">'Extra look-up'!H32</f>
        <v>OK</v>
      </c>
      <c r="AB38" s="602">
        <f t="shared" ca="1" si="11"/>
        <v>1</v>
      </c>
      <c r="AC38" s="618" t="e">
        <f t="shared" si="12"/>
        <v>#VALUE!</v>
      </c>
      <c r="AD38" s="621" t="str">
        <f ca="1">IFERROR(AVERAGE($AH$101:INDIRECT(CONCATENATE("AH"&amp;AC38))),"")</f>
        <v/>
      </c>
      <c r="AE38" s="615"/>
      <c r="AF38" s="615"/>
      <c r="AG38" s="11"/>
      <c r="AH38" s="24"/>
      <c r="AI38" s="11"/>
      <c r="AJ38" s="11"/>
      <c r="AK38" s="11"/>
      <c r="AL38" s="11"/>
      <c r="AM38" s="24"/>
      <c r="AN38" s="11"/>
      <c r="AO38" s="11"/>
      <c r="AP38" s="11"/>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row>
    <row r="39" spans="1:70" s="25" customFormat="1" ht="34" hidden="1" customHeight="1" x14ac:dyDescent="0.3">
      <c r="A39" s="169">
        <v>28</v>
      </c>
      <c r="B39" s="115"/>
      <c r="C39" s="125"/>
      <c r="D39" s="117"/>
      <c r="E39" s="118"/>
      <c r="F39" s="119"/>
      <c r="G39" s="144" t="str">
        <f t="shared" si="0"/>
        <v/>
      </c>
      <c r="H39" s="391"/>
      <c r="I39" s="664"/>
      <c r="J39" s="665"/>
      <c r="K39" s="120"/>
      <c r="L39" s="121"/>
      <c r="M39" s="147" t="str">
        <f t="shared" si="6"/>
        <v/>
      </c>
      <c r="N39" s="148">
        <f t="shared" si="7"/>
        <v>0</v>
      </c>
      <c r="O39" s="122"/>
      <c r="P39" s="156" t="str">
        <f t="shared" si="1"/>
        <v/>
      </c>
      <c r="Q39" s="157" t="str">
        <f t="shared" si="2"/>
        <v/>
      </c>
      <c r="R39" s="627" t="str">
        <f t="shared" si="3"/>
        <v/>
      </c>
      <c r="S39" s="158" t="str">
        <f t="shared" si="4"/>
        <v/>
      </c>
      <c r="T39" s="158" t="str">
        <f t="shared" si="8"/>
        <v/>
      </c>
      <c r="U39" s="159" t="str">
        <f t="shared" si="9"/>
        <v/>
      </c>
      <c r="V39" s="638" t="str">
        <f ca="1">IF('Extra look-up'!$H33="Work Type","Check Work Type",IF(AND(D39="",F39="",H39="",I39="",L39="",M39=""),"",IF(OR(D39="",F39="",H39="",I39="",L39="",M39="",$L$9&lt;&gt;"OK"),"Check all fields completed correctly",IF(AND(D39="",OR(F39&lt;&gt;"",H39&lt;&gt;"",I39&lt;&gt;"",L39&lt;&gt;"")),"Check all fields completed correctly","OK"))))</f>
        <v/>
      </c>
      <c r="W39" s="601" t="str">
        <f>IF(I39="","",IF(VLOOKUP(I39,'Eligible Technologies'!$D$7:$G$69,4,FALSE)&lt;$F$9,VLOOKUP(I39,'Eligible Technologies'!$D$7:$G$69,4,FALSE),$F$9))</f>
        <v/>
      </c>
      <c r="X39" s="602" t="str">
        <f t="shared" si="13"/>
        <v/>
      </c>
      <c r="Y39" s="602">
        <f t="shared" ca="1" si="10"/>
        <v>0</v>
      </c>
      <c r="Z39" s="602" t="str">
        <f>'Extra look-up'!F33</f>
        <v/>
      </c>
      <c r="AA39" s="602" t="str">
        <f ca="1">'Extra look-up'!H33</f>
        <v>OK</v>
      </c>
      <c r="AB39" s="602">
        <f t="shared" ca="1" si="11"/>
        <v>1</v>
      </c>
      <c r="AC39" s="618" t="e">
        <f t="shared" si="12"/>
        <v>#VALUE!</v>
      </c>
      <c r="AD39" s="621" t="str">
        <f ca="1">IFERROR(AVERAGE($AH$101:INDIRECT(CONCATENATE("AH"&amp;AC39))),"")</f>
        <v/>
      </c>
      <c r="AE39" s="615"/>
      <c r="AF39" s="615"/>
      <c r="AG39" s="24"/>
      <c r="AH39" s="24"/>
      <c r="AI39" s="24"/>
      <c r="AJ39" s="24"/>
      <c r="AK39" s="24"/>
      <c r="AL39" s="24"/>
      <c r="AM39" s="24"/>
      <c r="AN39" s="24"/>
      <c r="AO39" s="11"/>
      <c r="AP39" s="11"/>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row>
    <row r="40" spans="1:70" s="25" customFormat="1" ht="34" hidden="1" customHeight="1" x14ac:dyDescent="0.3">
      <c r="A40" s="169">
        <v>29</v>
      </c>
      <c r="B40" s="115"/>
      <c r="C40" s="125"/>
      <c r="D40" s="117"/>
      <c r="E40" s="118"/>
      <c r="F40" s="119"/>
      <c r="G40" s="144" t="str">
        <f t="shared" si="0"/>
        <v/>
      </c>
      <c r="H40" s="391"/>
      <c r="I40" s="664"/>
      <c r="J40" s="665"/>
      <c r="K40" s="120"/>
      <c r="L40" s="121"/>
      <c r="M40" s="147" t="str">
        <f t="shared" si="6"/>
        <v/>
      </c>
      <c r="N40" s="148">
        <f t="shared" si="7"/>
        <v>0</v>
      </c>
      <c r="O40" s="122"/>
      <c r="P40" s="156" t="str">
        <f t="shared" si="1"/>
        <v/>
      </c>
      <c r="Q40" s="157" t="str">
        <f t="shared" si="2"/>
        <v/>
      </c>
      <c r="R40" s="627" t="str">
        <f t="shared" si="3"/>
        <v/>
      </c>
      <c r="S40" s="158" t="str">
        <f t="shared" si="4"/>
        <v/>
      </c>
      <c r="T40" s="158" t="str">
        <f t="shared" si="8"/>
        <v/>
      </c>
      <c r="U40" s="159" t="str">
        <f t="shared" si="9"/>
        <v/>
      </c>
      <c r="V40" s="638" t="str">
        <f ca="1">IF('Extra look-up'!$H34="Work Type","Check Work Type",IF(AND(D40="",F40="",H40="",I40="",L40="",M40=""),"",IF(OR(D40="",F40="",H40="",I40="",L40="",M40="",$L$9&lt;&gt;"OK"),"Check all fields completed correctly",IF(AND(D40="",OR(F40&lt;&gt;"",H40&lt;&gt;"",I40&lt;&gt;"",L40&lt;&gt;"")),"Check all fields completed correctly","OK"))))</f>
        <v/>
      </c>
      <c r="W40" s="601" t="str">
        <f>IF(I40="","",IF(VLOOKUP(I40,'Eligible Technologies'!$D$7:$G$69,4,FALSE)&lt;$F$9,VLOOKUP(I40,'Eligible Technologies'!$D$7:$G$69,4,FALSE),$F$9))</f>
        <v/>
      </c>
      <c r="X40" s="602" t="str">
        <f t="shared" si="13"/>
        <v/>
      </c>
      <c r="Y40" s="602">
        <f t="shared" ca="1" si="10"/>
        <v>0</v>
      </c>
      <c r="Z40" s="602" t="str">
        <f>'Extra look-up'!F34</f>
        <v/>
      </c>
      <c r="AA40" s="602" t="str">
        <f ca="1">'Extra look-up'!H34</f>
        <v>OK</v>
      </c>
      <c r="AB40" s="602">
        <f t="shared" ca="1" si="11"/>
        <v>1</v>
      </c>
      <c r="AC40" s="618" t="e">
        <f t="shared" si="12"/>
        <v>#VALUE!</v>
      </c>
      <c r="AD40" s="621" t="str">
        <f ca="1">IFERROR(AVERAGE($AH$101:INDIRECT(CONCATENATE("AH"&amp;AC40))),"")</f>
        <v/>
      </c>
      <c r="AE40" s="615"/>
      <c r="AF40" s="615"/>
      <c r="AG40" s="24"/>
      <c r="AH40" s="24"/>
      <c r="AI40" s="24"/>
      <c r="AJ40" s="24"/>
      <c r="AK40" s="24"/>
      <c r="AL40" s="24"/>
      <c r="AM40" s="24"/>
      <c r="AN40" s="24"/>
      <c r="AO40" s="11"/>
      <c r="AP40" s="11"/>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row>
    <row r="41" spans="1:70" s="25" customFormat="1" ht="34" hidden="1" customHeight="1" x14ac:dyDescent="0.3">
      <c r="A41" s="169">
        <v>30</v>
      </c>
      <c r="B41" s="115"/>
      <c r="C41" s="125"/>
      <c r="D41" s="117"/>
      <c r="E41" s="118"/>
      <c r="F41" s="119"/>
      <c r="G41" s="144" t="str">
        <f t="shared" si="0"/>
        <v/>
      </c>
      <c r="H41" s="391"/>
      <c r="I41" s="664"/>
      <c r="J41" s="665"/>
      <c r="K41" s="120"/>
      <c r="L41" s="121"/>
      <c r="M41" s="147" t="str">
        <f t="shared" si="6"/>
        <v/>
      </c>
      <c r="N41" s="148">
        <f t="shared" si="7"/>
        <v>0</v>
      </c>
      <c r="O41" s="122"/>
      <c r="P41" s="156" t="str">
        <f t="shared" si="1"/>
        <v/>
      </c>
      <c r="Q41" s="157" t="str">
        <f t="shared" si="2"/>
        <v/>
      </c>
      <c r="R41" s="627" t="str">
        <f t="shared" si="3"/>
        <v/>
      </c>
      <c r="S41" s="158" t="str">
        <f t="shared" si="4"/>
        <v/>
      </c>
      <c r="T41" s="158" t="str">
        <f t="shared" si="8"/>
        <v/>
      </c>
      <c r="U41" s="159" t="str">
        <f t="shared" si="9"/>
        <v/>
      </c>
      <c r="V41" s="638" t="str">
        <f ca="1">IF('Extra look-up'!$H35="Work Type","Check Work Type",IF(AND(D41="",F41="",H41="",I41="",L41="",M41=""),"",IF(OR(D41="",F41="",H41="",I41="",L41="",M41="",$L$9&lt;&gt;"OK"),"Check all fields completed correctly",IF(AND(D41="",OR(F41&lt;&gt;"",H41&lt;&gt;"",I41&lt;&gt;"",L41&lt;&gt;"")),"Check all fields completed correctly","OK"))))</f>
        <v/>
      </c>
      <c r="W41" s="601" t="str">
        <f>IF(I41="","",IF(VLOOKUP(I41,'Eligible Technologies'!$D$7:$G$69,4,FALSE)&lt;$F$9,VLOOKUP(I41,'Eligible Technologies'!$D$7:$G$69,4,FALSE),$F$9))</f>
        <v/>
      </c>
      <c r="X41" s="602" t="str">
        <f t="shared" si="13"/>
        <v/>
      </c>
      <c r="Y41" s="602">
        <f t="shared" ca="1" si="10"/>
        <v>0</v>
      </c>
      <c r="Z41" s="602" t="str">
        <f>'Extra look-up'!F35</f>
        <v/>
      </c>
      <c r="AA41" s="602" t="str">
        <f ca="1">'Extra look-up'!H35</f>
        <v>OK</v>
      </c>
      <c r="AB41" s="602">
        <f t="shared" ca="1" si="11"/>
        <v>1</v>
      </c>
      <c r="AC41" s="618" t="e">
        <f t="shared" si="12"/>
        <v>#VALUE!</v>
      </c>
      <c r="AD41" s="621" t="str">
        <f ca="1">IFERROR(AVERAGE($AH$101:INDIRECT(CONCATENATE("AH"&amp;AC41))),"")</f>
        <v/>
      </c>
      <c r="AE41" s="615"/>
      <c r="AF41" s="615"/>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row>
    <row r="42" spans="1:70" s="25" customFormat="1" ht="34" hidden="1" customHeight="1" x14ac:dyDescent="0.3">
      <c r="A42" s="169">
        <v>31</v>
      </c>
      <c r="B42" s="115"/>
      <c r="C42" s="125"/>
      <c r="D42" s="117"/>
      <c r="E42" s="118"/>
      <c r="F42" s="119"/>
      <c r="G42" s="144" t="str">
        <f t="shared" si="0"/>
        <v/>
      </c>
      <c r="H42" s="391"/>
      <c r="I42" s="664"/>
      <c r="J42" s="665"/>
      <c r="K42" s="120"/>
      <c r="L42" s="121"/>
      <c r="M42" s="147" t="str">
        <f t="shared" si="6"/>
        <v/>
      </c>
      <c r="N42" s="148">
        <f t="shared" si="7"/>
        <v>0</v>
      </c>
      <c r="O42" s="122"/>
      <c r="P42" s="156" t="str">
        <f t="shared" si="1"/>
        <v/>
      </c>
      <c r="Q42" s="157" t="str">
        <f t="shared" si="2"/>
        <v/>
      </c>
      <c r="R42" s="627" t="str">
        <f t="shared" si="3"/>
        <v/>
      </c>
      <c r="S42" s="158" t="str">
        <f t="shared" si="4"/>
        <v/>
      </c>
      <c r="T42" s="158" t="str">
        <f t="shared" si="8"/>
        <v/>
      </c>
      <c r="U42" s="159" t="str">
        <f t="shared" si="9"/>
        <v/>
      </c>
      <c r="V42" s="638" t="str">
        <f ca="1">IF('Extra look-up'!$H36="Work Type","Check Work Type",IF(AND(D42="",F42="",H42="",I42="",L42="",M42=""),"",IF(OR(D42="",F42="",H42="",I42="",L42="",M42="",$L$9&lt;&gt;"OK"),"Check all fields completed correctly",IF(AND(D42="",OR(F42&lt;&gt;"",H42&lt;&gt;"",I42&lt;&gt;"",L42&lt;&gt;"")),"Check all fields completed correctly","OK"))))</f>
        <v/>
      </c>
      <c r="W42" s="601" t="str">
        <f>IF(I42="","",IF(VLOOKUP(I42,'Eligible Technologies'!$D$7:$G$69,4,FALSE)&lt;$F$9,VLOOKUP(I42,'Eligible Technologies'!$D$7:$G$69,4,FALSE),$F$9))</f>
        <v/>
      </c>
      <c r="X42" s="602" t="str">
        <f t="shared" si="13"/>
        <v/>
      </c>
      <c r="Y42" s="602">
        <f t="shared" ca="1" si="10"/>
        <v>0</v>
      </c>
      <c r="Z42" s="602" t="str">
        <f>'Extra look-up'!F36</f>
        <v/>
      </c>
      <c r="AA42" s="602" t="str">
        <f ca="1">'Extra look-up'!H36</f>
        <v>OK</v>
      </c>
      <c r="AB42" s="602">
        <f t="shared" ca="1" si="11"/>
        <v>1</v>
      </c>
      <c r="AC42" s="618" t="e">
        <f t="shared" si="12"/>
        <v>#VALUE!</v>
      </c>
      <c r="AD42" s="621" t="str">
        <f ca="1">IFERROR(AVERAGE($AH$101:INDIRECT(CONCATENATE("AH"&amp;AC42))),"")</f>
        <v/>
      </c>
      <c r="AE42" s="615"/>
      <c r="AF42" s="615"/>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row>
    <row r="43" spans="1:70" s="25" customFormat="1" ht="34" hidden="1" customHeight="1" x14ac:dyDescent="0.3">
      <c r="A43" s="169">
        <v>32</v>
      </c>
      <c r="B43" s="115"/>
      <c r="C43" s="125"/>
      <c r="D43" s="117"/>
      <c r="E43" s="118"/>
      <c r="F43" s="119"/>
      <c r="G43" s="144" t="str">
        <f t="shared" si="0"/>
        <v/>
      </c>
      <c r="H43" s="391"/>
      <c r="I43" s="664"/>
      <c r="J43" s="665"/>
      <c r="K43" s="120"/>
      <c r="L43" s="121"/>
      <c r="M43" s="147" t="str">
        <f t="shared" si="6"/>
        <v/>
      </c>
      <c r="N43" s="148">
        <f t="shared" si="7"/>
        <v>0</v>
      </c>
      <c r="O43" s="122"/>
      <c r="P43" s="156" t="str">
        <f t="shared" si="1"/>
        <v/>
      </c>
      <c r="Q43" s="157" t="str">
        <f t="shared" si="2"/>
        <v/>
      </c>
      <c r="R43" s="627" t="str">
        <f t="shared" si="3"/>
        <v/>
      </c>
      <c r="S43" s="158" t="str">
        <f t="shared" si="4"/>
        <v/>
      </c>
      <c r="T43" s="158" t="str">
        <f t="shared" si="8"/>
        <v/>
      </c>
      <c r="U43" s="159" t="str">
        <f t="shared" si="9"/>
        <v/>
      </c>
      <c r="V43" s="638" t="str">
        <f>IF('Extra look-up'!$H69="Work Type","Check Work Type",IF(AND(D43="",F43="",H43="",I43="",L43="",M43=""),"",IF(OR(D43="",F43="",H43="",I43="",L43="",M43="",$L$9&lt;&gt;"OK"),"Check all fields completed correctly",IF(AND(D43="",OR(F43&lt;&gt;"",H43&lt;&gt;"",I43&lt;&gt;"",L43&lt;&gt;"")),"Check all fields completed correctly","OK"))))</f>
        <v/>
      </c>
      <c r="W43" s="601" t="str">
        <f>IF(I43="","",IF(VLOOKUP(I43,'Eligible Technologies'!$D$7:$G$69,4,FALSE)&lt;$F$9,VLOOKUP(I43,'Eligible Technologies'!$D$7:$G$69,4,FALSE),$F$9))</f>
        <v/>
      </c>
      <c r="X43" s="602" t="str">
        <f t="shared" si="13"/>
        <v/>
      </c>
      <c r="Y43" s="602">
        <f t="shared" si="10"/>
        <v>0</v>
      </c>
      <c r="Z43" s="602" t="str">
        <f>'Extra look-up'!F37</f>
        <v/>
      </c>
      <c r="AA43" s="602" t="str">
        <f ca="1">'Extra look-up'!H37</f>
        <v>OK</v>
      </c>
      <c r="AB43" s="602">
        <f t="shared" si="11"/>
        <v>1</v>
      </c>
      <c r="AC43" s="618" t="e">
        <f t="shared" si="12"/>
        <v>#VALUE!</v>
      </c>
      <c r="AD43" s="621" t="str">
        <f ca="1">IFERROR(AVERAGE($AH$101:INDIRECT(CONCATENATE("AH"&amp;AC43))),"")</f>
        <v/>
      </c>
      <c r="AE43" s="615"/>
      <c r="AF43" s="615"/>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row>
    <row r="44" spans="1:70" s="25" customFormat="1" ht="34" hidden="1" customHeight="1" x14ac:dyDescent="0.3">
      <c r="A44" s="169">
        <v>33</v>
      </c>
      <c r="B44" s="115"/>
      <c r="C44" s="125"/>
      <c r="D44" s="117"/>
      <c r="E44" s="118"/>
      <c r="F44" s="119"/>
      <c r="G44" s="144" t="str">
        <f t="shared" ref="G44:G61" si="14">IFERROR(((F44/E44)^(1/X44))-1,"")</f>
        <v/>
      </c>
      <c r="H44" s="391"/>
      <c r="I44" s="664"/>
      <c r="J44" s="665"/>
      <c r="K44" s="120"/>
      <c r="L44" s="121"/>
      <c r="M44" s="147" t="str">
        <f t="shared" si="6"/>
        <v/>
      </c>
      <c r="N44" s="148">
        <f t="shared" si="7"/>
        <v>0</v>
      </c>
      <c r="O44" s="122"/>
      <c r="P44" s="156" t="str">
        <f t="shared" ref="P44:P61" si="15">IF(OR(F44="",M44=""),"",M44*F44/100)</f>
        <v/>
      </c>
      <c r="Q44" s="157" t="str">
        <f t="shared" si="2"/>
        <v/>
      </c>
      <c r="R44" s="627" t="str">
        <f t="shared" ref="R44:R61" si="16">IFERROR(IF(D44="Electricity",AD44,HLOOKUP(D44,$AH$100:$AQ$140,2,FALSE)),"")</f>
        <v/>
      </c>
      <c r="S44" s="158" t="str">
        <f t="shared" ref="S44:S61" si="17">IF(OR(D44="",M44="",R44=""),"",M44*R44/1000)</f>
        <v/>
      </c>
      <c r="T44" s="158" t="str">
        <f t="shared" si="8"/>
        <v/>
      </c>
      <c r="U44" s="159" t="str">
        <f t="shared" si="9"/>
        <v/>
      </c>
      <c r="V44" s="638" t="str">
        <f>IF('Extra look-up'!$H70="Work Type","Check Work Type",IF(AND(D44="",F44="",H44="",I44="",L44="",M44=""),"",IF(OR(D44="",F44="",H44="",I44="",L44="",M44="",$L$9&lt;&gt;"OK"),"Check all fields completed correctly",IF(AND(D44="",OR(F44&lt;&gt;"",H44&lt;&gt;"",I44&lt;&gt;"",L44&lt;&gt;"")),"Check all fields completed correctly","OK"))))</f>
        <v/>
      </c>
      <c r="W44" s="601" t="str">
        <f>IF(I44="","",IF(VLOOKUP(I44,'Eligible Technologies'!$D$7:$G$69,4,FALSE)&lt;$F$9,VLOOKUP(I44,'Eligible Technologies'!$D$7:$G$69,4,FALSE),$F$9))</f>
        <v/>
      </c>
      <c r="X44" s="602" t="str">
        <f t="shared" si="13"/>
        <v/>
      </c>
      <c r="Y44" s="602">
        <f t="shared" si="10"/>
        <v>0</v>
      </c>
      <c r="Z44" s="602" t="str">
        <f>'Extra look-up'!F38</f>
        <v/>
      </c>
      <c r="AA44" s="602" t="str">
        <f ca="1">'Extra look-up'!H38</f>
        <v>OK</v>
      </c>
      <c r="AB44" s="602">
        <f t="shared" si="11"/>
        <v>1</v>
      </c>
      <c r="AC44" s="618" t="e">
        <f t="shared" si="12"/>
        <v>#VALUE!</v>
      </c>
      <c r="AD44" s="621" t="str">
        <f ca="1">IFERROR(AVERAGE($AH$101:INDIRECT(CONCATENATE("AH"&amp;AC44))),"")</f>
        <v/>
      </c>
      <c r="AE44" s="615"/>
      <c r="AF44" s="615"/>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row>
    <row r="45" spans="1:70" s="25" customFormat="1" ht="34" hidden="1" customHeight="1" x14ac:dyDescent="0.3">
      <c r="A45" s="169">
        <v>34</v>
      </c>
      <c r="B45" s="115"/>
      <c r="C45" s="125"/>
      <c r="D45" s="117"/>
      <c r="E45" s="118"/>
      <c r="F45" s="119"/>
      <c r="G45" s="144" t="str">
        <f t="shared" si="14"/>
        <v/>
      </c>
      <c r="H45" s="391"/>
      <c r="I45" s="664"/>
      <c r="J45" s="665"/>
      <c r="K45" s="120"/>
      <c r="L45" s="121"/>
      <c r="M45" s="147" t="str">
        <f t="shared" si="6"/>
        <v/>
      </c>
      <c r="N45" s="148">
        <f t="shared" si="7"/>
        <v>0</v>
      </c>
      <c r="O45" s="122"/>
      <c r="P45" s="156" t="str">
        <f t="shared" si="15"/>
        <v/>
      </c>
      <c r="Q45" s="157" t="str">
        <f t="shared" si="2"/>
        <v/>
      </c>
      <c r="R45" s="627" t="str">
        <f t="shared" si="16"/>
        <v/>
      </c>
      <c r="S45" s="158" t="str">
        <f t="shared" si="17"/>
        <v/>
      </c>
      <c r="T45" s="158" t="str">
        <f t="shared" si="8"/>
        <v/>
      </c>
      <c r="U45" s="159" t="str">
        <f t="shared" si="9"/>
        <v/>
      </c>
      <c r="V45" s="638" t="str">
        <f>IF('Extra look-up'!$H71="Work Type","Check Work Type",IF(AND(D45="",F45="",H45="",I45="",L45="",M45=""),"",IF(OR(D45="",F45="",H45="",I45="",L45="",M45="",$L$9&lt;&gt;"OK"),"Check all fields completed correctly",IF(AND(D45="",OR(F45&lt;&gt;"",H45&lt;&gt;"",I45&lt;&gt;"",L45&lt;&gt;"")),"Check all fields completed correctly","OK"))))</f>
        <v/>
      </c>
      <c r="W45" s="601" t="str">
        <f>IF(I45="","",IF(VLOOKUP(I45,'Eligible Technologies'!$D$7:$G$69,4,FALSE)&lt;$F$9,VLOOKUP(I45,'Eligible Technologies'!$D$7:$G$69,4,FALSE),$F$9))</f>
        <v/>
      </c>
      <c r="X45" s="602" t="str">
        <f t="shared" si="13"/>
        <v/>
      </c>
      <c r="Y45" s="602">
        <f t="shared" si="10"/>
        <v>0</v>
      </c>
      <c r="Z45" s="602" t="str">
        <f>'Extra look-up'!F39</f>
        <v/>
      </c>
      <c r="AA45" s="602" t="str">
        <f ca="1">'Extra look-up'!H39</f>
        <v>OK</v>
      </c>
      <c r="AB45" s="602">
        <f t="shared" si="11"/>
        <v>1</v>
      </c>
      <c r="AC45" s="618" t="e">
        <f t="shared" si="12"/>
        <v>#VALUE!</v>
      </c>
      <c r="AD45" s="621" t="str">
        <f ca="1">IFERROR(AVERAGE($AH$101:INDIRECT(CONCATENATE("AH"&amp;AC45))),"")</f>
        <v/>
      </c>
      <c r="AE45" s="615"/>
      <c r="AF45" s="615"/>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row>
    <row r="46" spans="1:70" s="25" customFormat="1" ht="34" hidden="1" customHeight="1" x14ac:dyDescent="0.3">
      <c r="A46" s="169">
        <v>35</v>
      </c>
      <c r="B46" s="115"/>
      <c r="C46" s="125"/>
      <c r="D46" s="117"/>
      <c r="E46" s="118"/>
      <c r="F46" s="119"/>
      <c r="G46" s="144" t="str">
        <f t="shared" si="14"/>
        <v/>
      </c>
      <c r="H46" s="391"/>
      <c r="I46" s="664"/>
      <c r="J46" s="665"/>
      <c r="K46" s="120"/>
      <c r="L46" s="121"/>
      <c r="M46" s="147" t="str">
        <f t="shared" si="6"/>
        <v/>
      </c>
      <c r="N46" s="148">
        <f t="shared" si="7"/>
        <v>0</v>
      </c>
      <c r="O46" s="122"/>
      <c r="P46" s="156" t="str">
        <f t="shared" si="15"/>
        <v/>
      </c>
      <c r="Q46" s="157" t="str">
        <f t="shared" si="2"/>
        <v/>
      </c>
      <c r="R46" s="627" t="str">
        <f t="shared" si="16"/>
        <v/>
      </c>
      <c r="S46" s="158" t="str">
        <f t="shared" si="17"/>
        <v/>
      </c>
      <c r="T46" s="158" t="str">
        <f t="shared" si="8"/>
        <v/>
      </c>
      <c r="U46" s="159" t="str">
        <f t="shared" si="9"/>
        <v/>
      </c>
      <c r="V46" s="638" t="str">
        <f>IF('Extra look-up'!$H72="Work Type","Check Work Type",IF(AND(D46="",F46="",H46="",I46="",L46="",M46=""),"",IF(OR(D46="",F46="",H46="",I46="",L46="",M46="",$L$9&lt;&gt;"OK"),"Check all fields completed correctly",IF(AND(D46="",OR(F46&lt;&gt;"",H46&lt;&gt;"",I46&lt;&gt;"",L46&lt;&gt;"")),"Check all fields completed correctly","OK"))))</f>
        <v/>
      </c>
      <c r="W46" s="601" t="str">
        <f>IF(I46="","",IF(VLOOKUP(I46,'Eligible Technologies'!$D$7:$G$69,4,FALSE)&lt;$F$9,VLOOKUP(I46,'Eligible Technologies'!$D$7:$G$69,4,FALSE),$F$9))</f>
        <v/>
      </c>
      <c r="X46" s="602" t="str">
        <f t="shared" si="13"/>
        <v/>
      </c>
      <c r="Y46" s="602">
        <f t="shared" si="10"/>
        <v>0</v>
      </c>
      <c r="Z46" s="602" t="str">
        <f>'Extra look-up'!F40</f>
        <v/>
      </c>
      <c r="AA46" s="602" t="str">
        <f ca="1">'Extra look-up'!H40</f>
        <v>OK</v>
      </c>
      <c r="AB46" s="602">
        <f t="shared" si="11"/>
        <v>1</v>
      </c>
      <c r="AC46" s="618" t="e">
        <f t="shared" si="12"/>
        <v>#VALUE!</v>
      </c>
      <c r="AD46" s="621" t="str">
        <f ca="1">IFERROR(AVERAGE($AH$101:INDIRECT(CONCATENATE("AH"&amp;AC46))),"")</f>
        <v/>
      </c>
      <c r="AE46" s="615"/>
      <c r="AF46" s="615"/>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row>
    <row r="47" spans="1:70" s="25" customFormat="1" ht="34" hidden="1" customHeight="1" x14ac:dyDescent="0.3">
      <c r="A47" s="169">
        <v>36</v>
      </c>
      <c r="B47" s="115"/>
      <c r="C47" s="125"/>
      <c r="D47" s="117"/>
      <c r="E47" s="118"/>
      <c r="F47" s="119"/>
      <c r="G47" s="144" t="str">
        <f t="shared" si="14"/>
        <v/>
      </c>
      <c r="H47" s="391"/>
      <c r="I47" s="664"/>
      <c r="J47" s="665"/>
      <c r="K47" s="120"/>
      <c r="L47" s="121"/>
      <c r="M47" s="147" t="str">
        <f t="shared" si="6"/>
        <v/>
      </c>
      <c r="N47" s="148">
        <f t="shared" si="7"/>
        <v>0</v>
      </c>
      <c r="O47" s="122"/>
      <c r="P47" s="156" t="str">
        <f t="shared" si="15"/>
        <v/>
      </c>
      <c r="Q47" s="157" t="str">
        <f t="shared" si="2"/>
        <v/>
      </c>
      <c r="R47" s="627" t="str">
        <f t="shared" si="16"/>
        <v/>
      </c>
      <c r="S47" s="158" t="str">
        <f t="shared" si="17"/>
        <v/>
      </c>
      <c r="T47" s="158" t="str">
        <f t="shared" si="8"/>
        <v/>
      </c>
      <c r="U47" s="159" t="str">
        <f t="shared" si="9"/>
        <v/>
      </c>
      <c r="V47" s="638" t="str">
        <f>IF('Extra look-up'!$H73="Work Type","Check Work Type",IF(AND(D47="",F47="",H47="",I47="",L47="",M47=""),"",IF(OR(D47="",F47="",H47="",I47="",L47="",M47="",$L$9&lt;&gt;"OK"),"Check all fields completed correctly",IF(AND(D47="",OR(F47&lt;&gt;"",H47&lt;&gt;"",I47&lt;&gt;"",L47&lt;&gt;"")),"Check all fields completed correctly","OK"))))</f>
        <v/>
      </c>
      <c r="W47" s="601" t="str">
        <f>IF(I47="","",IF(VLOOKUP(I47,'Eligible Technologies'!$D$7:$G$69,4,FALSE)&lt;$F$9,VLOOKUP(I47,'Eligible Technologies'!$D$7:$G$69,4,FALSE),$F$9))</f>
        <v/>
      </c>
      <c r="X47" s="602" t="str">
        <f t="shared" si="13"/>
        <v/>
      </c>
      <c r="Y47" s="602">
        <f t="shared" si="10"/>
        <v>0</v>
      </c>
      <c r="Z47" s="602" t="str">
        <f>'Extra look-up'!F41</f>
        <v/>
      </c>
      <c r="AA47" s="602" t="str">
        <f ca="1">'Extra look-up'!H41</f>
        <v>OK</v>
      </c>
      <c r="AB47" s="602">
        <f t="shared" si="11"/>
        <v>1</v>
      </c>
      <c r="AC47" s="618" t="e">
        <f t="shared" si="12"/>
        <v>#VALUE!</v>
      </c>
      <c r="AD47" s="621" t="str">
        <f ca="1">IFERROR(AVERAGE($AH$101:INDIRECT(CONCATENATE("AH"&amp;AC47))),"")</f>
        <v/>
      </c>
      <c r="AE47" s="615"/>
      <c r="AF47" s="615"/>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row>
    <row r="48" spans="1:70" s="25" customFormat="1" ht="34" hidden="1" customHeight="1" x14ac:dyDescent="0.3">
      <c r="A48" s="169">
        <v>37</v>
      </c>
      <c r="B48" s="115"/>
      <c r="C48" s="125"/>
      <c r="D48" s="117"/>
      <c r="E48" s="118"/>
      <c r="F48" s="119"/>
      <c r="G48" s="144" t="str">
        <f t="shared" si="14"/>
        <v/>
      </c>
      <c r="H48" s="391"/>
      <c r="I48" s="664"/>
      <c r="J48" s="665"/>
      <c r="K48" s="120"/>
      <c r="L48" s="121"/>
      <c r="M48" s="147" t="str">
        <f t="shared" si="6"/>
        <v/>
      </c>
      <c r="N48" s="148">
        <f t="shared" si="7"/>
        <v>0</v>
      </c>
      <c r="O48" s="122"/>
      <c r="P48" s="156" t="str">
        <f t="shared" si="15"/>
        <v/>
      </c>
      <c r="Q48" s="157" t="str">
        <f t="shared" si="2"/>
        <v/>
      </c>
      <c r="R48" s="627" t="str">
        <f t="shared" si="16"/>
        <v/>
      </c>
      <c r="S48" s="158" t="str">
        <f t="shared" si="17"/>
        <v/>
      </c>
      <c r="T48" s="158" t="str">
        <f t="shared" si="8"/>
        <v/>
      </c>
      <c r="U48" s="159" t="str">
        <f t="shared" si="9"/>
        <v/>
      </c>
      <c r="V48" s="638" t="str">
        <f>IF('Extra look-up'!$H74="Work Type","Check Work Type",IF(AND(D48="",F48="",H48="",I48="",L48="",M48=""),"",IF(OR(D48="",F48="",H48="",I48="",L48="",M48="",$L$9&lt;&gt;"OK"),"Check all fields completed correctly",IF(AND(D48="",OR(F48&lt;&gt;"",H48&lt;&gt;"",I48&lt;&gt;"",L48&lt;&gt;"")),"Check all fields completed correctly","OK"))))</f>
        <v/>
      </c>
      <c r="W48" s="601" t="str">
        <f>IF(I48="","",IF(VLOOKUP(I48,'Eligible Technologies'!$D$7:$G$69,4,FALSE)&lt;$F$9,VLOOKUP(I48,'Eligible Technologies'!$D$7:$G$69,4,FALSE),$F$9))</f>
        <v/>
      </c>
      <c r="X48" s="602" t="str">
        <f t="shared" si="13"/>
        <v/>
      </c>
      <c r="Y48" s="602">
        <f t="shared" si="10"/>
        <v>0</v>
      </c>
      <c r="Z48" s="602" t="str">
        <f>'Extra look-up'!F42</f>
        <v/>
      </c>
      <c r="AA48" s="602" t="str">
        <f ca="1">'Extra look-up'!H42</f>
        <v>OK</v>
      </c>
      <c r="AB48" s="602">
        <f t="shared" si="11"/>
        <v>1</v>
      </c>
      <c r="AC48" s="618" t="e">
        <f t="shared" si="12"/>
        <v>#VALUE!</v>
      </c>
      <c r="AD48" s="621" t="str">
        <f ca="1">IFERROR(AVERAGE($AH$101:INDIRECT(CONCATENATE("AH"&amp;AC48))),"")</f>
        <v/>
      </c>
      <c r="AE48" s="615"/>
      <c r="AF48" s="615"/>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row>
    <row r="49" spans="1:70" s="25" customFormat="1" ht="34" hidden="1" customHeight="1" x14ac:dyDescent="0.3">
      <c r="A49" s="169">
        <v>38</v>
      </c>
      <c r="B49" s="115"/>
      <c r="C49" s="125"/>
      <c r="D49" s="117"/>
      <c r="E49" s="118"/>
      <c r="F49" s="119"/>
      <c r="G49" s="144" t="str">
        <f t="shared" si="14"/>
        <v/>
      </c>
      <c r="H49" s="391"/>
      <c r="I49" s="664"/>
      <c r="J49" s="665"/>
      <c r="K49" s="120"/>
      <c r="L49" s="121"/>
      <c r="M49" s="147" t="str">
        <f t="shared" si="6"/>
        <v/>
      </c>
      <c r="N49" s="148">
        <f t="shared" si="7"/>
        <v>0</v>
      </c>
      <c r="O49" s="122"/>
      <c r="P49" s="156" t="str">
        <f t="shared" si="15"/>
        <v/>
      </c>
      <c r="Q49" s="157" t="str">
        <f t="shared" si="2"/>
        <v/>
      </c>
      <c r="R49" s="627" t="str">
        <f t="shared" si="16"/>
        <v/>
      </c>
      <c r="S49" s="158" t="str">
        <f t="shared" si="17"/>
        <v/>
      </c>
      <c r="T49" s="158" t="str">
        <f t="shared" si="8"/>
        <v/>
      </c>
      <c r="U49" s="159" t="str">
        <f t="shared" si="9"/>
        <v/>
      </c>
      <c r="V49" s="638" t="str">
        <f>IF('Extra look-up'!$H75="Work Type","Check Work Type",IF(AND(D49="",F49="",H49="",I49="",L49="",M49=""),"",IF(OR(D49="",F49="",H49="",I49="",L49="",M49="",$L$9&lt;&gt;"OK"),"Check all fields completed correctly",IF(AND(D49="",OR(F49&lt;&gt;"",H49&lt;&gt;"",I49&lt;&gt;"",L49&lt;&gt;"")),"Check all fields completed correctly","OK"))))</f>
        <v/>
      </c>
      <c r="W49" s="601" t="str">
        <f>IF(I49="","",IF(VLOOKUP(I49,'Eligible Technologies'!$D$7:$G$69,4,FALSE)&lt;$F$9,VLOOKUP(I49,'Eligible Technologies'!$D$7:$G$69,4,FALSE),$F$9))</f>
        <v/>
      </c>
      <c r="X49" s="602" t="str">
        <f t="shared" si="13"/>
        <v/>
      </c>
      <c r="Y49" s="602">
        <f t="shared" si="10"/>
        <v>0</v>
      </c>
      <c r="Z49" s="602" t="str">
        <f>'Extra look-up'!F43</f>
        <v/>
      </c>
      <c r="AA49" s="602" t="str">
        <f ca="1">'Extra look-up'!H43</f>
        <v>OK</v>
      </c>
      <c r="AB49" s="602">
        <f t="shared" si="11"/>
        <v>1</v>
      </c>
      <c r="AC49" s="618" t="e">
        <f t="shared" si="12"/>
        <v>#VALUE!</v>
      </c>
      <c r="AD49" s="621" t="str">
        <f ca="1">IFERROR(AVERAGE($AH$101:INDIRECT(CONCATENATE("AH"&amp;AC49))),"")</f>
        <v/>
      </c>
      <c r="AE49" s="615"/>
      <c r="AF49" s="615"/>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row>
    <row r="50" spans="1:70" s="25" customFormat="1" ht="34" hidden="1" customHeight="1" x14ac:dyDescent="0.3">
      <c r="A50" s="169">
        <v>39</v>
      </c>
      <c r="B50" s="115"/>
      <c r="C50" s="125"/>
      <c r="D50" s="117"/>
      <c r="E50" s="118"/>
      <c r="F50" s="119"/>
      <c r="G50" s="144" t="str">
        <f t="shared" si="14"/>
        <v/>
      </c>
      <c r="H50" s="391"/>
      <c r="I50" s="664"/>
      <c r="J50" s="665"/>
      <c r="K50" s="120"/>
      <c r="L50" s="121"/>
      <c r="M50" s="147" t="str">
        <f t="shared" si="6"/>
        <v/>
      </c>
      <c r="N50" s="148">
        <f t="shared" si="7"/>
        <v>0</v>
      </c>
      <c r="O50" s="122"/>
      <c r="P50" s="156" t="str">
        <f t="shared" si="15"/>
        <v/>
      </c>
      <c r="Q50" s="157" t="str">
        <f t="shared" si="2"/>
        <v/>
      </c>
      <c r="R50" s="627" t="str">
        <f t="shared" si="16"/>
        <v/>
      </c>
      <c r="S50" s="158" t="str">
        <f t="shared" si="17"/>
        <v/>
      </c>
      <c r="T50" s="158" t="str">
        <f t="shared" si="8"/>
        <v/>
      </c>
      <c r="U50" s="159" t="str">
        <f t="shared" si="9"/>
        <v/>
      </c>
      <c r="V50" s="638" t="str">
        <f>IF('Extra look-up'!$H76="Work Type","Check Work Type",IF(AND(D50="",F50="",H50="",I50="",L50="",M50=""),"",IF(OR(D50="",F50="",H50="",I50="",L50="",M50="",$L$9&lt;&gt;"OK"),"Check all fields completed correctly",IF(AND(D50="",OR(F50&lt;&gt;"",H50&lt;&gt;"",I50&lt;&gt;"",L50&lt;&gt;"")),"Check all fields completed correctly","OK"))))</f>
        <v/>
      </c>
      <c r="W50" s="601" t="str">
        <f>IF(I50="","",IF(VLOOKUP(I50,'Eligible Technologies'!$D$7:$G$69,4,FALSE)&lt;$F$9,VLOOKUP(I50,'Eligible Technologies'!$D$7:$G$69,4,FALSE),$F$9))</f>
        <v/>
      </c>
      <c r="X50" s="602" t="str">
        <f t="shared" si="13"/>
        <v/>
      </c>
      <c r="Y50" s="602">
        <f t="shared" si="10"/>
        <v>0</v>
      </c>
      <c r="Z50" s="602" t="str">
        <f>'Extra look-up'!F44</f>
        <v/>
      </c>
      <c r="AA50" s="602" t="str">
        <f ca="1">'Extra look-up'!H44</f>
        <v>OK</v>
      </c>
      <c r="AB50" s="602">
        <f t="shared" si="11"/>
        <v>1</v>
      </c>
      <c r="AC50" s="618" t="e">
        <f t="shared" si="12"/>
        <v>#VALUE!</v>
      </c>
      <c r="AD50" s="621" t="str">
        <f ca="1">IFERROR(AVERAGE($AH$101:INDIRECT(CONCATENATE("AH"&amp;AC50))),"")</f>
        <v/>
      </c>
      <c r="AE50" s="615"/>
      <c r="AF50" s="615"/>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row>
    <row r="51" spans="1:70" s="25" customFormat="1" ht="34" hidden="1" customHeight="1" x14ac:dyDescent="0.3">
      <c r="A51" s="169">
        <v>40</v>
      </c>
      <c r="B51" s="115"/>
      <c r="C51" s="125"/>
      <c r="D51" s="117"/>
      <c r="E51" s="118"/>
      <c r="F51" s="119"/>
      <c r="G51" s="144" t="str">
        <f t="shared" si="14"/>
        <v/>
      </c>
      <c r="H51" s="391"/>
      <c r="I51" s="664"/>
      <c r="J51" s="665"/>
      <c r="K51" s="120"/>
      <c r="L51" s="121"/>
      <c r="M51" s="147" t="str">
        <f t="shared" si="6"/>
        <v/>
      </c>
      <c r="N51" s="148">
        <f t="shared" si="7"/>
        <v>0</v>
      </c>
      <c r="O51" s="122"/>
      <c r="P51" s="156" t="str">
        <f t="shared" si="15"/>
        <v/>
      </c>
      <c r="Q51" s="157" t="str">
        <f t="shared" si="2"/>
        <v/>
      </c>
      <c r="R51" s="627" t="str">
        <f t="shared" si="16"/>
        <v/>
      </c>
      <c r="S51" s="158" t="str">
        <f t="shared" si="17"/>
        <v/>
      </c>
      <c r="T51" s="158" t="str">
        <f t="shared" si="8"/>
        <v/>
      </c>
      <c r="U51" s="159" t="str">
        <f t="shared" si="9"/>
        <v/>
      </c>
      <c r="V51" s="638" t="str">
        <f>IF('Extra look-up'!$H77="Work Type","Check Work Type",IF(AND(D51="",F51="",H51="",I51="",L51="",M51=""),"",IF(OR(D51="",F51="",H51="",I51="",L51="",M51="",$L$9&lt;&gt;"OK"),"Check all fields completed correctly",IF(AND(D51="",OR(F51&lt;&gt;"",H51&lt;&gt;"",I51&lt;&gt;"",L51&lt;&gt;"")),"Check all fields completed correctly","OK"))))</f>
        <v/>
      </c>
      <c r="W51" s="601" t="str">
        <f>IF(I51="","",IF(VLOOKUP(I51,'Eligible Technologies'!$D$7:$G$69,4,FALSE)&lt;$F$9,VLOOKUP(I51,'Eligible Technologies'!$D$7:$G$69,4,FALSE),$F$9))</f>
        <v/>
      </c>
      <c r="X51" s="602" t="str">
        <f t="shared" si="13"/>
        <v/>
      </c>
      <c r="Y51" s="602">
        <f t="shared" si="10"/>
        <v>0</v>
      </c>
      <c r="Z51" s="602" t="str">
        <f>'Extra look-up'!F45</f>
        <v/>
      </c>
      <c r="AA51" s="602" t="str">
        <f ca="1">'Extra look-up'!H45</f>
        <v>OK</v>
      </c>
      <c r="AB51" s="602">
        <f t="shared" si="11"/>
        <v>1</v>
      </c>
      <c r="AC51" s="618" t="e">
        <f t="shared" si="12"/>
        <v>#VALUE!</v>
      </c>
      <c r="AD51" s="621" t="str">
        <f ca="1">IFERROR(AVERAGE($AH$101:INDIRECT(CONCATENATE("AH"&amp;AC51))),"")</f>
        <v/>
      </c>
      <c r="AE51" s="615"/>
      <c r="AF51" s="615"/>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row>
    <row r="52" spans="1:70" s="25" customFormat="1" ht="34" hidden="1" customHeight="1" x14ac:dyDescent="0.3">
      <c r="A52" s="169">
        <v>41</v>
      </c>
      <c r="B52" s="115"/>
      <c r="C52" s="125"/>
      <c r="D52" s="117"/>
      <c r="E52" s="118"/>
      <c r="F52" s="119"/>
      <c r="G52" s="144" t="str">
        <f t="shared" si="14"/>
        <v/>
      </c>
      <c r="H52" s="391"/>
      <c r="I52" s="664"/>
      <c r="J52" s="665"/>
      <c r="K52" s="120"/>
      <c r="L52" s="121"/>
      <c r="M52" s="147" t="str">
        <f t="shared" si="6"/>
        <v/>
      </c>
      <c r="N52" s="148">
        <f t="shared" si="7"/>
        <v>0</v>
      </c>
      <c r="O52" s="122"/>
      <c r="P52" s="156" t="str">
        <f t="shared" si="15"/>
        <v/>
      </c>
      <c r="Q52" s="157" t="str">
        <f t="shared" si="2"/>
        <v/>
      </c>
      <c r="R52" s="627" t="str">
        <f t="shared" si="16"/>
        <v/>
      </c>
      <c r="S52" s="158" t="str">
        <f t="shared" si="17"/>
        <v/>
      </c>
      <c r="T52" s="158" t="str">
        <f t="shared" si="8"/>
        <v/>
      </c>
      <c r="U52" s="159" t="str">
        <f t="shared" si="9"/>
        <v/>
      </c>
      <c r="V52" s="638" t="str">
        <f>IF('Extra look-up'!$H78="Work Type","Check Work Type",IF(AND(D52="",F52="",H52="",I52="",L52="",M52=""),"",IF(OR(D52="",F52="",H52="",I52="",L52="",M52="",$L$9&lt;&gt;"OK"),"Check all fields completed correctly",IF(AND(D52="",OR(F52&lt;&gt;"",H52&lt;&gt;"",I52&lt;&gt;"",L52&lt;&gt;"")),"Check all fields completed correctly","OK"))))</f>
        <v/>
      </c>
      <c r="W52" s="601" t="str">
        <f>IF(I52="","",IF(VLOOKUP(I52,'Eligible Technologies'!$D$7:$G$69,4,FALSE)&lt;$F$9,VLOOKUP(I52,'Eligible Technologies'!$D$7:$G$69,4,FALSE),$F$9))</f>
        <v/>
      </c>
      <c r="X52" s="602" t="str">
        <f t="shared" si="13"/>
        <v/>
      </c>
      <c r="Y52" s="602">
        <f t="shared" si="10"/>
        <v>0</v>
      </c>
      <c r="Z52" s="602" t="str">
        <f>'Extra look-up'!F46</f>
        <v/>
      </c>
      <c r="AA52" s="602" t="str">
        <f ca="1">'Extra look-up'!H46</f>
        <v>OK</v>
      </c>
      <c r="AB52" s="602">
        <f t="shared" si="11"/>
        <v>1</v>
      </c>
      <c r="AC52" s="618" t="e">
        <f t="shared" si="12"/>
        <v>#VALUE!</v>
      </c>
      <c r="AD52" s="621" t="str">
        <f ca="1">IFERROR(AVERAGE($AH$101:INDIRECT(CONCATENATE("AH"&amp;AC52))),"")</f>
        <v/>
      </c>
      <c r="AE52" s="615"/>
      <c r="AF52" s="615"/>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row>
    <row r="53" spans="1:70" s="25" customFormat="1" ht="34" hidden="1" customHeight="1" x14ac:dyDescent="0.3">
      <c r="A53" s="169">
        <v>42</v>
      </c>
      <c r="B53" s="115"/>
      <c r="C53" s="125"/>
      <c r="D53" s="117"/>
      <c r="E53" s="118"/>
      <c r="F53" s="119"/>
      <c r="G53" s="144" t="str">
        <f t="shared" si="14"/>
        <v/>
      </c>
      <c r="H53" s="391"/>
      <c r="I53" s="664"/>
      <c r="J53" s="665"/>
      <c r="K53" s="120"/>
      <c r="L53" s="121"/>
      <c r="M53" s="147" t="str">
        <f t="shared" si="6"/>
        <v/>
      </c>
      <c r="N53" s="148">
        <f t="shared" si="7"/>
        <v>0</v>
      </c>
      <c r="O53" s="122"/>
      <c r="P53" s="156" t="str">
        <f t="shared" si="15"/>
        <v/>
      </c>
      <c r="Q53" s="157" t="str">
        <f t="shared" si="2"/>
        <v/>
      </c>
      <c r="R53" s="627" t="str">
        <f t="shared" si="16"/>
        <v/>
      </c>
      <c r="S53" s="158" t="str">
        <f t="shared" si="17"/>
        <v/>
      </c>
      <c r="T53" s="158" t="str">
        <f t="shared" si="8"/>
        <v/>
      </c>
      <c r="U53" s="159" t="str">
        <f t="shared" si="9"/>
        <v/>
      </c>
      <c r="V53" s="638" t="str">
        <f>IF('Extra look-up'!$H79="Work Type","Check Work Type",IF(AND(D53="",F53="",H53="",I53="",L53="",M53=""),"",IF(OR(D53="",F53="",H53="",I53="",L53="",M53="",$L$9&lt;&gt;"OK"),"Check all fields completed correctly",IF(AND(D53="",OR(F53&lt;&gt;"",H53&lt;&gt;"",I53&lt;&gt;"",L53&lt;&gt;"")),"Check all fields completed correctly","OK"))))</f>
        <v/>
      </c>
      <c r="W53" s="601" t="str">
        <f>IF(I53="","",IF(VLOOKUP(I53,'Eligible Technologies'!$D$7:$G$69,4,FALSE)&lt;$F$9,VLOOKUP(I53,'Eligible Technologies'!$D$7:$G$69,4,FALSE),$F$9))</f>
        <v/>
      </c>
      <c r="X53" s="602" t="str">
        <f t="shared" si="13"/>
        <v/>
      </c>
      <c r="Y53" s="602">
        <f t="shared" si="10"/>
        <v>0</v>
      </c>
      <c r="Z53" s="602" t="str">
        <f>'Extra look-up'!F47</f>
        <v/>
      </c>
      <c r="AA53" s="602" t="str">
        <f ca="1">'Extra look-up'!H47</f>
        <v>OK</v>
      </c>
      <c r="AB53" s="602">
        <f t="shared" si="11"/>
        <v>1</v>
      </c>
      <c r="AC53" s="618" t="e">
        <f t="shared" si="12"/>
        <v>#VALUE!</v>
      </c>
      <c r="AD53" s="621" t="str">
        <f ca="1">IFERROR(AVERAGE($AH$101:INDIRECT(CONCATENATE("AH"&amp;AC53))),"")</f>
        <v/>
      </c>
      <c r="AE53" s="615"/>
      <c r="AF53" s="615"/>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row>
    <row r="54" spans="1:70" s="25" customFormat="1" ht="34" hidden="1" customHeight="1" x14ac:dyDescent="0.3">
      <c r="A54" s="169">
        <v>43</v>
      </c>
      <c r="B54" s="115"/>
      <c r="C54" s="125"/>
      <c r="D54" s="117"/>
      <c r="E54" s="118"/>
      <c r="F54" s="119"/>
      <c r="G54" s="144" t="str">
        <f t="shared" si="14"/>
        <v/>
      </c>
      <c r="H54" s="391"/>
      <c r="I54" s="664"/>
      <c r="J54" s="665"/>
      <c r="K54" s="120"/>
      <c r="L54" s="121"/>
      <c r="M54" s="147" t="str">
        <f t="shared" si="6"/>
        <v/>
      </c>
      <c r="N54" s="148">
        <f t="shared" si="7"/>
        <v>0</v>
      </c>
      <c r="O54" s="122"/>
      <c r="P54" s="156" t="str">
        <f t="shared" si="15"/>
        <v/>
      </c>
      <c r="Q54" s="157" t="str">
        <f t="shared" si="2"/>
        <v/>
      </c>
      <c r="R54" s="627" t="str">
        <f t="shared" si="16"/>
        <v/>
      </c>
      <c r="S54" s="158" t="str">
        <f t="shared" si="17"/>
        <v/>
      </c>
      <c r="T54" s="158" t="str">
        <f t="shared" si="8"/>
        <v/>
      </c>
      <c r="U54" s="159" t="str">
        <f t="shared" si="9"/>
        <v/>
      </c>
      <c r="V54" s="638" t="str">
        <f>IF('Extra look-up'!$H80="Work Type","Check Work Type",IF(AND(D54="",F54="",H54="",I54="",L54="",M54=""),"",IF(OR(D54="",F54="",H54="",I54="",L54="",M54="",$L$9&lt;&gt;"OK"),"Check all fields completed correctly",IF(AND(D54="",OR(F54&lt;&gt;"",H54&lt;&gt;"",I54&lt;&gt;"",L54&lt;&gt;"")),"Check all fields completed correctly","OK"))))</f>
        <v/>
      </c>
      <c r="W54" s="601" t="str">
        <f>IF(I54="","",IF(VLOOKUP(I54,'Eligible Technologies'!$D$7:$G$69,4,FALSE)&lt;$F$9,VLOOKUP(I54,'Eligible Technologies'!$D$7:$G$69,4,FALSE),$F$9))</f>
        <v/>
      </c>
      <c r="X54" s="602" t="str">
        <f t="shared" si="13"/>
        <v/>
      </c>
      <c r="Y54" s="602">
        <f t="shared" si="10"/>
        <v>0</v>
      </c>
      <c r="Z54" s="602" t="str">
        <f>'Extra look-up'!F48</f>
        <v/>
      </c>
      <c r="AA54" s="602" t="str">
        <f ca="1">'Extra look-up'!H48</f>
        <v>OK</v>
      </c>
      <c r="AB54" s="602">
        <f t="shared" si="11"/>
        <v>1</v>
      </c>
      <c r="AC54" s="618" t="e">
        <f t="shared" si="12"/>
        <v>#VALUE!</v>
      </c>
      <c r="AD54" s="621" t="str">
        <f ca="1">IFERROR(AVERAGE($AH$101:INDIRECT(CONCATENATE("AH"&amp;AC54))),"")</f>
        <v/>
      </c>
      <c r="AE54" s="615"/>
      <c r="AF54" s="615"/>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row>
    <row r="55" spans="1:70" s="25" customFormat="1" ht="34" hidden="1" customHeight="1" x14ac:dyDescent="0.3">
      <c r="A55" s="169">
        <v>44</v>
      </c>
      <c r="B55" s="115"/>
      <c r="C55" s="125"/>
      <c r="D55" s="117"/>
      <c r="E55" s="118"/>
      <c r="F55" s="119"/>
      <c r="G55" s="144" t="str">
        <f t="shared" si="14"/>
        <v/>
      </c>
      <c r="H55" s="391"/>
      <c r="I55" s="664"/>
      <c r="J55" s="665"/>
      <c r="K55" s="120"/>
      <c r="L55" s="121"/>
      <c r="M55" s="147" t="str">
        <f t="shared" si="6"/>
        <v/>
      </c>
      <c r="N55" s="148">
        <f t="shared" si="7"/>
        <v>0</v>
      </c>
      <c r="O55" s="122"/>
      <c r="P55" s="156" t="str">
        <f t="shared" si="15"/>
        <v/>
      </c>
      <c r="Q55" s="157" t="str">
        <f t="shared" si="2"/>
        <v/>
      </c>
      <c r="R55" s="627" t="str">
        <f t="shared" si="16"/>
        <v/>
      </c>
      <c r="S55" s="158" t="str">
        <f t="shared" si="17"/>
        <v/>
      </c>
      <c r="T55" s="158" t="str">
        <f t="shared" si="8"/>
        <v/>
      </c>
      <c r="U55" s="159" t="str">
        <f t="shared" si="9"/>
        <v/>
      </c>
      <c r="V55" s="638" t="str">
        <f>IF('Extra look-up'!$H81="Work Type","Check Work Type",IF(AND(D55="",F55="",H55="",I55="",L55="",M55=""),"",IF(OR(D55="",F55="",H55="",I55="",L55="",M55="",$L$9&lt;&gt;"OK"),"Check all fields completed correctly",IF(AND(D55="",OR(F55&lt;&gt;"",H55&lt;&gt;"",I55&lt;&gt;"",L55&lt;&gt;"")),"Check all fields completed correctly","OK"))))</f>
        <v/>
      </c>
      <c r="W55" s="601" t="str">
        <f>IF(I55="","",IF(VLOOKUP(I55,'Eligible Technologies'!$D$7:$G$69,4,FALSE)&lt;$F$9,VLOOKUP(I55,'Eligible Technologies'!$D$7:$G$69,4,FALSE),$F$9))</f>
        <v/>
      </c>
      <c r="X55" s="602" t="str">
        <f t="shared" si="13"/>
        <v/>
      </c>
      <c r="Y55" s="602">
        <f t="shared" si="10"/>
        <v>0</v>
      </c>
      <c r="Z55" s="602" t="str">
        <f>'Extra look-up'!F49</f>
        <v/>
      </c>
      <c r="AA55" s="602" t="str">
        <f ca="1">'Extra look-up'!H49</f>
        <v>OK</v>
      </c>
      <c r="AB55" s="602">
        <f t="shared" si="11"/>
        <v>1</v>
      </c>
      <c r="AC55" s="618" t="e">
        <f t="shared" si="12"/>
        <v>#VALUE!</v>
      </c>
      <c r="AD55" s="621" t="str">
        <f ca="1">IFERROR(AVERAGE($AH$101:INDIRECT(CONCATENATE("AH"&amp;AC55))),"")</f>
        <v/>
      </c>
      <c r="AE55" s="615"/>
      <c r="AF55" s="615"/>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row>
    <row r="56" spans="1:70" s="25" customFormat="1" ht="34" hidden="1" customHeight="1" x14ac:dyDescent="0.3">
      <c r="A56" s="169">
        <v>45</v>
      </c>
      <c r="B56" s="115"/>
      <c r="C56" s="125"/>
      <c r="D56" s="117"/>
      <c r="E56" s="118"/>
      <c r="F56" s="119"/>
      <c r="G56" s="144" t="str">
        <f t="shared" si="14"/>
        <v/>
      </c>
      <c r="H56" s="391"/>
      <c r="I56" s="664"/>
      <c r="J56" s="665"/>
      <c r="K56" s="120"/>
      <c r="L56" s="121"/>
      <c r="M56" s="147" t="str">
        <f t="shared" si="6"/>
        <v/>
      </c>
      <c r="N56" s="148">
        <f t="shared" si="7"/>
        <v>0</v>
      </c>
      <c r="O56" s="122"/>
      <c r="P56" s="156" t="str">
        <f t="shared" si="15"/>
        <v/>
      </c>
      <c r="Q56" s="157" t="str">
        <f t="shared" si="2"/>
        <v/>
      </c>
      <c r="R56" s="627" t="str">
        <f t="shared" si="16"/>
        <v/>
      </c>
      <c r="S56" s="158" t="str">
        <f t="shared" si="17"/>
        <v/>
      </c>
      <c r="T56" s="158" t="str">
        <f t="shared" si="8"/>
        <v/>
      </c>
      <c r="U56" s="159" t="str">
        <f t="shared" si="9"/>
        <v/>
      </c>
      <c r="V56" s="638" t="str">
        <f>IF('Extra look-up'!$H82="Work Type","Check Work Type",IF(AND(D56="",F56="",H56="",I56="",L56="",M56=""),"",IF(OR(D56="",F56="",H56="",I56="",L56="",M56="",$L$9&lt;&gt;"OK"),"Check all fields completed correctly",IF(AND(D56="",OR(F56&lt;&gt;"",H56&lt;&gt;"",I56&lt;&gt;"",L56&lt;&gt;"")),"Check all fields completed correctly","OK"))))</f>
        <v/>
      </c>
      <c r="W56" s="601" t="str">
        <f>IF(I56="","",IF(VLOOKUP(I56,'Eligible Technologies'!$D$7:$G$69,4,FALSE)&lt;$F$9,VLOOKUP(I56,'Eligible Technologies'!$D$7:$G$69,4,FALSE),$F$9))</f>
        <v/>
      </c>
      <c r="X56" s="602" t="str">
        <f t="shared" si="13"/>
        <v/>
      </c>
      <c r="Y56" s="602">
        <f t="shared" si="10"/>
        <v>0</v>
      </c>
      <c r="Z56" s="602" t="str">
        <f>'Extra look-up'!F50</f>
        <v/>
      </c>
      <c r="AA56" s="602" t="str">
        <f ca="1">'Extra look-up'!H50</f>
        <v>OK</v>
      </c>
      <c r="AB56" s="602">
        <f t="shared" si="11"/>
        <v>1</v>
      </c>
      <c r="AC56" s="618" t="e">
        <f t="shared" si="12"/>
        <v>#VALUE!</v>
      </c>
      <c r="AD56" s="621" t="str">
        <f ca="1">IFERROR(AVERAGE($AH$101:INDIRECT(CONCATENATE("AH"&amp;AC56))),"")</f>
        <v/>
      </c>
      <c r="AE56" s="615"/>
      <c r="AF56" s="615"/>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row>
    <row r="57" spans="1:70" s="25" customFormat="1" ht="34" hidden="1" customHeight="1" x14ac:dyDescent="0.3">
      <c r="A57" s="169">
        <v>46</v>
      </c>
      <c r="B57" s="115"/>
      <c r="C57" s="125"/>
      <c r="D57" s="117"/>
      <c r="E57" s="118"/>
      <c r="F57" s="119"/>
      <c r="G57" s="144" t="str">
        <f t="shared" si="14"/>
        <v/>
      </c>
      <c r="H57" s="391"/>
      <c r="I57" s="664"/>
      <c r="J57" s="665"/>
      <c r="K57" s="120"/>
      <c r="L57" s="121"/>
      <c r="M57" s="147" t="str">
        <f t="shared" si="6"/>
        <v/>
      </c>
      <c r="N57" s="148">
        <f t="shared" si="7"/>
        <v>0</v>
      </c>
      <c r="O57" s="122"/>
      <c r="P57" s="156" t="str">
        <f t="shared" si="15"/>
        <v/>
      </c>
      <c r="Q57" s="157" t="str">
        <f t="shared" si="2"/>
        <v/>
      </c>
      <c r="R57" s="627" t="str">
        <f t="shared" si="16"/>
        <v/>
      </c>
      <c r="S57" s="158" t="str">
        <f t="shared" si="17"/>
        <v/>
      </c>
      <c r="T57" s="158" t="str">
        <f t="shared" si="8"/>
        <v/>
      </c>
      <c r="U57" s="159" t="str">
        <f t="shared" si="9"/>
        <v/>
      </c>
      <c r="V57" s="638" t="str">
        <f>IF('Extra look-up'!$H83="Work Type","Check Work Type",IF(AND(D57="",F57="",H57="",I57="",L57="",M57=""),"",IF(OR(D57="",F57="",H57="",I57="",L57="",M57="",$L$9&lt;&gt;"OK"),"Check all fields completed correctly",IF(AND(D57="",OR(F57&lt;&gt;"",H57&lt;&gt;"",I57&lt;&gt;"",L57&lt;&gt;"")),"Check all fields completed correctly","OK"))))</f>
        <v/>
      </c>
      <c r="W57" s="601" t="str">
        <f>IF(I57="","",IF(VLOOKUP(I57,'Eligible Technologies'!$D$7:$G$69,4,FALSE)&lt;$F$9,VLOOKUP(I57,'Eligible Technologies'!$D$7:$G$69,4,FALSE),$F$9))</f>
        <v/>
      </c>
      <c r="X57" s="602" t="str">
        <f t="shared" si="13"/>
        <v/>
      </c>
      <c r="Y57" s="602">
        <f t="shared" si="10"/>
        <v>0</v>
      </c>
      <c r="Z57" s="602" t="str">
        <f>'Extra look-up'!F51</f>
        <v/>
      </c>
      <c r="AA57" s="602" t="str">
        <f ca="1">'Extra look-up'!H51</f>
        <v>OK</v>
      </c>
      <c r="AB57" s="602">
        <f t="shared" si="11"/>
        <v>1</v>
      </c>
      <c r="AC57" s="618" t="e">
        <f t="shared" si="12"/>
        <v>#VALUE!</v>
      </c>
      <c r="AD57" s="621" t="str">
        <f ca="1">IFERROR(AVERAGE($AH$101:INDIRECT(CONCATENATE("AH"&amp;AC57))),"")</f>
        <v/>
      </c>
      <c r="AE57" s="615"/>
      <c r="AF57" s="615"/>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row>
    <row r="58" spans="1:70" s="25" customFormat="1" ht="34" hidden="1" customHeight="1" x14ac:dyDescent="0.3">
      <c r="A58" s="169">
        <v>47</v>
      </c>
      <c r="B58" s="115"/>
      <c r="C58" s="125"/>
      <c r="D58" s="117"/>
      <c r="E58" s="118"/>
      <c r="F58" s="119"/>
      <c r="G58" s="144" t="str">
        <f t="shared" si="14"/>
        <v/>
      </c>
      <c r="H58" s="391"/>
      <c r="I58" s="664"/>
      <c r="J58" s="665"/>
      <c r="K58" s="120"/>
      <c r="L58" s="121"/>
      <c r="M58" s="147" t="str">
        <f t="shared" si="6"/>
        <v/>
      </c>
      <c r="N58" s="148">
        <f t="shared" si="7"/>
        <v>0</v>
      </c>
      <c r="O58" s="122"/>
      <c r="P58" s="156" t="str">
        <f t="shared" si="15"/>
        <v/>
      </c>
      <c r="Q58" s="157" t="str">
        <f t="shared" si="2"/>
        <v/>
      </c>
      <c r="R58" s="627" t="str">
        <f t="shared" si="16"/>
        <v/>
      </c>
      <c r="S58" s="158" t="str">
        <f t="shared" si="17"/>
        <v/>
      </c>
      <c r="T58" s="158" t="str">
        <f t="shared" si="8"/>
        <v/>
      </c>
      <c r="U58" s="159" t="str">
        <f t="shared" si="9"/>
        <v/>
      </c>
      <c r="V58" s="638" t="str">
        <f>IF('Extra look-up'!$H84="Work Type","Check Work Type",IF(AND(D58="",F58="",H58="",I58="",L58="",M58=""),"",IF(OR(D58="",F58="",H58="",I58="",L58="",M58="",$L$9&lt;&gt;"OK"),"Check all fields completed correctly",IF(AND(D58="",OR(F58&lt;&gt;"",H58&lt;&gt;"",I58&lt;&gt;"",L58&lt;&gt;"")),"Check all fields completed correctly","OK"))))</f>
        <v/>
      </c>
      <c r="W58" s="601" t="str">
        <f>IF(I58="","",IF(VLOOKUP(I58,'Eligible Technologies'!$D$7:$G$69,4,FALSE)&lt;$F$9,VLOOKUP(I58,'Eligible Technologies'!$D$7:$G$69,4,FALSE),$F$9))</f>
        <v/>
      </c>
      <c r="X58" s="602" t="str">
        <f t="shared" si="13"/>
        <v/>
      </c>
      <c r="Y58" s="602">
        <f t="shared" si="10"/>
        <v>0</v>
      </c>
      <c r="Z58" s="602" t="str">
        <f>'Extra look-up'!F52</f>
        <v/>
      </c>
      <c r="AA58" s="602" t="str">
        <f ca="1">'Extra look-up'!H52</f>
        <v>OK</v>
      </c>
      <c r="AB58" s="602">
        <f t="shared" si="11"/>
        <v>1</v>
      </c>
      <c r="AC58" s="618" t="e">
        <f t="shared" si="12"/>
        <v>#VALUE!</v>
      </c>
      <c r="AD58" s="621" t="str">
        <f ca="1">IFERROR(AVERAGE($AH$101:INDIRECT(CONCATENATE("AH"&amp;AC58))),"")</f>
        <v/>
      </c>
      <c r="AE58" s="615"/>
      <c r="AF58" s="615"/>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row>
    <row r="59" spans="1:70" s="25" customFormat="1" ht="34" hidden="1" customHeight="1" x14ac:dyDescent="0.3">
      <c r="A59" s="169">
        <v>48</v>
      </c>
      <c r="B59" s="115"/>
      <c r="C59" s="125"/>
      <c r="D59" s="117"/>
      <c r="E59" s="118"/>
      <c r="F59" s="119"/>
      <c r="G59" s="144" t="str">
        <f t="shared" si="14"/>
        <v/>
      </c>
      <c r="H59" s="391"/>
      <c r="I59" s="664"/>
      <c r="J59" s="665"/>
      <c r="K59" s="120"/>
      <c r="L59" s="121"/>
      <c r="M59" s="147" t="str">
        <f t="shared" si="6"/>
        <v/>
      </c>
      <c r="N59" s="148">
        <f t="shared" si="7"/>
        <v>0</v>
      </c>
      <c r="O59" s="122"/>
      <c r="P59" s="156" t="str">
        <f t="shared" si="15"/>
        <v/>
      </c>
      <c r="Q59" s="157" t="str">
        <f t="shared" si="2"/>
        <v/>
      </c>
      <c r="R59" s="627" t="str">
        <f t="shared" si="16"/>
        <v/>
      </c>
      <c r="S59" s="158" t="str">
        <f t="shared" si="17"/>
        <v/>
      </c>
      <c r="T59" s="158" t="str">
        <f t="shared" si="8"/>
        <v/>
      </c>
      <c r="U59" s="159" t="str">
        <f t="shared" si="9"/>
        <v/>
      </c>
      <c r="V59" s="638" t="str">
        <f>IF('Extra look-up'!$H85="Work Type","Check Work Type",IF(AND(D59="",F59="",H59="",I59="",L59="",M59=""),"",IF(OR(D59="",F59="",H59="",I59="",L59="",M59="",$L$9&lt;&gt;"OK"),"Check all fields completed correctly",IF(AND(D59="",OR(F59&lt;&gt;"",H59&lt;&gt;"",I59&lt;&gt;"",L59&lt;&gt;"")),"Check all fields completed correctly","OK"))))</f>
        <v/>
      </c>
      <c r="W59" s="601" t="str">
        <f>IF(I59="","",IF(VLOOKUP(I59,'Eligible Technologies'!$D$7:$G$69,4,FALSE)&lt;$F$9,VLOOKUP(I59,'Eligible Technologies'!$D$7:$G$69,4,FALSE),$F$9))</f>
        <v/>
      </c>
      <c r="X59" s="602" t="str">
        <f t="shared" si="13"/>
        <v/>
      </c>
      <c r="Y59" s="602">
        <f t="shared" si="10"/>
        <v>0</v>
      </c>
      <c r="Z59" s="602" t="str">
        <f>'Extra look-up'!F53</f>
        <v/>
      </c>
      <c r="AA59" s="602" t="str">
        <f ca="1">'Extra look-up'!H53</f>
        <v>OK</v>
      </c>
      <c r="AB59" s="602">
        <f t="shared" si="11"/>
        <v>1</v>
      </c>
      <c r="AC59" s="618" t="e">
        <f t="shared" si="12"/>
        <v>#VALUE!</v>
      </c>
      <c r="AD59" s="621" t="str">
        <f ca="1">IFERROR(AVERAGE($AH$101:INDIRECT(CONCATENATE("AH"&amp;AC59))),"")</f>
        <v/>
      </c>
      <c r="AE59" s="615"/>
      <c r="AF59" s="615"/>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row>
    <row r="60" spans="1:70" s="25" customFormat="1" ht="34" hidden="1" customHeight="1" x14ac:dyDescent="0.3">
      <c r="A60" s="169">
        <v>49</v>
      </c>
      <c r="B60" s="115"/>
      <c r="C60" s="125"/>
      <c r="D60" s="117"/>
      <c r="E60" s="118"/>
      <c r="F60" s="119"/>
      <c r="G60" s="144" t="str">
        <f t="shared" si="14"/>
        <v/>
      </c>
      <c r="H60" s="391"/>
      <c r="I60" s="664"/>
      <c r="J60" s="665"/>
      <c r="K60" s="120"/>
      <c r="L60" s="121"/>
      <c r="M60" s="147" t="str">
        <f t="shared" si="6"/>
        <v/>
      </c>
      <c r="N60" s="148">
        <f t="shared" si="7"/>
        <v>0</v>
      </c>
      <c r="O60" s="122"/>
      <c r="P60" s="156" t="str">
        <f t="shared" si="15"/>
        <v/>
      </c>
      <c r="Q60" s="157" t="str">
        <f t="shared" si="2"/>
        <v/>
      </c>
      <c r="R60" s="627" t="str">
        <f t="shared" si="16"/>
        <v/>
      </c>
      <c r="S60" s="158" t="str">
        <f t="shared" si="17"/>
        <v/>
      </c>
      <c r="T60" s="158" t="str">
        <f t="shared" si="8"/>
        <v/>
      </c>
      <c r="U60" s="159" t="str">
        <f t="shared" si="9"/>
        <v/>
      </c>
      <c r="V60" s="638" t="str">
        <f>IF('Extra look-up'!$H86="Work Type","Check Work Type",IF(AND(D60="",F60="",H60="",I60="",L60="",M60=""),"",IF(OR(D60="",F60="",H60="",I60="",L60="",M60="",$L$9&lt;&gt;"OK"),"Check all fields completed correctly",IF(AND(D60="",OR(F60&lt;&gt;"",H60&lt;&gt;"",I60&lt;&gt;"",L60&lt;&gt;"")),"Check all fields completed correctly","OK"))))</f>
        <v/>
      </c>
      <c r="W60" s="601" t="str">
        <f>IF(I60="","",IF(VLOOKUP(I60,'Eligible Technologies'!$D$7:$G$69,4,FALSE)&lt;$F$9,VLOOKUP(I60,'Eligible Technologies'!$D$7:$G$69,4,FALSE),$F$9))</f>
        <v/>
      </c>
      <c r="X60" s="602" t="str">
        <f t="shared" si="13"/>
        <v/>
      </c>
      <c r="Y60" s="602">
        <f t="shared" si="10"/>
        <v>0</v>
      </c>
      <c r="Z60" s="602" t="str">
        <f>'Extra look-up'!F54</f>
        <v/>
      </c>
      <c r="AA60" s="602" t="str">
        <f ca="1">'Extra look-up'!H54</f>
        <v>OK</v>
      </c>
      <c r="AB60" s="602">
        <f t="shared" si="11"/>
        <v>1</v>
      </c>
      <c r="AC60" s="618" t="e">
        <f t="shared" si="12"/>
        <v>#VALUE!</v>
      </c>
      <c r="AD60" s="621" t="str">
        <f ca="1">IFERROR(AVERAGE($AH$101:INDIRECT(CONCATENATE("AH"&amp;AC60))),"")</f>
        <v/>
      </c>
      <c r="AE60" s="615"/>
      <c r="AF60" s="615"/>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row>
    <row r="61" spans="1:70" s="25" customFormat="1" ht="34" hidden="1" customHeight="1" thickBot="1" x14ac:dyDescent="0.35">
      <c r="A61" s="169">
        <v>50</v>
      </c>
      <c r="B61" s="115"/>
      <c r="C61" s="123"/>
      <c r="D61" s="117"/>
      <c r="E61" s="118"/>
      <c r="F61" s="119"/>
      <c r="G61" s="144" t="str">
        <f t="shared" si="14"/>
        <v/>
      </c>
      <c r="H61" s="391"/>
      <c r="I61" s="664"/>
      <c r="J61" s="665"/>
      <c r="K61" s="120"/>
      <c r="L61" s="121"/>
      <c r="M61" s="147" t="str">
        <f t="shared" si="6"/>
        <v/>
      </c>
      <c r="N61" s="148">
        <f t="shared" si="7"/>
        <v>0</v>
      </c>
      <c r="O61" s="122"/>
      <c r="P61" s="156" t="str">
        <f t="shared" si="15"/>
        <v/>
      </c>
      <c r="Q61" s="157" t="str">
        <f t="shared" si="2"/>
        <v/>
      </c>
      <c r="R61" s="627" t="str">
        <f t="shared" si="16"/>
        <v/>
      </c>
      <c r="S61" s="158" t="str">
        <f t="shared" si="17"/>
        <v/>
      </c>
      <c r="T61" s="158" t="str">
        <f t="shared" si="8"/>
        <v/>
      </c>
      <c r="U61" s="159" t="str">
        <f t="shared" si="9"/>
        <v/>
      </c>
      <c r="V61" s="639" t="str">
        <f>IF('Extra look-up'!$H87="Work Type","Check Work Type",IF(AND(D61="",F61="",H61="",I61="",L61="",M61=""),"",IF(OR(D61="",F61="",H61="",I61="",L61="",M61="",$L$9&lt;&gt;"OK"),"Check all fields completed correctly",IF(AND(D61="",OR(F61&lt;&gt;"",H61&lt;&gt;"",I61&lt;&gt;"",L61&lt;&gt;"")),"Check all fields completed correctly","OK"))))</f>
        <v/>
      </c>
      <c r="W61" s="603" t="str">
        <f>IF(I61="","",IF(VLOOKUP(I61,'Eligible Technologies'!$D$7:$G$69,4,FALSE)&lt;$F$9,VLOOKUP(I61,'Eligible Technologies'!$D$7:$G$69,4,FALSE),$F$9))</f>
        <v/>
      </c>
      <c r="X61" s="604" t="str">
        <f t="shared" si="13"/>
        <v/>
      </c>
      <c r="Y61" s="604">
        <f t="shared" si="10"/>
        <v>0</v>
      </c>
      <c r="Z61" s="604" t="str">
        <f>'Extra look-up'!F55</f>
        <v/>
      </c>
      <c r="AA61" s="604" t="str">
        <f ca="1">'Extra look-up'!H55</f>
        <v>OK</v>
      </c>
      <c r="AB61" s="604">
        <f t="shared" si="11"/>
        <v>1</v>
      </c>
      <c r="AC61" s="619" t="e">
        <f t="shared" si="12"/>
        <v>#VALUE!</v>
      </c>
      <c r="AD61" s="622" t="str">
        <f ca="1">IFERROR(AVERAGE($AH$101:INDIRECT(CONCATENATE("AH"&amp;AC61))),"")</f>
        <v/>
      </c>
      <c r="AE61" s="615"/>
      <c r="AF61" s="615"/>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row>
    <row r="62" spans="1:70" s="25" customFormat="1" ht="15" customHeight="1" thickBot="1" x14ac:dyDescent="0.35">
      <c r="A62" s="278"/>
      <c r="B62" s="279"/>
      <c r="C62" s="279"/>
      <c r="D62" s="279"/>
      <c r="E62" s="279"/>
      <c r="F62" s="279"/>
      <c r="G62" s="279"/>
      <c r="H62" s="279"/>
      <c r="I62" s="279"/>
      <c r="J62" s="279"/>
      <c r="K62" s="279"/>
      <c r="L62" s="279"/>
      <c r="M62" s="279"/>
      <c r="N62" s="279"/>
      <c r="O62" s="279"/>
      <c r="P62" s="279"/>
      <c r="Q62" s="279"/>
      <c r="R62" s="279"/>
      <c r="S62" s="279"/>
      <c r="T62" s="279"/>
      <c r="U62" s="279"/>
      <c r="V62" s="280"/>
      <c r="W62" s="6"/>
      <c r="X62" s="24"/>
      <c r="Y62" s="608">
        <f ca="1">SUM(Y12:Y61)</f>
        <v>0</v>
      </c>
      <c r="Z62" s="24"/>
      <c r="AA62" s="24"/>
      <c r="AB62" s="608">
        <f ca="1">SUM(AB12:AB61)</f>
        <v>50</v>
      </c>
      <c r="AC62" s="24"/>
      <c r="AD62" s="24"/>
      <c r="AE62" s="24"/>
      <c r="AF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row>
    <row r="63" spans="1:70" s="25" customFormat="1" ht="15" customHeight="1" thickBot="1" x14ac:dyDescent="0.35">
      <c r="A63" s="170"/>
      <c r="B63" s="411"/>
      <c r="C63" s="411"/>
      <c r="D63" s="411"/>
      <c r="E63" s="411"/>
      <c r="F63" s="411"/>
      <c r="G63" s="411"/>
      <c r="H63" s="411"/>
      <c r="I63" s="411"/>
      <c r="J63" s="411"/>
      <c r="K63" s="411"/>
      <c r="L63" s="411"/>
      <c r="M63" s="411"/>
      <c r="N63" s="411"/>
      <c r="O63" s="411"/>
      <c r="P63" s="411"/>
      <c r="Q63" s="411"/>
      <c r="R63" s="411"/>
      <c r="S63" s="411"/>
      <c r="T63" s="411"/>
      <c r="U63" s="411"/>
      <c r="V63" s="428"/>
      <c r="W63" s="6"/>
      <c r="X63" s="24"/>
      <c r="Y63" s="24"/>
      <c r="Z63" s="24"/>
      <c r="AA63" s="24"/>
      <c r="AB63" s="24"/>
      <c r="AC63" s="24"/>
      <c r="AD63" s="24"/>
      <c r="AE63" s="24"/>
      <c r="AF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row>
    <row r="64" spans="1:70" s="25" customFormat="1" ht="60.75" customHeight="1" thickBot="1" x14ac:dyDescent="0.35">
      <c r="A64" s="167"/>
      <c r="B64" s="411"/>
      <c r="C64" s="411"/>
      <c r="D64" s="411"/>
      <c r="E64" s="411"/>
      <c r="F64" s="411"/>
      <c r="G64" s="411"/>
      <c r="H64" s="412"/>
      <c r="I64" s="411"/>
      <c r="J64" s="411"/>
      <c r="K64" s="411"/>
      <c r="L64" s="411"/>
      <c r="M64" s="411"/>
      <c r="N64" s="290" t="s">
        <v>115</v>
      </c>
      <c r="O64" s="290" t="s">
        <v>116</v>
      </c>
      <c r="P64" s="291" t="s">
        <v>117</v>
      </c>
      <c r="Q64" s="135" t="s">
        <v>51</v>
      </c>
      <c r="R64" s="135" t="s">
        <v>118</v>
      </c>
      <c r="S64" s="135" t="s">
        <v>119</v>
      </c>
      <c r="T64" s="135" t="s">
        <v>120</v>
      </c>
      <c r="U64" s="143" t="s">
        <v>121</v>
      </c>
      <c r="V64" s="292" t="s">
        <v>122</v>
      </c>
      <c r="W64" s="6"/>
      <c r="X64" s="24"/>
      <c r="Y64" s="24"/>
      <c r="Z64" s="24"/>
      <c r="AA64" s="24"/>
      <c r="AB64" s="24"/>
      <c r="AC64" s="24"/>
      <c r="AD64" s="24"/>
      <c r="AE64" s="24"/>
      <c r="AF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row>
    <row r="65" spans="1:70" s="25" customFormat="1" ht="30.75" customHeight="1" thickBot="1" x14ac:dyDescent="0.35">
      <c r="A65" s="167"/>
      <c r="B65" s="413"/>
      <c r="C65" s="414"/>
      <c r="D65" s="415"/>
      <c r="E65" s="413"/>
      <c r="F65" s="413"/>
      <c r="G65" s="413"/>
      <c r="H65" s="413"/>
      <c r="I65" s="413"/>
      <c r="J65" s="413"/>
      <c r="K65" s="416"/>
      <c r="L65" s="416"/>
      <c r="M65" s="416"/>
      <c r="N65" s="281"/>
      <c r="O65" s="282" t="str">
        <f>IF(OR(L9&lt;&gt;"OK",$D$4=""),"",SUM(O12:O61))</f>
        <v/>
      </c>
      <c r="P65" s="283" t="str">
        <f>IF(OR(L9&lt;&gt;"OK",$D$4=""),"",SUM(P12:P61))</f>
        <v/>
      </c>
      <c r="Q65" s="284" t="str">
        <f>IF(OR(P65&lt;=0,P65=""),"",N65/P65)</f>
        <v/>
      </c>
      <c r="R65" s="285" t="str">
        <f>IF(Q65="","",SUM(R12:R61))</f>
        <v/>
      </c>
      <c r="S65" s="286" t="str">
        <f>IF(R65="","",SUM(S12:S61))</f>
        <v/>
      </c>
      <c r="T65" s="287" t="str">
        <f>IF(S65="","",SUM(T12:T61))</f>
        <v/>
      </c>
      <c r="U65" s="288" t="str">
        <f>IF(ISERROR(N65/T65),"",N65/T65)</f>
        <v/>
      </c>
      <c r="V65" s="289" t="str">
        <f>IF($D$4="","Please Select Programme",IF(L9&lt;&gt;"OK","Check Project Details",IF(Y62=0,"Enter Work Type Details",IF(N65=0,"Enter Funding Requested",IF(AB62&gt;=51,"Check Work Type Details",'Extra look-up'!H84)))))</f>
        <v>Please Select Programme</v>
      </c>
      <c r="W65" s="6"/>
      <c r="X65" s="24"/>
      <c r="Y65" s="24"/>
      <c r="Z65" s="24"/>
      <c r="AA65" s="24"/>
      <c r="AB65" s="24"/>
      <c r="AC65" s="24"/>
      <c r="AD65" s="24"/>
      <c r="AE65" s="24"/>
      <c r="AF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row>
    <row r="66" spans="1:70" s="6" customFormat="1" ht="15" customHeight="1" thickBot="1" x14ac:dyDescent="0.35">
      <c r="A66" s="166"/>
      <c r="B66" s="417"/>
      <c r="C66" s="418"/>
      <c r="D66" s="419"/>
      <c r="E66" s="417"/>
      <c r="F66" s="417"/>
      <c r="G66" s="417"/>
      <c r="H66" s="417"/>
      <c r="I66" s="417"/>
      <c r="J66" s="417"/>
      <c r="K66" s="420"/>
      <c r="L66" s="421"/>
      <c r="M66" s="160"/>
      <c r="N66" s="160"/>
      <c r="O66" s="161"/>
      <c r="P66" s="162"/>
      <c r="Q66" s="163"/>
      <c r="R66" s="164"/>
      <c r="S66" s="163"/>
      <c r="T66" s="165"/>
      <c r="U66" s="426"/>
      <c r="V66" s="427"/>
      <c r="X66" s="24"/>
      <c r="Y66" s="24"/>
      <c r="Z66" s="24"/>
      <c r="AA66" s="24"/>
      <c r="AB66" s="24"/>
      <c r="AC66" s="24"/>
      <c r="AD66" s="24"/>
      <c r="AE66" s="24"/>
      <c r="AF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row>
    <row r="67" spans="1:70" s="6" customFormat="1" ht="36.75" customHeight="1" x14ac:dyDescent="0.3">
      <c r="A67" s="422"/>
      <c r="B67" s="675" t="s">
        <v>123</v>
      </c>
      <c r="C67" s="676"/>
      <c r="D67" s="676"/>
      <c r="E67" s="676"/>
      <c r="F67" s="676"/>
      <c r="G67" s="676"/>
      <c r="H67" s="676"/>
      <c r="I67" s="676"/>
      <c r="J67" s="676"/>
      <c r="K67" s="676"/>
      <c r="L67" s="676"/>
      <c r="M67" s="676"/>
      <c r="N67" s="676"/>
      <c r="O67" s="676"/>
      <c r="P67" s="676"/>
      <c r="Q67" s="676"/>
      <c r="R67" s="676"/>
      <c r="S67" s="676"/>
      <c r="T67" s="676"/>
      <c r="U67" s="676"/>
      <c r="V67" s="677"/>
      <c r="X67" s="24"/>
      <c r="Y67" s="24"/>
      <c r="Z67" s="24"/>
      <c r="AA67" s="24"/>
      <c r="AB67" s="24"/>
      <c r="AC67" s="24"/>
      <c r="AD67" s="24"/>
      <c r="AE67" s="24"/>
      <c r="AF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row>
    <row r="68" spans="1:70" s="6" customFormat="1" ht="21" customHeight="1" x14ac:dyDescent="0.3">
      <c r="A68" s="422"/>
      <c r="B68" s="684" t="s">
        <v>124</v>
      </c>
      <c r="C68" s="685"/>
      <c r="D68" s="685"/>
      <c r="E68" s="685"/>
      <c r="F68" s="685"/>
      <c r="G68" s="685"/>
      <c r="H68" s="685"/>
      <c r="I68" s="685"/>
      <c r="J68" s="685"/>
      <c r="K68" s="685"/>
      <c r="L68" s="685"/>
      <c r="M68" s="685"/>
      <c r="N68" s="685"/>
      <c r="O68" s="685"/>
      <c r="P68" s="685"/>
      <c r="Q68" s="685"/>
      <c r="R68" s="685"/>
      <c r="S68" s="685"/>
      <c r="T68" s="685"/>
      <c r="U68" s="685"/>
      <c r="V68" s="686"/>
      <c r="X68" s="24"/>
      <c r="Y68" s="24"/>
      <c r="Z68" s="24"/>
      <c r="AA68" s="24"/>
      <c r="AB68" s="24"/>
      <c r="AC68" s="24"/>
      <c r="AD68" s="24"/>
      <c r="AE68" s="24"/>
      <c r="AF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row>
    <row r="69" spans="1:70" ht="97.5" customHeight="1" thickBot="1" x14ac:dyDescent="0.35">
      <c r="A69" s="422"/>
      <c r="B69" s="678" t="s">
        <v>533</v>
      </c>
      <c r="C69" s="679"/>
      <c r="D69" s="679"/>
      <c r="E69" s="679"/>
      <c r="F69" s="679"/>
      <c r="G69" s="679"/>
      <c r="H69" s="679"/>
      <c r="I69" s="679"/>
      <c r="J69" s="679"/>
      <c r="K69" s="679"/>
      <c r="L69" s="679"/>
      <c r="M69" s="679"/>
      <c r="N69" s="679"/>
      <c r="O69" s="679"/>
      <c r="P69" s="679"/>
      <c r="Q69" s="679"/>
      <c r="R69" s="679"/>
      <c r="S69" s="679"/>
      <c r="T69" s="679"/>
      <c r="U69" s="679"/>
      <c r="V69" s="680"/>
      <c r="W69" s="11"/>
    </row>
    <row r="70" spans="1:70" ht="14" thickBot="1" x14ac:dyDescent="0.35">
      <c r="A70" s="423"/>
      <c r="B70" s="424"/>
      <c r="C70" s="424"/>
      <c r="D70" s="424"/>
      <c r="E70" s="424"/>
      <c r="F70" s="424"/>
      <c r="G70" s="424"/>
      <c r="H70" s="424"/>
      <c r="I70" s="424"/>
      <c r="J70" s="424"/>
      <c r="K70" s="424"/>
      <c r="L70" s="424"/>
      <c r="M70" s="424"/>
      <c r="N70" s="424"/>
      <c r="O70" s="424"/>
      <c r="P70" s="424"/>
      <c r="Q70" s="424"/>
      <c r="R70" s="424"/>
      <c r="S70" s="424"/>
      <c r="T70" s="424"/>
      <c r="U70" s="424"/>
      <c r="V70" s="425"/>
      <c r="W70" s="11"/>
    </row>
    <row r="71" spans="1:70" ht="15" customHeight="1" thickBot="1" x14ac:dyDescent="0.35">
      <c r="A71" s="681"/>
      <c r="B71" s="682"/>
      <c r="C71" s="682"/>
      <c r="D71" s="682"/>
      <c r="E71" s="682"/>
      <c r="F71" s="682"/>
      <c r="G71" s="682"/>
      <c r="H71" s="682"/>
      <c r="I71" s="682"/>
      <c r="J71" s="682"/>
      <c r="K71" s="682"/>
      <c r="L71" s="682"/>
      <c r="M71" s="682"/>
      <c r="N71" s="682"/>
      <c r="O71" s="682"/>
      <c r="P71" s="682"/>
      <c r="Q71" s="682"/>
      <c r="R71" s="682"/>
      <c r="S71" s="682"/>
      <c r="T71" s="682"/>
      <c r="U71" s="682"/>
      <c r="V71" s="683"/>
      <c r="W71" s="11"/>
    </row>
    <row r="72" spans="1:70" ht="13.5" x14ac:dyDescent="0.3">
      <c r="A72" s="126"/>
      <c r="B72" s="127"/>
      <c r="C72" s="127"/>
      <c r="D72" s="128"/>
      <c r="E72" s="129"/>
      <c r="F72" s="129"/>
      <c r="G72" s="129"/>
      <c r="H72" s="130"/>
      <c r="I72" s="130"/>
      <c r="J72" s="130"/>
      <c r="K72" s="131"/>
      <c r="L72" s="131"/>
      <c r="M72" s="132"/>
      <c r="N72" s="132"/>
      <c r="O72" s="110"/>
      <c r="P72" s="110"/>
      <c r="Q72" s="110"/>
      <c r="R72" s="126"/>
      <c r="S72" s="110"/>
      <c r="T72" s="110"/>
      <c r="U72" s="110"/>
      <c r="V72" s="110"/>
      <c r="W72" s="11"/>
    </row>
    <row r="73" spans="1:70" ht="30.75" customHeight="1" x14ac:dyDescent="0.3">
      <c r="A73" s="126"/>
      <c r="B73" s="127"/>
      <c r="C73" s="127"/>
      <c r="D73" s="128"/>
      <c r="E73" s="129"/>
      <c r="F73" s="129"/>
      <c r="G73" s="129"/>
      <c r="H73" s="130"/>
      <c r="I73" s="130"/>
      <c r="J73" s="130"/>
      <c r="K73" s="131"/>
      <c r="L73" s="131"/>
      <c r="M73" s="132"/>
      <c r="N73" s="132"/>
      <c r="O73" s="110"/>
      <c r="P73" s="110"/>
      <c r="Q73" s="110"/>
      <c r="R73" s="126"/>
      <c r="S73" s="110"/>
      <c r="T73" s="110"/>
      <c r="U73" s="110"/>
      <c r="V73" s="110"/>
      <c r="W73" s="11"/>
    </row>
    <row r="74" spans="1:70" ht="13.5" x14ac:dyDescent="0.3">
      <c r="A74" s="126"/>
      <c r="B74" s="127"/>
      <c r="C74" s="127"/>
      <c r="D74" s="128"/>
      <c r="E74" s="129"/>
      <c r="F74" s="129"/>
      <c r="G74" s="129"/>
      <c r="H74" s="130"/>
      <c r="I74" s="130"/>
      <c r="J74" s="130"/>
      <c r="K74" s="131"/>
      <c r="L74" s="131"/>
      <c r="M74" s="132"/>
      <c r="N74" s="132"/>
      <c r="O74" s="110"/>
      <c r="P74" s="110"/>
      <c r="Q74" s="110"/>
      <c r="R74" s="126"/>
      <c r="S74" s="110"/>
      <c r="T74" s="110"/>
      <c r="U74" s="110"/>
      <c r="V74" s="110"/>
      <c r="W74" s="11"/>
    </row>
    <row r="75" spans="1:70" ht="13.5" x14ac:dyDescent="0.3">
      <c r="A75" s="126"/>
      <c r="B75" s="127"/>
      <c r="C75" s="127"/>
      <c r="D75" s="128"/>
      <c r="E75" s="129"/>
      <c r="F75" s="129"/>
      <c r="G75" s="129"/>
      <c r="H75" s="130"/>
      <c r="I75" s="130"/>
      <c r="J75" s="130"/>
      <c r="K75" s="131"/>
      <c r="L75" s="131"/>
      <c r="M75" s="132"/>
      <c r="N75" s="132"/>
      <c r="O75" s="110"/>
      <c r="P75" s="110"/>
      <c r="Q75" s="110"/>
      <c r="R75" s="126"/>
      <c r="S75" s="110"/>
      <c r="T75" s="110"/>
      <c r="U75" s="110"/>
      <c r="V75" s="110"/>
      <c r="W75" s="11"/>
    </row>
    <row r="76" spans="1:70" ht="13.5" x14ac:dyDescent="0.3">
      <c r="A76" s="126"/>
      <c r="B76" s="127"/>
      <c r="C76" s="127"/>
      <c r="D76" s="128"/>
      <c r="E76" s="129"/>
      <c r="F76" s="129"/>
      <c r="G76" s="129"/>
      <c r="H76" s="130"/>
      <c r="I76" s="130"/>
      <c r="J76" s="130"/>
      <c r="K76" s="131"/>
      <c r="L76" s="131"/>
      <c r="M76" s="132"/>
      <c r="N76" s="132"/>
      <c r="O76" s="110"/>
      <c r="P76" s="110"/>
      <c r="Q76" s="110"/>
      <c r="R76" s="126"/>
      <c r="S76" s="110"/>
      <c r="T76" s="110"/>
      <c r="U76" s="110"/>
      <c r="V76" s="110"/>
      <c r="W76" s="11"/>
    </row>
    <row r="77" spans="1:70" x14ac:dyDescent="0.3">
      <c r="A77" s="26"/>
      <c r="B77" s="27"/>
      <c r="C77" s="27"/>
      <c r="D77" s="28"/>
      <c r="E77" s="29"/>
      <c r="F77" s="29"/>
      <c r="G77" s="29"/>
      <c r="H77" s="30"/>
      <c r="I77" s="30"/>
      <c r="J77" s="30"/>
      <c r="K77" s="31"/>
      <c r="L77" s="31"/>
      <c r="M77" s="32"/>
      <c r="N77" s="32"/>
      <c r="O77" s="11"/>
      <c r="P77" s="11"/>
      <c r="Q77" s="11"/>
      <c r="R77" s="26"/>
      <c r="S77" s="11"/>
      <c r="T77" s="11"/>
      <c r="U77" s="11"/>
      <c r="V77" s="11"/>
      <c r="W77" s="11"/>
    </row>
    <row r="78" spans="1:70" x14ac:dyDescent="0.3">
      <c r="A78" s="26"/>
      <c r="B78" s="27"/>
      <c r="C78" s="27"/>
      <c r="D78" s="28"/>
      <c r="E78" s="29"/>
      <c r="F78" s="29"/>
      <c r="G78" s="29"/>
      <c r="H78" s="30"/>
      <c r="I78" s="30"/>
      <c r="J78" s="30"/>
      <c r="K78" s="31"/>
      <c r="L78" s="31"/>
      <c r="M78" s="32"/>
      <c r="N78" s="32"/>
      <c r="O78" s="11"/>
      <c r="P78" s="11"/>
      <c r="Q78" s="11"/>
      <c r="R78" s="26"/>
      <c r="S78" s="11"/>
      <c r="T78" s="11"/>
      <c r="U78" s="11"/>
      <c r="V78" s="11"/>
      <c r="W78" s="11"/>
    </row>
    <row r="79" spans="1:70" x14ac:dyDescent="0.3">
      <c r="A79" s="26"/>
      <c r="B79" s="27"/>
      <c r="C79" s="27"/>
      <c r="D79" s="28"/>
      <c r="E79" s="29"/>
      <c r="F79" s="29"/>
      <c r="G79" s="29"/>
      <c r="H79" s="30"/>
      <c r="I79" s="30"/>
      <c r="J79" s="30"/>
      <c r="K79" s="31"/>
      <c r="L79" s="31"/>
      <c r="M79" s="32"/>
      <c r="N79" s="32"/>
      <c r="O79" s="11"/>
      <c r="P79" s="11"/>
      <c r="Q79" s="11"/>
      <c r="R79" s="26"/>
      <c r="S79" s="11"/>
      <c r="T79" s="11"/>
      <c r="U79" s="11"/>
      <c r="V79" s="11"/>
      <c r="W79" s="11"/>
    </row>
    <row r="80" spans="1:70" x14ac:dyDescent="0.3">
      <c r="A80" s="26"/>
      <c r="B80" s="27"/>
      <c r="C80" s="27"/>
      <c r="D80" s="28"/>
      <c r="E80" s="29"/>
      <c r="F80" s="29"/>
      <c r="G80" s="29"/>
      <c r="H80" s="30"/>
      <c r="I80" s="30"/>
      <c r="J80" s="30"/>
      <c r="K80" s="31"/>
      <c r="L80" s="31"/>
      <c r="M80" s="32"/>
      <c r="N80" s="32"/>
      <c r="O80" s="11"/>
      <c r="P80" s="11"/>
      <c r="Q80" s="11"/>
      <c r="R80" s="26"/>
      <c r="S80" s="11"/>
      <c r="T80" s="11"/>
      <c r="U80" s="11"/>
      <c r="V80" s="11"/>
      <c r="W80" s="11"/>
    </row>
    <row r="81" spans="1:23" x14ac:dyDescent="0.3">
      <c r="A81" s="26"/>
      <c r="B81" s="27"/>
      <c r="C81" s="27"/>
      <c r="D81" s="28"/>
      <c r="E81" s="29"/>
      <c r="F81" s="29"/>
      <c r="G81" s="29"/>
      <c r="H81" s="30"/>
      <c r="I81" s="30"/>
      <c r="J81" s="30"/>
      <c r="K81" s="31"/>
      <c r="L81" s="31"/>
      <c r="M81" s="32"/>
      <c r="N81" s="32"/>
      <c r="O81" s="11"/>
      <c r="P81" s="11"/>
      <c r="Q81" s="11"/>
      <c r="R81" s="26"/>
      <c r="S81" s="11"/>
      <c r="T81" s="11"/>
      <c r="U81" s="11"/>
      <c r="V81" s="11"/>
      <c r="W81" s="11"/>
    </row>
    <row r="82" spans="1:23" x14ac:dyDescent="0.3">
      <c r="A82" s="26"/>
      <c r="B82" s="27"/>
      <c r="C82" s="27"/>
      <c r="D82" s="28"/>
      <c r="E82" s="29"/>
      <c r="F82" s="29"/>
      <c r="G82" s="29"/>
      <c r="H82" s="30"/>
      <c r="I82" s="30"/>
      <c r="J82" s="30"/>
      <c r="K82" s="31"/>
      <c r="L82" s="31"/>
      <c r="M82" s="32"/>
      <c r="N82" s="32"/>
      <c r="O82" s="11"/>
      <c r="P82" s="11"/>
      <c r="Q82" s="11"/>
      <c r="R82" s="26"/>
      <c r="S82" s="11"/>
      <c r="T82" s="11"/>
      <c r="U82" s="11"/>
      <c r="V82" s="11"/>
      <c r="W82" s="11"/>
    </row>
    <row r="83" spans="1:23" x14ac:dyDescent="0.3">
      <c r="A83" s="26"/>
      <c r="B83" s="27"/>
      <c r="C83" s="27"/>
      <c r="D83" s="28"/>
      <c r="E83" s="29"/>
      <c r="F83" s="29"/>
      <c r="G83" s="29"/>
      <c r="H83" s="30"/>
      <c r="I83" s="30"/>
      <c r="J83" s="30"/>
      <c r="K83" s="31"/>
      <c r="L83" s="31"/>
      <c r="M83" s="32"/>
      <c r="N83" s="32"/>
      <c r="O83" s="11"/>
      <c r="P83" s="11"/>
      <c r="Q83" s="11"/>
      <c r="R83" s="26"/>
      <c r="S83" s="11"/>
      <c r="T83" s="11"/>
      <c r="U83" s="11"/>
      <c r="V83" s="11"/>
      <c r="W83" s="11"/>
    </row>
    <row r="84" spans="1:23" x14ac:dyDescent="0.3">
      <c r="A84" s="26"/>
      <c r="B84" s="27"/>
      <c r="C84" s="27"/>
      <c r="D84" s="28"/>
      <c r="E84" s="29"/>
      <c r="F84" s="29"/>
      <c r="G84" s="29"/>
      <c r="H84" s="30"/>
      <c r="I84" s="30"/>
      <c r="J84" s="30"/>
      <c r="K84" s="31"/>
      <c r="L84" s="31"/>
      <c r="M84" s="32"/>
      <c r="N84" s="32"/>
      <c r="O84" s="11"/>
      <c r="P84" s="11"/>
      <c r="Q84" s="11"/>
      <c r="R84" s="26"/>
      <c r="S84" s="11"/>
      <c r="T84" s="11"/>
      <c r="U84" s="11"/>
      <c r="V84" s="11"/>
      <c r="W84" s="11"/>
    </row>
    <row r="85" spans="1:23" x14ac:dyDescent="0.3">
      <c r="A85" s="26"/>
      <c r="B85" s="27"/>
      <c r="C85" s="27"/>
      <c r="D85" s="28"/>
      <c r="E85" s="29"/>
      <c r="F85" s="29"/>
      <c r="G85" s="29"/>
      <c r="H85" s="30"/>
      <c r="I85" s="30"/>
      <c r="J85" s="30"/>
      <c r="K85" s="31"/>
      <c r="L85" s="31"/>
      <c r="M85" s="32"/>
      <c r="N85" s="32"/>
      <c r="O85" s="11"/>
      <c r="P85" s="11"/>
      <c r="Q85" s="11"/>
      <c r="R85" s="26"/>
      <c r="S85" s="11"/>
      <c r="T85" s="11"/>
      <c r="U85" s="11"/>
      <c r="V85" s="11"/>
      <c r="W85" s="11"/>
    </row>
    <row r="86" spans="1:23" x14ac:dyDescent="0.3">
      <c r="A86" s="26"/>
      <c r="B86" s="27"/>
      <c r="C86" s="27"/>
      <c r="D86" s="28"/>
      <c r="E86" s="29"/>
      <c r="F86" s="29"/>
      <c r="G86" s="29"/>
      <c r="H86" s="30"/>
      <c r="I86" s="30"/>
      <c r="J86" s="30"/>
      <c r="K86" s="31"/>
      <c r="L86" s="31"/>
      <c r="M86" s="32"/>
      <c r="N86" s="32"/>
      <c r="O86" s="11"/>
      <c r="P86" s="11"/>
      <c r="Q86" s="11"/>
      <c r="R86" s="26"/>
      <c r="S86" s="11"/>
      <c r="T86" s="11"/>
      <c r="U86" s="11"/>
      <c r="V86" s="11"/>
      <c r="W86" s="11"/>
    </row>
    <row r="87" spans="1:23" x14ac:dyDescent="0.3">
      <c r="A87" s="26"/>
      <c r="B87" s="27"/>
      <c r="C87" s="27"/>
      <c r="D87" s="28"/>
      <c r="E87" s="29"/>
      <c r="F87" s="29"/>
      <c r="G87" s="29"/>
      <c r="H87" s="30"/>
      <c r="I87" s="30"/>
      <c r="J87" s="30"/>
      <c r="K87" s="31"/>
      <c r="L87" s="31"/>
      <c r="M87" s="32"/>
      <c r="N87" s="32"/>
      <c r="O87" s="11"/>
      <c r="P87" s="11"/>
      <c r="Q87" s="11"/>
      <c r="R87" s="26"/>
      <c r="S87" s="11"/>
      <c r="T87" s="11"/>
      <c r="U87" s="11"/>
      <c r="V87" s="11"/>
      <c r="W87" s="11"/>
    </row>
    <row r="88" spans="1:23" x14ac:dyDescent="0.3">
      <c r="W88" s="11"/>
    </row>
    <row r="89" spans="1:23" x14ac:dyDescent="0.3">
      <c r="W89" s="11"/>
    </row>
    <row r="90" spans="1:23" x14ac:dyDescent="0.3">
      <c r="W90" s="11"/>
    </row>
    <row r="99" spans="33:43" x14ac:dyDescent="0.3">
      <c r="AH99" s="24" t="s">
        <v>530</v>
      </c>
    </row>
    <row r="100" spans="33:43" x14ac:dyDescent="0.3">
      <c r="AG100" s="598" t="s">
        <v>125</v>
      </c>
      <c r="AH100" s="609" t="s">
        <v>62</v>
      </c>
      <c r="AI100" s="598" t="s">
        <v>126</v>
      </c>
      <c r="AJ100" s="598" t="s">
        <v>127</v>
      </c>
      <c r="AK100" s="598" t="s">
        <v>128</v>
      </c>
      <c r="AL100" s="598" t="s">
        <v>129</v>
      </c>
      <c r="AM100" s="598" t="s">
        <v>130</v>
      </c>
      <c r="AN100" s="598" t="s">
        <v>131</v>
      </c>
      <c r="AO100" s="609" t="s">
        <v>132</v>
      </c>
      <c r="AP100" s="598" t="s">
        <v>133</v>
      </c>
      <c r="AQ100" s="598" t="s">
        <v>134</v>
      </c>
    </row>
    <row r="101" spans="33:43" x14ac:dyDescent="0.3">
      <c r="AG101" s="598">
        <v>2023</v>
      </c>
      <c r="AH101" s="610">
        <v>0.20707428859060401</v>
      </c>
      <c r="AI101" s="598">
        <v>0.18387000000000001</v>
      </c>
      <c r="AJ101" s="598">
        <v>0.25679000000000002</v>
      </c>
      <c r="AK101" s="598">
        <v>0.26774999999999999</v>
      </c>
      <c r="AL101" s="598">
        <v>0.24665999999999999</v>
      </c>
      <c r="AM101" s="598">
        <v>0.32040000000000002</v>
      </c>
      <c r="AN101" s="598">
        <v>0.21448</v>
      </c>
      <c r="AO101" s="598">
        <f t="shared" ref="AO101:AO140" si="18">$B$9</f>
        <v>0</v>
      </c>
      <c r="AP101" s="598">
        <v>3.7440000000000001E-2</v>
      </c>
      <c r="AQ101" s="598">
        <v>7.92E-3</v>
      </c>
    </row>
    <row r="102" spans="33:43" x14ac:dyDescent="0.3">
      <c r="AG102" s="598">
        <v>2024</v>
      </c>
      <c r="AH102" s="610">
        <v>0.20707428859060401</v>
      </c>
      <c r="AI102" s="598">
        <v>0.18387000000000001</v>
      </c>
      <c r="AJ102" s="598">
        <v>0.25679000000000002</v>
      </c>
      <c r="AK102" s="598">
        <v>0.26774999999999999</v>
      </c>
      <c r="AL102" s="598">
        <v>0.24665999999999999</v>
      </c>
      <c r="AM102" s="598">
        <v>0.32040000000000002</v>
      </c>
      <c r="AN102" s="598">
        <v>0.21448</v>
      </c>
      <c r="AO102" s="598">
        <f t="shared" si="18"/>
        <v>0</v>
      </c>
      <c r="AP102" s="598">
        <v>3.7440000000000001E-2</v>
      </c>
      <c r="AQ102" s="598">
        <v>7.92E-3</v>
      </c>
    </row>
    <row r="103" spans="33:43" x14ac:dyDescent="0.3">
      <c r="AG103" s="598">
        <v>2025</v>
      </c>
      <c r="AH103" s="610">
        <v>0.20707428859060401</v>
      </c>
      <c r="AI103" s="598">
        <v>0.18387000000000001</v>
      </c>
      <c r="AJ103" s="598">
        <v>0.25679000000000002</v>
      </c>
      <c r="AK103" s="598">
        <v>0.26774999999999999</v>
      </c>
      <c r="AL103" s="598">
        <v>0.24665999999999999</v>
      </c>
      <c r="AM103" s="598">
        <v>0.32040000000000002</v>
      </c>
      <c r="AN103" s="598">
        <v>0.21448</v>
      </c>
      <c r="AO103" s="598">
        <f t="shared" si="18"/>
        <v>0</v>
      </c>
      <c r="AP103" s="598">
        <v>3.7440000000000001E-2</v>
      </c>
      <c r="AQ103" s="598">
        <v>7.92E-3</v>
      </c>
    </row>
    <row r="104" spans="33:43" x14ac:dyDescent="0.3">
      <c r="AG104" s="598">
        <v>2026</v>
      </c>
      <c r="AH104" s="610">
        <v>0.20707428859060401</v>
      </c>
      <c r="AI104" s="598">
        <v>0.18387000000000001</v>
      </c>
      <c r="AJ104" s="598">
        <v>0.25679000000000002</v>
      </c>
      <c r="AK104" s="598">
        <v>0.26774999999999999</v>
      </c>
      <c r="AL104" s="598">
        <v>0.24665999999999999</v>
      </c>
      <c r="AM104" s="598">
        <v>0.32040000000000002</v>
      </c>
      <c r="AN104" s="598">
        <v>0.21448</v>
      </c>
      <c r="AO104" s="598">
        <f t="shared" si="18"/>
        <v>0</v>
      </c>
      <c r="AP104" s="598">
        <v>3.7440000000000001E-2</v>
      </c>
      <c r="AQ104" s="598">
        <v>7.92E-3</v>
      </c>
    </row>
    <row r="105" spans="33:43" x14ac:dyDescent="0.3">
      <c r="AG105" s="598">
        <v>2027</v>
      </c>
      <c r="AH105" s="610">
        <v>0.20707428859060401</v>
      </c>
      <c r="AI105" s="598">
        <v>0.18387000000000001</v>
      </c>
      <c r="AJ105" s="598">
        <v>0.25679000000000002</v>
      </c>
      <c r="AK105" s="598">
        <v>0.26774999999999999</v>
      </c>
      <c r="AL105" s="598">
        <v>0.24665999999999999</v>
      </c>
      <c r="AM105" s="598">
        <v>0.32040000000000002</v>
      </c>
      <c r="AN105" s="598">
        <v>0.21448</v>
      </c>
      <c r="AO105" s="598">
        <f t="shared" si="18"/>
        <v>0</v>
      </c>
      <c r="AP105" s="598">
        <v>3.7440000000000001E-2</v>
      </c>
      <c r="AQ105" s="598">
        <v>7.92E-3</v>
      </c>
    </row>
    <row r="106" spans="33:43" x14ac:dyDescent="0.3">
      <c r="AG106" s="598">
        <v>2028</v>
      </c>
      <c r="AH106" s="610">
        <v>0.20707428859060401</v>
      </c>
      <c r="AI106" s="598">
        <v>0.18387000000000001</v>
      </c>
      <c r="AJ106" s="598">
        <v>0.25679000000000002</v>
      </c>
      <c r="AK106" s="598">
        <v>0.26774999999999999</v>
      </c>
      <c r="AL106" s="598">
        <v>0.24665999999999999</v>
      </c>
      <c r="AM106" s="598">
        <v>0.32040000000000002</v>
      </c>
      <c r="AN106" s="598">
        <v>0.21448</v>
      </c>
      <c r="AO106" s="598">
        <f t="shared" si="18"/>
        <v>0</v>
      </c>
      <c r="AP106" s="598">
        <v>3.7440000000000001E-2</v>
      </c>
      <c r="AQ106" s="598">
        <v>7.92E-3</v>
      </c>
    </row>
    <row r="107" spans="33:43" x14ac:dyDescent="0.3">
      <c r="AG107" s="598">
        <v>2029</v>
      </c>
      <c r="AH107" s="610">
        <v>0.20707428859060401</v>
      </c>
      <c r="AI107" s="598">
        <v>0.18387000000000001</v>
      </c>
      <c r="AJ107" s="598">
        <v>0.25679000000000002</v>
      </c>
      <c r="AK107" s="598">
        <v>0.26774999999999999</v>
      </c>
      <c r="AL107" s="598">
        <v>0.24665999999999999</v>
      </c>
      <c r="AM107" s="598">
        <v>0.32040000000000002</v>
      </c>
      <c r="AN107" s="598">
        <v>0.21448</v>
      </c>
      <c r="AO107" s="598">
        <f t="shared" si="18"/>
        <v>0</v>
      </c>
      <c r="AP107" s="598">
        <v>3.7440000000000001E-2</v>
      </c>
      <c r="AQ107" s="598">
        <v>7.92E-3</v>
      </c>
    </row>
    <row r="108" spans="33:43" x14ac:dyDescent="0.3">
      <c r="AG108" s="598">
        <v>2030</v>
      </c>
      <c r="AH108" s="610">
        <v>0.20707428859060401</v>
      </c>
      <c r="AI108" s="598">
        <v>0.18387000000000001</v>
      </c>
      <c r="AJ108" s="598">
        <v>0.25679000000000002</v>
      </c>
      <c r="AK108" s="598">
        <v>0.26774999999999999</v>
      </c>
      <c r="AL108" s="598">
        <v>0.24665999999999999</v>
      </c>
      <c r="AM108" s="598">
        <v>0.32040000000000002</v>
      </c>
      <c r="AN108" s="598">
        <v>0.21448</v>
      </c>
      <c r="AO108" s="598">
        <f t="shared" si="18"/>
        <v>0</v>
      </c>
      <c r="AP108" s="598">
        <v>3.7440000000000001E-2</v>
      </c>
      <c r="AQ108" s="598">
        <v>7.92E-3</v>
      </c>
    </row>
    <row r="109" spans="33:43" x14ac:dyDescent="0.3">
      <c r="AG109" s="598">
        <v>2031</v>
      </c>
      <c r="AH109" s="610">
        <v>0.20707428859060401</v>
      </c>
      <c r="AI109" s="598">
        <v>0.18387000000000001</v>
      </c>
      <c r="AJ109" s="598">
        <v>0.25679000000000002</v>
      </c>
      <c r="AK109" s="598">
        <v>0.26774999999999999</v>
      </c>
      <c r="AL109" s="598">
        <v>0.24665999999999999</v>
      </c>
      <c r="AM109" s="598">
        <v>0.32040000000000002</v>
      </c>
      <c r="AN109" s="598">
        <v>0.21448</v>
      </c>
      <c r="AO109" s="598">
        <f t="shared" si="18"/>
        <v>0</v>
      </c>
      <c r="AP109" s="598">
        <v>3.7440000000000001E-2</v>
      </c>
      <c r="AQ109" s="598">
        <v>7.92E-3</v>
      </c>
    </row>
    <row r="110" spans="33:43" x14ac:dyDescent="0.3">
      <c r="AG110" s="598">
        <v>2032</v>
      </c>
      <c r="AH110" s="610">
        <v>0.20707428859060401</v>
      </c>
      <c r="AI110" s="598">
        <v>0.18387000000000001</v>
      </c>
      <c r="AJ110" s="598">
        <v>0.25679000000000002</v>
      </c>
      <c r="AK110" s="598">
        <v>0.26774999999999999</v>
      </c>
      <c r="AL110" s="598">
        <v>0.24665999999999999</v>
      </c>
      <c r="AM110" s="598">
        <v>0.32040000000000002</v>
      </c>
      <c r="AN110" s="598">
        <v>0.21448</v>
      </c>
      <c r="AO110" s="598">
        <f t="shared" si="18"/>
        <v>0</v>
      </c>
      <c r="AP110" s="598">
        <v>3.7440000000000001E-2</v>
      </c>
      <c r="AQ110" s="598">
        <v>7.92E-3</v>
      </c>
    </row>
    <row r="111" spans="33:43" x14ac:dyDescent="0.3">
      <c r="AG111" s="598">
        <v>2033</v>
      </c>
      <c r="AH111" s="610">
        <v>0.20707428859060401</v>
      </c>
      <c r="AI111" s="598">
        <v>0.18387000000000001</v>
      </c>
      <c r="AJ111" s="598">
        <v>0.25679000000000002</v>
      </c>
      <c r="AK111" s="598">
        <v>0.26774999999999999</v>
      </c>
      <c r="AL111" s="598">
        <v>0.24665999999999999</v>
      </c>
      <c r="AM111" s="598">
        <v>0.32040000000000002</v>
      </c>
      <c r="AN111" s="598">
        <v>0.21448</v>
      </c>
      <c r="AO111" s="598">
        <f t="shared" si="18"/>
        <v>0</v>
      </c>
      <c r="AP111" s="598">
        <v>3.7440000000000001E-2</v>
      </c>
      <c r="AQ111" s="598">
        <v>7.92E-3</v>
      </c>
    </row>
    <row r="112" spans="33:43" x14ac:dyDescent="0.3">
      <c r="AG112" s="598">
        <v>2034</v>
      </c>
      <c r="AH112" s="610">
        <v>0.20707428859060401</v>
      </c>
      <c r="AI112" s="598">
        <v>0.18387000000000001</v>
      </c>
      <c r="AJ112" s="598">
        <v>0.25679000000000002</v>
      </c>
      <c r="AK112" s="598">
        <v>0.26774999999999999</v>
      </c>
      <c r="AL112" s="598">
        <v>0.24665999999999999</v>
      </c>
      <c r="AM112" s="598">
        <v>0.32040000000000002</v>
      </c>
      <c r="AN112" s="598">
        <v>0.21448</v>
      </c>
      <c r="AO112" s="598">
        <f t="shared" si="18"/>
        <v>0</v>
      </c>
      <c r="AP112" s="598">
        <v>3.7440000000000001E-2</v>
      </c>
      <c r="AQ112" s="598">
        <v>7.92E-3</v>
      </c>
    </row>
    <row r="113" spans="33:43" x14ac:dyDescent="0.3">
      <c r="AG113" s="598">
        <v>2035</v>
      </c>
      <c r="AH113" s="610">
        <v>0.20707428859060401</v>
      </c>
      <c r="AI113" s="598">
        <v>0.18387000000000001</v>
      </c>
      <c r="AJ113" s="598">
        <v>0.25679000000000002</v>
      </c>
      <c r="AK113" s="598">
        <v>0.26774999999999999</v>
      </c>
      <c r="AL113" s="598">
        <v>0.24665999999999999</v>
      </c>
      <c r="AM113" s="598">
        <v>0.32040000000000002</v>
      </c>
      <c r="AN113" s="598">
        <v>0.21448</v>
      </c>
      <c r="AO113" s="598">
        <f t="shared" si="18"/>
        <v>0</v>
      </c>
      <c r="AP113" s="598">
        <v>3.7440000000000001E-2</v>
      </c>
      <c r="AQ113" s="598">
        <v>7.92E-3</v>
      </c>
    </row>
    <row r="114" spans="33:43" x14ac:dyDescent="0.3">
      <c r="AG114" s="598">
        <v>2036</v>
      </c>
      <c r="AH114" s="610">
        <v>0.20707428859060401</v>
      </c>
      <c r="AI114" s="598">
        <v>0.18387000000000001</v>
      </c>
      <c r="AJ114" s="598">
        <v>0.25679000000000002</v>
      </c>
      <c r="AK114" s="598">
        <v>0.26774999999999999</v>
      </c>
      <c r="AL114" s="598">
        <v>0.24665999999999999</v>
      </c>
      <c r="AM114" s="598">
        <v>0.32040000000000002</v>
      </c>
      <c r="AN114" s="598">
        <v>0.21448</v>
      </c>
      <c r="AO114" s="598">
        <f t="shared" si="18"/>
        <v>0</v>
      </c>
      <c r="AP114" s="598">
        <v>3.7440000000000001E-2</v>
      </c>
      <c r="AQ114" s="598">
        <v>7.92E-3</v>
      </c>
    </row>
    <row r="115" spans="33:43" x14ac:dyDescent="0.3">
      <c r="AG115" s="598">
        <v>2037</v>
      </c>
      <c r="AH115" s="610">
        <v>0.20707428859060401</v>
      </c>
      <c r="AI115" s="598">
        <v>0.18387000000000001</v>
      </c>
      <c r="AJ115" s="598">
        <v>0.25679000000000002</v>
      </c>
      <c r="AK115" s="598">
        <v>0.26774999999999999</v>
      </c>
      <c r="AL115" s="598">
        <v>0.24665999999999999</v>
      </c>
      <c r="AM115" s="598">
        <v>0.32040000000000002</v>
      </c>
      <c r="AN115" s="598">
        <v>0.21448</v>
      </c>
      <c r="AO115" s="598">
        <f t="shared" si="18"/>
        <v>0</v>
      </c>
      <c r="AP115" s="598">
        <v>3.7440000000000001E-2</v>
      </c>
      <c r="AQ115" s="598">
        <v>7.92E-3</v>
      </c>
    </row>
    <row r="116" spans="33:43" x14ac:dyDescent="0.3">
      <c r="AG116" s="598">
        <v>2038</v>
      </c>
      <c r="AH116" s="610">
        <v>0.20707428859060401</v>
      </c>
      <c r="AI116" s="598">
        <v>0.18387000000000001</v>
      </c>
      <c r="AJ116" s="598">
        <v>0.25679000000000002</v>
      </c>
      <c r="AK116" s="598">
        <v>0.26774999999999999</v>
      </c>
      <c r="AL116" s="598">
        <v>0.24665999999999999</v>
      </c>
      <c r="AM116" s="598">
        <v>0.32040000000000002</v>
      </c>
      <c r="AN116" s="598">
        <v>0.21448</v>
      </c>
      <c r="AO116" s="598">
        <f t="shared" si="18"/>
        <v>0</v>
      </c>
      <c r="AP116" s="598">
        <v>3.7440000000000001E-2</v>
      </c>
      <c r="AQ116" s="598">
        <v>7.92E-3</v>
      </c>
    </row>
    <row r="117" spans="33:43" x14ac:dyDescent="0.3">
      <c r="AG117" s="598">
        <v>2039</v>
      </c>
      <c r="AH117" s="610">
        <v>0.20707428859060401</v>
      </c>
      <c r="AI117" s="598">
        <v>0.18387000000000001</v>
      </c>
      <c r="AJ117" s="598">
        <v>0.25679000000000002</v>
      </c>
      <c r="AK117" s="598">
        <v>0.26774999999999999</v>
      </c>
      <c r="AL117" s="598">
        <v>0.24665999999999999</v>
      </c>
      <c r="AM117" s="598">
        <v>0.32040000000000002</v>
      </c>
      <c r="AN117" s="598">
        <v>0.21448</v>
      </c>
      <c r="AO117" s="598">
        <f t="shared" si="18"/>
        <v>0</v>
      </c>
      <c r="AP117" s="598">
        <v>3.7440000000000001E-2</v>
      </c>
      <c r="AQ117" s="598">
        <v>7.92E-3</v>
      </c>
    </row>
    <row r="118" spans="33:43" x14ac:dyDescent="0.3">
      <c r="AG118" s="598">
        <v>2040</v>
      </c>
      <c r="AH118" s="610">
        <v>0.20707428859060401</v>
      </c>
      <c r="AI118" s="598">
        <v>0.18387000000000001</v>
      </c>
      <c r="AJ118" s="598">
        <v>0.25679000000000002</v>
      </c>
      <c r="AK118" s="598">
        <v>0.26774999999999999</v>
      </c>
      <c r="AL118" s="598">
        <v>0.24665999999999999</v>
      </c>
      <c r="AM118" s="598">
        <v>0.32040000000000002</v>
      </c>
      <c r="AN118" s="598">
        <v>0.21448</v>
      </c>
      <c r="AO118" s="598">
        <f t="shared" si="18"/>
        <v>0</v>
      </c>
      <c r="AP118" s="598">
        <v>3.7440000000000001E-2</v>
      </c>
      <c r="AQ118" s="598">
        <v>7.92E-3</v>
      </c>
    </row>
    <row r="119" spans="33:43" x14ac:dyDescent="0.3">
      <c r="AG119" s="598">
        <v>2041</v>
      </c>
      <c r="AH119" s="610">
        <v>0.20707428859060401</v>
      </c>
      <c r="AI119" s="598">
        <v>0.18387000000000001</v>
      </c>
      <c r="AJ119" s="598">
        <v>0.25679000000000002</v>
      </c>
      <c r="AK119" s="598">
        <v>0.26774999999999999</v>
      </c>
      <c r="AL119" s="598">
        <v>0.24665999999999999</v>
      </c>
      <c r="AM119" s="598">
        <v>0.32040000000000002</v>
      </c>
      <c r="AN119" s="598">
        <v>0.21448</v>
      </c>
      <c r="AO119" s="598">
        <f t="shared" si="18"/>
        <v>0</v>
      </c>
      <c r="AP119" s="598">
        <v>3.7440000000000001E-2</v>
      </c>
      <c r="AQ119" s="598">
        <v>7.92E-3</v>
      </c>
    </row>
    <row r="120" spans="33:43" x14ac:dyDescent="0.3">
      <c r="AG120" s="598">
        <v>2042</v>
      </c>
      <c r="AH120" s="610">
        <v>0.20707428859060401</v>
      </c>
      <c r="AI120" s="598">
        <v>0.18387000000000001</v>
      </c>
      <c r="AJ120" s="598">
        <v>0.25679000000000002</v>
      </c>
      <c r="AK120" s="598">
        <v>0.26774999999999999</v>
      </c>
      <c r="AL120" s="598">
        <v>0.24665999999999999</v>
      </c>
      <c r="AM120" s="598">
        <v>0.32040000000000002</v>
      </c>
      <c r="AN120" s="598">
        <v>0.21448</v>
      </c>
      <c r="AO120" s="598">
        <f t="shared" si="18"/>
        <v>0</v>
      </c>
      <c r="AP120" s="598">
        <v>3.7440000000000001E-2</v>
      </c>
      <c r="AQ120" s="598">
        <v>7.92E-3</v>
      </c>
    </row>
    <row r="121" spans="33:43" x14ac:dyDescent="0.3">
      <c r="AG121" s="598">
        <v>2043</v>
      </c>
      <c r="AH121" s="610">
        <v>0.20707428859060401</v>
      </c>
      <c r="AI121" s="598">
        <v>0.18387000000000001</v>
      </c>
      <c r="AJ121" s="598">
        <v>0.25679000000000002</v>
      </c>
      <c r="AK121" s="598">
        <v>0.26774999999999999</v>
      </c>
      <c r="AL121" s="598">
        <v>0.24665999999999999</v>
      </c>
      <c r="AM121" s="598">
        <v>0.32040000000000002</v>
      </c>
      <c r="AN121" s="598">
        <v>0.21448</v>
      </c>
      <c r="AO121" s="598">
        <f t="shared" si="18"/>
        <v>0</v>
      </c>
      <c r="AP121" s="598">
        <v>3.7440000000000001E-2</v>
      </c>
      <c r="AQ121" s="598">
        <v>7.92E-3</v>
      </c>
    </row>
    <row r="122" spans="33:43" x14ac:dyDescent="0.3">
      <c r="AG122" s="598">
        <v>2044</v>
      </c>
      <c r="AH122" s="610">
        <v>0.20707428859060401</v>
      </c>
      <c r="AI122" s="598">
        <v>0.18387000000000001</v>
      </c>
      <c r="AJ122" s="598">
        <v>0.25679000000000002</v>
      </c>
      <c r="AK122" s="598">
        <v>0.26774999999999999</v>
      </c>
      <c r="AL122" s="598">
        <v>0.24665999999999999</v>
      </c>
      <c r="AM122" s="598">
        <v>0.32040000000000002</v>
      </c>
      <c r="AN122" s="598">
        <v>0.21448</v>
      </c>
      <c r="AO122" s="598">
        <f t="shared" si="18"/>
        <v>0</v>
      </c>
      <c r="AP122" s="598">
        <v>3.7440000000000001E-2</v>
      </c>
      <c r="AQ122" s="598">
        <v>7.92E-3</v>
      </c>
    </row>
    <row r="123" spans="33:43" x14ac:dyDescent="0.3">
      <c r="AG123" s="598">
        <v>2045</v>
      </c>
      <c r="AH123" s="610">
        <v>0.20707428859060401</v>
      </c>
      <c r="AI123" s="598">
        <v>0.18387000000000001</v>
      </c>
      <c r="AJ123" s="598">
        <v>0.25679000000000002</v>
      </c>
      <c r="AK123" s="598">
        <v>0.26774999999999999</v>
      </c>
      <c r="AL123" s="598">
        <v>0.24665999999999999</v>
      </c>
      <c r="AM123" s="598">
        <v>0.32040000000000002</v>
      </c>
      <c r="AN123" s="598">
        <v>0.21448</v>
      </c>
      <c r="AO123" s="598">
        <f t="shared" si="18"/>
        <v>0</v>
      </c>
      <c r="AP123" s="598">
        <v>3.7440000000000001E-2</v>
      </c>
      <c r="AQ123" s="598">
        <v>7.92E-3</v>
      </c>
    </row>
    <row r="124" spans="33:43" x14ac:dyDescent="0.3">
      <c r="AG124" s="598">
        <v>2046</v>
      </c>
      <c r="AH124" s="610">
        <v>0.20707428859060401</v>
      </c>
      <c r="AI124" s="598">
        <v>0.18387000000000001</v>
      </c>
      <c r="AJ124" s="598">
        <v>0.25679000000000002</v>
      </c>
      <c r="AK124" s="598">
        <v>0.26774999999999999</v>
      </c>
      <c r="AL124" s="598">
        <v>0.24665999999999999</v>
      </c>
      <c r="AM124" s="598">
        <v>0.32040000000000002</v>
      </c>
      <c r="AN124" s="598">
        <v>0.21448</v>
      </c>
      <c r="AO124" s="598">
        <f t="shared" si="18"/>
        <v>0</v>
      </c>
      <c r="AP124" s="598">
        <v>3.7440000000000001E-2</v>
      </c>
      <c r="AQ124" s="598">
        <v>7.92E-3</v>
      </c>
    </row>
    <row r="125" spans="33:43" x14ac:dyDescent="0.3">
      <c r="AG125" s="598">
        <v>2047</v>
      </c>
      <c r="AH125" s="610">
        <v>0.20707428859060401</v>
      </c>
      <c r="AI125" s="598">
        <v>0.18387000000000001</v>
      </c>
      <c r="AJ125" s="598">
        <v>0.25679000000000002</v>
      </c>
      <c r="AK125" s="598">
        <v>0.26774999999999999</v>
      </c>
      <c r="AL125" s="598">
        <v>0.24665999999999999</v>
      </c>
      <c r="AM125" s="598">
        <v>0.32040000000000002</v>
      </c>
      <c r="AN125" s="598">
        <v>0.21448</v>
      </c>
      <c r="AO125" s="598">
        <f t="shared" si="18"/>
        <v>0</v>
      </c>
      <c r="AP125" s="598">
        <v>3.7440000000000001E-2</v>
      </c>
      <c r="AQ125" s="598">
        <v>7.92E-3</v>
      </c>
    </row>
    <row r="126" spans="33:43" x14ac:dyDescent="0.3">
      <c r="AG126" s="598">
        <v>2048</v>
      </c>
      <c r="AH126" s="610">
        <v>0.20707428859060401</v>
      </c>
      <c r="AI126" s="598">
        <v>0.18387000000000001</v>
      </c>
      <c r="AJ126" s="598">
        <v>0.25679000000000002</v>
      </c>
      <c r="AK126" s="598">
        <v>0.26774999999999999</v>
      </c>
      <c r="AL126" s="598">
        <v>0.24665999999999999</v>
      </c>
      <c r="AM126" s="598">
        <v>0.32040000000000002</v>
      </c>
      <c r="AN126" s="598">
        <v>0.21448</v>
      </c>
      <c r="AO126" s="598">
        <f t="shared" si="18"/>
        <v>0</v>
      </c>
      <c r="AP126" s="598">
        <v>3.7440000000000001E-2</v>
      </c>
      <c r="AQ126" s="598">
        <v>7.92E-3</v>
      </c>
    </row>
    <row r="127" spans="33:43" x14ac:dyDescent="0.3">
      <c r="AG127" s="598">
        <v>2049</v>
      </c>
      <c r="AH127" s="610">
        <v>0.20707428859060401</v>
      </c>
      <c r="AI127" s="598">
        <v>0.18387000000000001</v>
      </c>
      <c r="AJ127" s="598">
        <v>0.25679000000000002</v>
      </c>
      <c r="AK127" s="598">
        <v>0.26774999999999999</v>
      </c>
      <c r="AL127" s="598">
        <v>0.24665999999999999</v>
      </c>
      <c r="AM127" s="598">
        <v>0.32040000000000002</v>
      </c>
      <c r="AN127" s="598">
        <v>0.21448</v>
      </c>
      <c r="AO127" s="598">
        <f t="shared" si="18"/>
        <v>0</v>
      </c>
      <c r="AP127" s="598">
        <v>3.7440000000000001E-2</v>
      </c>
      <c r="AQ127" s="598">
        <v>7.92E-3</v>
      </c>
    </row>
    <row r="128" spans="33:43" x14ac:dyDescent="0.3">
      <c r="AG128" s="598">
        <v>2050</v>
      </c>
      <c r="AH128" s="610">
        <v>0.20707428859060401</v>
      </c>
      <c r="AI128" s="598">
        <v>0.18387000000000001</v>
      </c>
      <c r="AJ128" s="598">
        <v>0.25679000000000002</v>
      </c>
      <c r="AK128" s="598">
        <v>0.26774999999999999</v>
      </c>
      <c r="AL128" s="598">
        <v>0.24665999999999999</v>
      </c>
      <c r="AM128" s="598">
        <v>0.32040000000000002</v>
      </c>
      <c r="AN128" s="598">
        <v>0.21448</v>
      </c>
      <c r="AO128" s="598">
        <f t="shared" si="18"/>
        <v>0</v>
      </c>
      <c r="AP128" s="598">
        <v>3.7440000000000001E-2</v>
      </c>
      <c r="AQ128" s="598">
        <v>7.92E-3</v>
      </c>
    </row>
    <row r="129" spans="33:43" x14ac:dyDescent="0.3">
      <c r="AG129" s="598">
        <v>2051</v>
      </c>
      <c r="AH129" s="610">
        <v>0.20707428859060401</v>
      </c>
      <c r="AI129" s="598">
        <v>0.18387000000000001</v>
      </c>
      <c r="AJ129" s="598">
        <v>0.25679000000000002</v>
      </c>
      <c r="AK129" s="598">
        <v>0.26774999999999999</v>
      </c>
      <c r="AL129" s="598">
        <v>0.24665999999999999</v>
      </c>
      <c r="AM129" s="598">
        <v>0.32040000000000002</v>
      </c>
      <c r="AN129" s="598">
        <v>0.21448</v>
      </c>
      <c r="AO129" s="598">
        <f t="shared" si="18"/>
        <v>0</v>
      </c>
      <c r="AP129" s="598">
        <v>3.7440000000000001E-2</v>
      </c>
      <c r="AQ129" s="598">
        <v>7.92E-3</v>
      </c>
    </row>
    <row r="130" spans="33:43" x14ac:dyDescent="0.3">
      <c r="AG130" s="598">
        <v>2052</v>
      </c>
      <c r="AH130" s="610">
        <v>0.20707428859060401</v>
      </c>
      <c r="AI130" s="598">
        <v>0.18387000000000001</v>
      </c>
      <c r="AJ130" s="598">
        <v>0.25679000000000002</v>
      </c>
      <c r="AK130" s="598">
        <v>0.26774999999999999</v>
      </c>
      <c r="AL130" s="598">
        <v>0.24665999999999999</v>
      </c>
      <c r="AM130" s="598">
        <v>0.32040000000000002</v>
      </c>
      <c r="AN130" s="598">
        <v>0.21448</v>
      </c>
      <c r="AO130" s="598">
        <f t="shared" si="18"/>
        <v>0</v>
      </c>
      <c r="AP130" s="598">
        <v>3.7440000000000001E-2</v>
      </c>
      <c r="AQ130" s="598">
        <v>7.92E-3</v>
      </c>
    </row>
    <row r="131" spans="33:43" x14ac:dyDescent="0.3">
      <c r="AG131" s="598">
        <v>2053</v>
      </c>
      <c r="AH131" s="610">
        <v>0.20707428859060401</v>
      </c>
      <c r="AI131" s="598">
        <v>0.18387000000000001</v>
      </c>
      <c r="AJ131" s="598">
        <v>0.25679000000000002</v>
      </c>
      <c r="AK131" s="598">
        <v>0.26774999999999999</v>
      </c>
      <c r="AL131" s="598">
        <v>0.24665999999999999</v>
      </c>
      <c r="AM131" s="598">
        <v>0.32040000000000002</v>
      </c>
      <c r="AN131" s="598">
        <v>0.21448</v>
      </c>
      <c r="AO131" s="598">
        <f t="shared" si="18"/>
        <v>0</v>
      </c>
      <c r="AP131" s="598">
        <v>3.7440000000000001E-2</v>
      </c>
      <c r="AQ131" s="598">
        <v>7.92E-3</v>
      </c>
    </row>
    <row r="132" spans="33:43" x14ac:dyDescent="0.3">
      <c r="AG132" s="598">
        <v>2054</v>
      </c>
      <c r="AH132" s="610">
        <v>0.20707428859060401</v>
      </c>
      <c r="AI132" s="598">
        <v>0.18387000000000001</v>
      </c>
      <c r="AJ132" s="598">
        <v>0.25679000000000002</v>
      </c>
      <c r="AK132" s="598">
        <v>0.26774999999999999</v>
      </c>
      <c r="AL132" s="598">
        <v>0.24665999999999999</v>
      </c>
      <c r="AM132" s="598">
        <v>0.32040000000000002</v>
      </c>
      <c r="AN132" s="598">
        <v>0.21448</v>
      </c>
      <c r="AO132" s="598">
        <f t="shared" si="18"/>
        <v>0</v>
      </c>
      <c r="AP132" s="598">
        <v>3.7440000000000001E-2</v>
      </c>
      <c r="AQ132" s="598">
        <v>7.92E-3</v>
      </c>
    </row>
    <row r="133" spans="33:43" x14ac:dyDescent="0.3">
      <c r="AG133" s="598">
        <v>2055</v>
      </c>
      <c r="AH133" s="610">
        <v>0.20707428859060401</v>
      </c>
      <c r="AI133" s="598">
        <v>0.18387000000000001</v>
      </c>
      <c r="AJ133" s="598">
        <v>0.25679000000000002</v>
      </c>
      <c r="AK133" s="598">
        <v>0.26774999999999999</v>
      </c>
      <c r="AL133" s="598">
        <v>0.24665999999999999</v>
      </c>
      <c r="AM133" s="598">
        <v>0.32040000000000002</v>
      </c>
      <c r="AN133" s="598">
        <v>0.21448</v>
      </c>
      <c r="AO133" s="598">
        <f t="shared" si="18"/>
        <v>0</v>
      </c>
      <c r="AP133" s="598">
        <v>3.7440000000000001E-2</v>
      </c>
      <c r="AQ133" s="598">
        <v>7.92E-3</v>
      </c>
    </row>
    <row r="134" spans="33:43" x14ac:dyDescent="0.3">
      <c r="AG134" s="598">
        <v>2056</v>
      </c>
      <c r="AH134" s="610">
        <v>0.20707428859060401</v>
      </c>
      <c r="AI134" s="598">
        <v>0.18387000000000001</v>
      </c>
      <c r="AJ134" s="598">
        <v>0.25679000000000002</v>
      </c>
      <c r="AK134" s="598">
        <v>0.26774999999999999</v>
      </c>
      <c r="AL134" s="598">
        <v>0.24665999999999999</v>
      </c>
      <c r="AM134" s="598">
        <v>0.32040000000000002</v>
      </c>
      <c r="AN134" s="598">
        <v>0.21448</v>
      </c>
      <c r="AO134" s="598">
        <f t="shared" si="18"/>
        <v>0</v>
      </c>
      <c r="AP134" s="598">
        <v>3.7440000000000001E-2</v>
      </c>
      <c r="AQ134" s="598">
        <v>7.92E-3</v>
      </c>
    </row>
    <row r="135" spans="33:43" x14ac:dyDescent="0.3">
      <c r="AG135" s="598">
        <v>2057</v>
      </c>
      <c r="AH135" s="610">
        <v>0.20707428859060401</v>
      </c>
      <c r="AI135" s="598">
        <v>0.18387000000000001</v>
      </c>
      <c r="AJ135" s="598">
        <v>0.25679000000000002</v>
      </c>
      <c r="AK135" s="598">
        <v>0.26774999999999999</v>
      </c>
      <c r="AL135" s="598">
        <v>0.24665999999999999</v>
      </c>
      <c r="AM135" s="598">
        <v>0.32040000000000002</v>
      </c>
      <c r="AN135" s="598">
        <v>0.21448</v>
      </c>
      <c r="AO135" s="598">
        <f t="shared" si="18"/>
        <v>0</v>
      </c>
      <c r="AP135" s="598">
        <v>3.7440000000000001E-2</v>
      </c>
      <c r="AQ135" s="598">
        <v>7.92E-3</v>
      </c>
    </row>
    <row r="136" spans="33:43" x14ac:dyDescent="0.3">
      <c r="AG136" s="598">
        <v>2058</v>
      </c>
      <c r="AH136" s="610">
        <v>0.20707428859060401</v>
      </c>
      <c r="AI136" s="598">
        <v>0.18387000000000001</v>
      </c>
      <c r="AJ136" s="598">
        <v>0.25679000000000002</v>
      </c>
      <c r="AK136" s="598">
        <v>0.26774999999999999</v>
      </c>
      <c r="AL136" s="598">
        <v>0.24665999999999999</v>
      </c>
      <c r="AM136" s="598">
        <v>0.32040000000000002</v>
      </c>
      <c r="AN136" s="598">
        <v>0.21448</v>
      </c>
      <c r="AO136" s="598">
        <f t="shared" si="18"/>
        <v>0</v>
      </c>
      <c r="AP136" s="598">
        <v>3.7440000000000001E-2</v>
      </c>
      <c r="AQ136" s="598">
        <v>7.92E-3</v>
      </c>
    </row>
    <row r="137" spans="33:43" x14ac:dyDescent="0.3">
      <c r="AG137" s="598">
        <v>2059</v>
      </c>
      <c r="AH137" s="610">
        <v>0.20707428859060401</v>
      </c>
      <c r="AI137" s="598">
        <v>0.18387000000000001</v>
      </c>
      <c r="AJ137" s="598">
        <v>0.25679000000000002</v>
      </c>
      <c r="AK137" s="598">
        <v>0.26774999999999999</v>
      </c>
      <c r="AL137" s="598">
        <v>0.24665999999999999</v>
      </c>
      <c r="AM137" s="598">
        <v>0.32040000000000002</v>
      </c>
      <c r="AN137" s="598">
        <v>0.21448</v>
      </c>
      <c r="AO137" s="598">
        <f t="shared" si="18"/>
        <v>0</v>
      </c>
      <c r="AP137" s="598">
        <v>3.7440000000000001E-2</v>
      </c>
      <c r="AQ137" s="598">
        <v>7.92E-3</v>
      </c>
    </row>
    <row r="138" spans="33:43" x14ac:dyDescent="0.3">
      <c r="AG138" s="598">
        <v>2060</v>
      </c>
      <c r="AH138" s="610">
        <v>0.20707428859060401</v>
      </c>
      <c r="AI138" s="598">
        <v>0.18387000000000001</v>
      </c>
      <c r="AJ138" s="598">
        <v>0.25679000000000002</v>
      </c>
      <c r="AK138" s="598">
        <v>0.26774999999999999</v>
      </c>
      <c r="AL138" s="598">
        <v>0.24665999999999999</v>
      </c>
      <c r="AM138" s="598">
        <v>0.32040000000000002</v>
      </c>
      <c r="AN138" s="598">
        <v>0.21448</v>
      </c>
      <c r="AO138" s="598">
        <f t="shared" si="18"/>
        <v>0</v>
      </c>
      <c r="AP138" s="598">
        <v>3.7440000000000001E-2</v>
      </c>
      <c r="AQ138" s="598">
        <v>7.92E-3</v>
      </c>
    </row>
    <row r="139" spans="33:43" x14ac:dyDescent="0.3">
      <c r="AG139" s="598">
        <v>2061</v>
      </c>
      <c r="AH139" s="610">
        <v>0.20707428859060401</v>
      </c>
      <c r="AI139" s="598">
        <v>0.18387000000000001</v>
      </c>
      <c r="AJ139" s="598">
        <v>0.25679000000000002</v>
      </c>
      <c r="AK139" s="598">
        <v>0.26774999999999999</v>
      </c>
      <c r="AL139" s="598">
        <v>0.24665999999999999</v>
      </c>
      <c r="AM139" s="598">
        <v>0.32040000000000002</v>
      </c>
      <c r="AN139" s="598">
        <v>0.21448</v>
      </c>
      <c r="AO139" s="598">
        <f t="shared" si="18"/>
        <v>0</v>
      </c>
      <c r="AP139" s="598">
        <v>3.7440000000000001E-2</v>
      </c>
      <c r="AQ139" s="598">
        <v>7.92E-3</v>
      </c>
    </row>
    <row r="140" spans="33:43" x14ac:dyDescent="0.3">
      <c r="AG140" s="598">
        <v>2062</v>
      </c>
      <c r="AH140" s="610">
        <v>0.20707428859060401</v>
      </c>
      <c r="AI140" s="598">
        <v>0.18387000000000001</v>
      </c>
      <c r="AJ140" s="598">
        <v>0.25679000000000002</v>
      </c>
      <c r="AK140" s="598">
        <v>0.26774999999999999</v>
      </c>
      <c r="AL140" s="598">
        <v>0.24665999999999999</v>
      </c>
      <c r="AM140" s="598">
        <v>0.32040000000000002</v>
      </c>
      <c r="AN140" s="598">
        <v>0.21448</v>
      </c>
      <c r="AO140" s="598">
        <f t="shared" si="18"/>
        <v>0</v>
      </c>
      <c r="AP140" s="598">
        <v>3.7440000000000001E-2</v>
      </c>
      <c r="AQ140" s="598">
        <v>7.92E-3</v>
      </c>
    </row>
  </sheetData>
  <sheetProtection algorithmName="SHA-512" hashValue="ZuISan5Tb2X6qpTLJsURNH5MjOmhW6KcqON7iwtbhdY8ADdqrp2vNKCc/uDNYBnhiL7Hmj5/XS395obb0e1nxA==" saltValue="6jBzSZQgmONbyDark4p/Kg==" spinCount="100000" sheet="1"/>
  <dataConsolidate link="1"/>
  <mergeCells count="67">
    <mergeCell ref="A71:V71"/>
    <mergeCell ref="B68:V68"/>
    <mergeCell ref="G8:K8"/>
    <mergeCell ref="D3:G3"/>
    <mergeCell ref="I13:J13"/>
    <mergeCell ref="B3:C3"/>
    <mergeCell ref="B10:V10"/>
    <mergeCell ref="U3:V7"/>
    <mergeCell ref="G9:K9"/>
    <mergeCell ref="L9:M9"/>
    <mergeCell ref="L8:M8"/>
    <mergeCell ref="I61:J61"/>
    <mergeCell ref="I19:J19"/>
    <mergeCell ref="I20:J20"/>
    <mergeCell ref="I17:J17"/>
    <mergeCell ref="I15:J15"/>
    <mergeCell ref="B67:V67"/>
    <mergeCell ref="B69:V69"/>
    <mergeCell ref="I12:J12"/>
    <mergeCell ref="I18:J18"/>
    <mergeCell ref="I16:J16"/>
    <mergeCell ref="I25:J25"/>
    <mergeCell ref="I26:J26"/>
    <mergeCell ref="I27:J27"/>
    <mergeCell ref="I28:J28"/>
    <mergeCell ref="I29:J29"/>
    <mergeCell ref="I30:J30"/>
    <mergeCell ref="I31:J31"/>
    <mergeCell ref="I32:J32"/>
    <mergeCell ref="I33:J33"/>
    <mergeCell ref="I34:J34"/>
    <mergeCell ref="N6:O7"/>
    <mergeCell ref="D4:G4"/>
    <mergeCell ref="H6:I6"/>
    <mergeCell ref="I21:J21"/>
    <mergeCell ref="I22:J22"/>
    <mergeCell ref="I14:J14"/>
    <mergeCell ref="I23:J23"/>
    <mergeCell ref="I24:J24"/>
    <mergeCell ref="B4:C4"/>
    <mergeCell ref="I11:J11"/>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60:J60"/>
    <mergeCell ref="I55:J55"/>
    <mergeCell ref="I56:J56"/>
    <mergeCell ref="I57:J57"/>
    <mergeCell ref="I58:J58"/>
    <mergeCell ref="I59:J59"/>
  </mergeCells>
  <conditionalFormatting sqref="I12:I61">
    <cfRule type="expression" dxfId="64" priority="1" stopIfTrue="1">
      <formula>$V12="Check Work Type"</formula>
    </cfRule>
  </conditionalFormatting>
  <conditionalFormatting sqref="K12:L61">
    <cfRule type="expression" dxfId="63" priority="89" stopIfTrue="1">
      <formula>$V12="Check Work Type"</formula>
    </cfRule>
  </conditionalFormatting>
  <conditionalFormatting sqref="L9">
    <cfRule type="containsText" dxfId="62" priority="37" operator="containsText" text="Complete Salix Funding Requested">
      <formula>NOT(ISERROR(SEARCH("Complete Salix Funding Requested",L9)))</formula>
    </cfRule>
    <cfRule type="cellIs" dxfId="61" priority="38" operator="equal">
      <formula>"Enter site life"</formula>
    </cfRule>
    <cfRule type="cellIs" dxfId="60" priority="39" operator="equal">
      <formula>"Enter Total Project Cost"</formula>
    </cfRule>
    <cfRule type="cellIs" dxfId="59" priority="40" operator="equal">
      <formula>"Enter % of cost"</formula>
    </cfRule>
  </conditionalFormatting>
  <conditionalFormatting sqref="L9:M9">
    <cfRule type="containsText" dxfId="58" priority="35" operator="containsText" text="Funding Exceeds Total Value">
      <formula>NOT(ISERROR(SEARCH("Funding Exceeds Total Value",L9)))</formula>
    </cfRule>
    <cfRule type="containsText" dxfId="57" priority="36" operator="containsText" text="Complete Total Value of Projects">
      <formula>NOT(ISERROR(SEARCH("Complete Total Value of Projects",L9)))</formula>
    </cfRule>
  </conditionalFormatting>
  <conditionalFormatting sqref="M11 P11">
    <cfRule type="expression" dxfId="56" priority="373" stopIfTrue="1">
      <formula>#REF!="M"</formula>
    </cfRule>
  </conditionalFormatting>
  <conditionalFormatting sqref="Q3">
    <cfRule type="expression" dxfId="55" priority="51">
      <formula>$D$4="Recycling Fund"</formula>
    </cfRule>
  </conditionalFormatting>
  <conditionalFormatting sqref="V12:V61">
    <cfRule type="beginsWith" dxfId="52" priority="119" operator="beginsWith" text="Check">
      <formula>LEFT(V12,LEN("Check"))="Check"</formula>
    </cfRule>
    <cfRule type="beginsWith" dxfId="51" priority="304" operator="beginsWith" text="Enter">
      <formula>LEFT(V12,LEN("Enter"))="Enter"</formula>
    </cfRule>
  </conditionalFormatting>
  <conditionalFormatting sqref="V65">
    <cfRule type="beginsWith" dxfId="50" priority="108" operator="beginsWith" text="Complete">
      <formula>LEFT(V65,LEN("Complete"))="Complete"</formula>
    </cfRule>
    <cfRule type="beginsWith" dxfId="49" priority="109" operator="beginsWith" text="Check">
      <formula>LEFT(V65,LEN("Check"))="Check"</formula>
    </cfRule>
    <cfRule type="containsText" dxfId="48" priority="120" operator="containsText" text="Client additional only">
      <formula>NOT(ISERROR(SEARCH("Client additional only",V65)))</formula>
    </cfRule>
    <cfRule type="containsText" dxfId="47" priority="121" operator="containsText" text="Non-Compliant">
      <formula>NOT(ISERROR(SEARCH("Non-Compliant",V65)))</formula>
    </cfRule>
    <cfRule type="containsText" dxfId="46" priority="122" operator="containsText" text="Compliant with client additional">
      <formula>NOT(ISERROR(SEARCH("Compliant with client additional",V65)))</formula>
    </cfRule>
  </conditionalFormatting>
  <dataValidations xWindow="453" yWindow="461" count="15">
    <dataValidation type="list" allowBlank="1" showInputMessage="1" showErrorMessage="1" sqref="B66 D12:D61" xr:uid="{A445855C-A293-4AA5-89E3-C0EF8FA8C203}">
      <formula1>Energy_Types</formula1>
    </dataValidation>
    <dataValidation type="date" allowBlank="1" showInputMessage="1" showErrorMessage="1" sqref="C9" xr:uid="{5B9DBFE7-8CAC-4DBF-A421-78CD883E7BAF}">
      <formula1>40179</formula1>
      <formula2>46022</formula2>
    </dataValidation>
    <dataValidation type="decimal" allowBlank="1" showInputMessage="1" showErrorMessage="1" errorTitle="Please review" error="Please enter site life as a number only" sqref="F9" xr:uid="{FA5D2FAB-A92E-469D-BA24-6B37B9FA97CE}">
      <formula1>0.1</formula1>
      <formula2>100000</formula2>
    </dataValidation>
    <dataValidation type="decimal" allowBlank="1" showInputMessage="1" showErrorMessage="1" errorTitle="Invalid Value" error="Please enter a value between 1% and 100%" sqref="N9" xr:uid="{C89300F3-28E8-4D6B-9416-EDF58E59FBD9}">
      <formula1>0</formula1>
      <formula2>1</formula2>
    </dataValidation>
    <dataValidation type="date" allowBlank="1" showInputMessage="1" showErrorMessage="1" promptTitle="GUIDANCE NOTE" prompt="Please enter a realistic date for project completion. Projects must be completed within 9 months of the commitment date." sqref="D9" xr:uid="{E0577A49-2BC8-41E5-9F0C-C098F35B8E7F}">
      <formula1>40179</formula1>
      <formula2>46022</formula2>
    </dataValidation>
    <dataValidation allowBlank="1" showInputMessage="1" showErrorMessage="1" errorTitle="Please review" error="Please enter site life as a number only" sqref="G9:K9" xr:uid="{F3416746-9C76-4B7D-8518-44025D645667}"/>
    <dataValidation type="list" allowBlank="1" showInputMessage="1" showErrorMessage="1" sqref="H12:H61" xr:uid="{E3D42309-2BB1-42F4-9E33-DE0DAC4DE315}">
      <formula1>Project_type</formula1>
    </dataValidation>
    <dataValidation type="decimal" operator="lessThan" allowBlank="1" showInputMessage="1" showErrorMessage="1" errorTitle="Invalid Entry" error="Please enter your energy price in the box." sqref="E12:E61" xr:uid="{54DF54DD-1546-4CB0-8392-5D1EAB8B4C60}">
      <formula1>999</formula1>
    </dataValidation>
    <dataValidation type="decimal" operator="greaterThanOrEqual" allowBlank="1" showInputMessage="1" showErrorMessage="1" error="Please enter a numerical value in kWh." promptTitle="GUIDANCE NOTE" prompt="Enter energy currently consumed by the existing plant/equipment concerned." sqref="K12:K61" xr:uid="{91BF7573-4FF7-4923-A310-1705F23D77C6}">
      <formula1>0</formula1>
    </dataValidation>
    <dataValidation type="decimal" operator="greaterThanOrEqual" allowBlank="1" showInputMessage="1" showErrorMessage="1" error="Please enter a numerical value in kWh." promptTitle="GUIDANCE NOTE" prompt="Enter estimated post-project energy consumption for the plant/equipment concerned." sqref="L12:L61" xr:uid="{1D4CCDC2-9966-4D7B-9969-E9B2CBBAE35F}">
      <formula1>0</formula1>
    </dataValidation>
    <dataValidation type="decimal" operator="lessThan" allowBlank="1" showInputMessage="1" showErrorMessage="1" errorTitle="Invalid Entry" error="Please enter your energy price in the box." promptTitle="GUIDANCE NOTE:" prompt="To calculate forecast energy cost see 'Guidance Notes' tab" sqref="F12:F61" xr:uid="{B8F7C740-9D81-4928-9AC7-38F3B108A6A4}">
      <formula1>999</formula1>
    </dataValidation>
    <dataValidation type="decimal" allowBlank="1" showInputMessage="1" showErrorMessage="1" errorTitle="Invalid Entry" error="Please enter value as a number" promptTitle="GUIDANCE NOTE" prompt="Please enter the total cost of this measure." sqref="O12:O61" xr:uid="{A340F93B-3F03-4DCE-B733-8953B3E6813B}">
      <formula1>0</formula1>
      <formula2>9999999999999990000</formula2>
    </dataValidation>
    <dataValidation type="decimal" operator="lessThan" allowBlank="1" showInputMessage="1" errorTitle="Invalid Entry" error="Please enter your energy price in the box." sqref="G12:G61" xr:uid="{B6989F90-F684-4C22-AE14-50B816DFF9C3}">
      <formula1>999</formula1>
    </dataValidation>
    <dataValidation type="list" allowBlank="1" showInputMessage="1" showErrorMessage="1" sqref="I12:I61" xr:uid="{3B5BEB2D-0C00-421C-9BFB-C326C3D234CE}">
      <formula1>INDIRECT($Z12)</formula1>
    </dataValidation>
    <dataValidation allowBlank="1" showInputMessage="1" showErrorMessage="1" promptTitle="RF Applicants" prompt="RF applications should enter the current p/kWh in this section." sqref="F11" xr:uid="{D385C64C-4155-4249-AFC5-C1B8839BED80}"/>
  </dataValidations>
  <pageMargins left="0.23622047244094491" right="0.23622047244094491" top="0.35433070866141736" bottom="0.35433070866141736" header="0.31496062992125984" footer="0.31496062992125984"/>
  <pageSetup paperSize="9" scale="40" fitToHeight="0" orientation="landscape" horizontalDpi="525" verticalDpi="525" r:id="rId1"/>
  <drawing r:id="rId2"/>
  <extLst>
    <ext xmlns:x14="http://schemas.microsoft.com/office/spreadsheetml/2009/9/main" uri="{78C0D931-6437-407d-A8EE-F0AAD7539E65}">
      <x14:conditionalFormattings>
        <x14:conditionalFormatting xmlns:xm="http://schemas.microsoft.com/office/excel/2006/main">
          <x14:cfRule type="cellIs" priority="379" stopIfTrue="1" operator="greaterThan" id="{367CE04A-04FE-4261-B258-F8C50D58E349}">
            <xm:f>'Extra look-up'!$F$80</xm:f>
            <x14:dxf>
              <font>
                <color rgb="FFFF0000"/>
              </font>
              <fill>
                <patternFill>
                  <bgColor theme="5" tint="0.79998168889431442"/>
                </patternFill>
              </fill>
            </x14:dxf>
          </x14:cfRule>
          <xm:sqref>Q65</xm:sqref>
        </x14:conditionalFormatting>
        <x14:conditionalFormatting xmlns:xm="http://schemas.microsoft.com/office/excel/2006/main">
          <x14:cfRule type="cellIs" priority="384" stopIfTrue="1" operator="greaterThan" id="{AEB13788-B7CD-44E4-8F7A-C9D6A802DD28}">
            <xm:f>'Extra look-up'!$G$80</xm:f>
            <x14:dxf>
              <font>
                <color rgb="FFFF0000"/>
              </font>
              <fill>
                <patternFill>
                  <fgColor theme="0"/>
                  <bgColor theme="5" tint="0.79998168889431442"/>
                </patternFill>
              </fill>
            </x14:dxf>
          </x14:cfRule>
          <xm:sqref>U65</xm:sqref>
        </x14:conditionalFormatting>
      </x14:conditionalFormattings>
    </ext>
    <ext xmlns:x14="http://schemas.microsoft.com/office/spreadsheetml/2009/9/main" uri="{CCE6A557-97BC-4b89-ADB6-D9C93CAAB3DF}">
      <x14:dataValidations xmlns:xm="http://schemas.microsoft.com/office/excel/2006/main" xWindow="453" yWindow="461" count="1">
        <x14:dataValidation type="list" allowBlank="1" showInputMessage="1" showErrorMessage="1" xr:uid="{ADEA02F4-F232-40EA-BBA9-0D6C26D2B81E}">
          <x14:formula1>
            <xm:f>'Extra look-up'!$D$89:$D$94</xm:f>
          </x14:formula1>
          <xm:sqref>D4:G4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2C7-FD81-4BAE-B22B-AC27136CFB35}">
  <sheetPr codeName="Sheet11">
    <tabColor rgb="FF382573"/>
    <pageSetUpPr fitToPage="1"/>
  </sheetPr>
  <dimension ref="B1:R99"/>
  <sheetViews>
    <sheetView showGridLines="0" topLeftCell="A64" zoomScaleNormal="100" workbookViewId="0">
      <selection activeCell="B95" sqref="B95:H95"/>
    </sheetView>
  </sheetViews>
  <sheetFormatPr defaultColWidth="9.1796875" defaultRowHeight="15.5" x14ac:dyDescent="0.25"/>
  <cols>
    <col min="1" max="1" width="3.54296875" style="36" customWidth="1"/>
    <col min="2" max="2" width="41" style="37" customWidth="1"/>
    <col min="3" max="3" width="34.453125" style="36" bestFit="1" customWidth="1"/>
    <col min="4" max="8" width="20.54296875" style="36" customWidth="1"/>
    <col min="9" max="17" width="9.1796875" style="36" hidden="1" customWidth="1"/>
    <col min="18" max="28" width="9.1796875" style="36" customWidth="1"/>
    <col min="29" max="16384" width="9.1796875" style="36"/>
  </cols>
  <sheetData>
    <row r="1" spans="2:18" ht="16" thickBot="1" x14ac:dyDescent="0.3"/>
    <row r="2" spans="2:18" x14ac:dyDescent="0.3">
      <c r="B2" s="197"/>
      <c r="C2" s="198"/>
      <c r="D2" s="198"/>
      <c r="E2" s="198"/>
      <c r="F2" s="198"/>
      <c r="G2" s="198"/>
      <c r="H2" s="199"/>
    </row>
    <row r="3" spans="2:18" ht="19.5" x14ac:dyDescent="0.35">
      <c r="B3" s="200" t="s">
        <v>135</v>
      </c>
      <c r="C3" s="177"/>
      <c r="D3" s="177"/>
      <c r="E3" s="177"/>
      <c r="F3" s="177"/>
      <c r="G3" s="177"/>
      <c r="H3" s="201"/>
    </row>
    <row r="4" spans="2:18" ht="19.5" x14ac:dyDescent="0.35">
      <c r="B4" s="200"/>
      <c r="C4" s="177"/>
      <c r="D4" s="177"/>
      <c r="E4" s="177"/>
      <c r="F4" s="177"/>
      <c r="G4" s="177"/>
      <c r="H4" s="201"/>
    </row>
    <row r="5" spans="2:18" x14ac:dyDescent="0.25">
      <c r="B5" s="202" t="s">
        <v>539</v>
      </c>
      <c r="C5" s="192"/>
      <c r="D5" s="192"/>
      <c r="E5" s="192"/>
      <c r="F5" s="192"/>
      <c r="G5" s="192"/>
      <c r="H5" s="203"/>
    </row>
    <row r="6" spans="2:18" ht="16" customHeight="1" x14ac:dyDescent="0.25">
      <c r="B6" s="761"/>
      <c r="C6" s="762"/>
      <c r="D6" s="762"/>
      <c r="E6" s="762"/>
      <c r="F6" s="762"/>
      <c r="G6" s="762"/>
      <c r="H6" s="763"/>
    </row>
    <row r="7" spans="2:18" ht="23" x14ac:dyDescent="0.25">
      <c r="B7" s="204" t="s">
        <v>136</v>
      </c>
      <c r="C7" s="205"/>
      <c r="D7" s="205"/>
      <c r="E7" s="205"/>
      <c r="F7" s="205"/>
      <c r="G7" s="205"/>
      <c r="H7" s="206"/>
    </row>
    <row r="8" spans="2:18" x14ac:dyDescent="0.25">
      <c r="B8" s="207"/>
      <c r="C8" s="192"/>
      <c r="D8" s="192"/>
      <c r="E8" s="192"/>
      <c r="F8" s="192"/>
      <c r="G8" s="192"/>
      <c r="H8" s="203"/>
    </row>
    <row r="9" spans="2:18" ht="19.5" x14ac:dyDescent="0.25">
      <c r="B9" s="299" t="s">
        <v>137</v>
      </c>
      <c r="C9" s="764"/>
      <c r="D9" s="765"/>
      <c r="E9" s="765"/>
      <c r="F9" s="765"/>
      <c r="G9" s="765"/>
      <c r="H9" s="766"/>
    </row>
    <row r="10" spans="2:18" x14ac:dyDescent="0.25">
      <c r="B10" s="204"/>
      <c r="C10" s="192"/>
      <c r="D10" s="192"/>
      <c r="E10" s="192"/>
      <c r="F10" s="192"/>
      <c r="G10" s="192"/>
      <c r="H10" s="203"/>
      <c r="J10" s="37"/>
      <c r="K10" s="37"/>
      <c r="L10" s="37"/>
      <c r="M10" s="37"/>
      <c r="N10" s="37"/>
      <c r="O10" s="37"/>
      <c r="P10" s="37"/>
      <c r="Q10" s="37"/>
      <c r="R10" s="37"/>
    </row>
    <row r="11" spans="2:18" ht="19.5" x14ac:dyDescent="0.25">
      <c r="B11" s="299" t="s">
        <v>138</v>
      </c>
      <c r="C11" s="767" t="str">
        <f>IF('Project Compliance Tool'!D3="","",'Project Compliance Tool'!D3)</f>
        <v/>
      </c>
      <c r="D11" s="768"/>
      <c r="E11" s="768"/>
      <c r="F11" s="768"/>
      <c r="G11" s="768"/>
      <c r="H11" s="769"/>
    </row>
    <row r="12" spans="2:18" x14ac:dyDescent="0.25">
      <c r="B12" s="204"/>
      <c r="C12" s="192"/>
      <c r="D12" s="192"/>
      <c r="E12" s="192"/>
      <c r="F12" s="192"/>
      <c r="G12" s="192"/>
      <c r="H12" s="203"/>
    </row>
    <row r="13" spans="2:18" ht="19.5" x14ac:dyDescent="0.35">
      <c r="B13" s="299" t="s">
        <v>139</v>
      </c>
      <c r="C13" s="172"/>
      <c r="D13" s="192"/>
      <c r="E13" s="209"/>
      <c r="F13" s="192"/>
      <c r="G13" s="192"/>
      <c r="H13" s="203"/>
    </row>
    <row r="14" spans="2:18" x14ac:dyDescent="0.25">
      <c r="B14" s="204"/>
      <c r="C14" s="192"/>
      <c r="D14" s="192"/>
      <c r="E14" s="192"/>
      <c r="F14" s="753"/>
      <c r="G14" s="753"/>
      <c r="H14" s="203"/>
    </row>
    <row r="15" spans="2:18" x14ac:dyDescent="0.25">
      <c r="B15" s="204" t="s">
        <v>534</v>
      </c>
      <c r="C15" s="192"/>
      <c r="D15" s="192"/>
      <c r="E15" s="178"/>
      <c r="F15" s="754" t="s">
        <v>535</v>
      </c>
      <c r="G15" s="754"/>
      <c r="H15" s="203"/>
    </row>
    <row r="16" spans="2:18" ht="15.75" customHeight="1" x14ac:dyDescent="0.25">
      <c r="B16" s="208" t="s">
        <v>140</v>
      </c>
      <c r="C16" s="759"/>
      <c r="D16" s="759"/>
      <c r="E16" s="179"/>
      <c r="F16" s="712" t="s">
        <v>141</v>
      </c>
      <c r="G16" s="713"/>
      <c r="H16" s="210"/>
    </row>
    <row r="17" spans="2:18" x14ac:dyDescent="0.25">
      <c r="B17" s="208" t="s">
        <v>142</v>
      </c>
      <c r="C17" s="759"/>
      <c r="D17" s="759"/>
      <c r="E17" s="192"/>
      <c r="F17" s="399"/>
      <c r="G17" s="181"/>
      <c r="H17" s="211"/>
    </row>
    <row r="18" spans="2:18" ht="15.75" customHeight="1" x14ac:dyDescent="0.25">
      <c r="B18" s="208" t="s">
        <v>143</v>
      </c>
      <c r="C18" s="760"/>
      <c r="D18" s="760"/>
      <c r="E18" s="192"/>
      <c r="F18" s="712" t="s">
        <v>144</v>
      </c>
      <c r="G18" s="713"/>
      <c r="H18" s="210"/>
    </row>
    <row r="19" spans="2:18" x14ac:dyDescent="0.25">
      <c r="B19" s="208" t="s">
        <v>145</v>
      </c>
      <c r="C19" s="759"/>
      <c r="D19" s="759"/>
      <c r="E19" s="192"/>
      <c r="F19" s="399"/>
      <c r="G19" s="182"/>
      <c r="H19" s="212"/>
    </row>
    <row r="20" spans="2:18" ht="15.75" customHeight="1" x14ac:dyDescent="0.25">
      <c r="B20" s="208" t="s">
        <v>146</v>
      </c>
      <c r="C20" s="734"/>
      <c r="D20" s="734"/>
      <c r="E20" s="179"/>
      <c r="F20" s="712" t="s">
        <v>147</v>
      </c>
      <c r="G20" s="713"/>
      <c r="H20" s="210"/>
    </row>
    <row r="21" spans="2:18" x14ac:dyDescent="0.25">
      <c r="B21" s="208" t="s">
        <v>148</v>
      </c>
      <c r="C21" s="759"/>
      <c r="D21" s="759"/>
      <c r="E21" s="192"/>
      <c r="F21" s="398"/>
      <c r="G21" s="182"/>
      <c r="H21" s="212"/>
      <c r="I21" s="38"/>
      <c r="J21" s="38"/>
    </row>
    <row r="22" spans="2:18" ht="15.75" customHeight="1" x14ac:dyDescent="0.25">
      <c r="B22" s="208" t="s">
        <v>149</v>
      </c>
      <c r="C22" s="734"/>
      <c r="D22" s="734"/>
      <c r="E22" s="179"/>
      <c r="F22" s="712" t="s">
        <v>150</v>
      </c>
      <c r="G22" s="713"/>
      <c r="H22" s="210"/>
    </row>
    <row r="23" spans="2:18" x14ac:dyDescent="0.25">
      <c r="B23" s="208" t="s">
        <v>151</v>
      </c>
      <c r="C23" s="735"/>
      <c r="D23" s="736"/>
      <c r="E23" s="213"/>
      <c r="F23" s="398"/>
      <c r="G23" s="401"/>
      <c r="H23" s="407"/>
    </row>
    <row r="24" spans="2:18" ht="15.75" customHeight="1" x14ac:dyDescent="0.25">
      <c r="B24" s="208"/>
      <c r="C24" s="214"/>
      <c r="D24" s="214"/>
      <c r="E24" s="180"/>
      <c r="F24" s="712" t="s">
        <v>152</v>
      </c>
      <c r="G24" s="713"/>
      <c r="H24" s="210"/>
    </row>
    <row r="25" spans="2:18" ht="15.75" customHeight="1" x14ac:dyDescent="0.25">
      <c r="B25" s="204"/>
      <c r="C25" s="214"/>
      <c r="D25" s="214"/>
      <c r="E25" s="180"/>
      <c r="F25" s="399"/>
      <c r="G25" s="399"/>
      <c r="H25" s="408"/>
    </row>
    <row r="26" spans="2:18" ht="15.75" customHeight="1" x14ac:dyDescent="0.25">
      <c r="B26" s="204"/>
      <c r="C26" s="214"/>
      <c r="D26" s="214"/>
      <c r="E26" s="180"/>
      <c r="F26" s="712" t="s">
        <v>153</v>
      </c>
      <c r="G26" s="713"/>
      <c r="H26" s="215">
        <f>H16+H18+H20+H22+H24</f>
        <v>0</v>
      </c>
    </row>
    <row r="27" spans="2:18" ht="15.75" customHeight="1" x14ac:dyDescent="0.25">
      <c r="B27" s="204" t="s">
        <v>540</v>
      </c>
      <c r="C27" s="214"/>
      <c r="D27" s="214"/>
      <c r="E27" s="180"/>
      <c r="F27" s="399"/>
      <c r="G27" s="399"/>
      <c r="H27" s="396"/>
    </row>
    <row r="28" spans="2:18" ht="15.75" customHeight="1" x14ac:dyDescent="0.25">
      <c r="B28" s="709" t="s">
        <v>154</v>
      </c>
      <c r="C28" s="710"/>
      <c r="D28" s="710"/>
      <c r="E28" s="710"/>
      <c r="F28" s="710"/>
      <c r="G28" s="710"/>
      <c r="H28" s="711"/>
      <c r="I28" s="395"/>
    </row>
    <row r="29" spans="2:18" ht="15.75" customHeight="1" x14ac:dyDescent="0.25">
      <c r="B29" s="716" t="s">
        <v>155</v>
      </c>
      <c r="C29" s="717"/>
      <c r="D29" s="717"/>
      <c r="E29" s="717"/>
      <c r="F29" s="717"/>
      <c r="G29" s="717"/>
      <c r="H29" s="718"/>
    </row>
    <row r="30" spans="2:18" ht="14.25" customHeight="1" x14ac:dyDescent="0.25">
      <c r="B30" s="716"/>
      <c r="C30" s="717"/>
      <c r="D30" s="717"/>
      <c r="E30" s="717"/>
      <c r="F30" s="717"/>
      <c r="G30" s="717"/>
      <c r="H30" s="718"/>
    </row>
    <row r="31" spans="2:18" ht="115.5" customHeight="1" x14ac:dyDescent="0.25">
      <c r="B31" s="706"/>
      <c r="C31" s="707"/>
      <c r="D31" s="707"/>
      <c r="E31" s="707"/>
      <c r="F31" s="707"/>
      <c r="G31" s="707"/>
      <c r="H31" s="708"/>
    </row>
    <row r="32" spans="2:18" ht="7.5" customHeight="1" x14ac:dyDescent="0.25">
      <c r="B32" s="204"/>
      <c r="C32" s="214"/>
      <c r="D32" s="214"/>
      <c r="E32" s="180"/>
      <c r="F32" s="399"/>
      <c r="G32" s="399"/>
      <c r="H32" s="402"/>
      <c r="R32" s="395"/>
    </row>
    <row r="33" spans="2:18" x14ac:dyDescent="0.25">
      <c r="B33" s="204" t="s">
        <v>536</v>
      </c>
      <c r="C33" s="214"/>
      <c r="D33" s="214"/>
      <c r="E33" s="213"/>
      <c r="F33" s="712"/>
      <c r="G33" s="712"/>
      <c r="H33" s="402"/>
      <c r="R33" s="395"/>
    </row>
    <row r="34" spans="2:18" x14ac:dyDescent="0.25">
      <c r="B34" s="709" t="s">
        <v>156</v>
      </c>
      <c r="C34" s="710"/>
      <c r="D34" s="710"/>
      <c r="E34" s="216"/>
      <c r="F34" s="755"/>
      <c r="G34" s="755"/>
      <c r="H34" s="219"/>
      <c r="R34" s="395"/>
    </row>
    <row r="35" spans="2:18" ht="15.75" customHeight="1" x14ac:dyDescent="0.25">
      <c r="B35" s="716" t="s">
        <v>157</v>
      </c>
      <c r="C35" s="717"/>
      <c r="D35" s="717"/>
      <c r="E35" s="717"/>
      <c r="F35" s="717"/>
      <c r="G35" s="717"/>
      <c r="H35" s="718"/>
    </row>
    <row r="36" spans="2:18" ht="15.75" customHeight="1" x14ac:dyDescent="0.25">
      <c r="B36" s="716"/>
      <c r="C36" s="717"/>
      <c r="D36" s="717"/>
      <c r="E36" s="717"/>
      <c r="F36" s="717"/>
      <c r="G36" s="717"/>
      <c r="H36" s="718"/>
    </row>
    <row r="37" spans="2:18" ht="15.75" customHeight="1" x14ac:dyDescent="0.25">
      <c r="B37" s="716"/>
      <c r="C37" s="717"/>
      <c r="D37" s="717"/>
      <c r="E37" s="717"/>
      <c r="F37" s="717"/>
      <c r="G37" s="717"/>
      <c r="H37" s="718"/>
    </row>
    <row r="38" spans="2:18" ht="10" customHeight="1" x14ac:dyDescent="0.25">
      <c r="B38" s="756"/>
      <c r="C38" s="757"/>
      <c r="D38" s="757"/>
      <c r="E38" s="757"/>
      <c r="F38" s="757"/>
      <c r="G38" s="757"/>
      <c r="H38" s="758"/>
    </row>
    <row r="39" spans="2:18" ht="115.5" customHeight="1" x14ac:dyDescent="0.25">
      <c r="B39" s="749"/>
      <c r="C39" s="729"/>
      <c r="D39" s="729"/>
      <c r="E39" s="729"/>
      <c r="F39" s="729"/>
      <c r="G39" s="729"/>
      <c r="H39" s="750"/>
    </row>
    <row r="40" spans="2:18" ht="23.5" customHeight="1" x14ac:dyDescent="0.3">
      <c r="B40" s="628" t="s">
        <v>541</v>
      </c>
      <c r="C40" s="403"/>
      <c r="D40" s="403"/>
      <c r="E40" s="403"/>
      <c r="F40" s="403"/>
      <c r="G40" s="403"/>
      <c r="H40" s="404"/>
    </row>
    <row r="41" spans="2:18" ht="24.5" customHeight="1" x14ac:dyDescent="0.25">
      <c r="B41" s="770" t="s">
        <v>542</v>
      </c>
      <c r="C41" s="771"/>
      <c r="D41" s="771"/>
      <c r="E41" s="771"/>
      <c r="F41" s="771"/>
      <c r="G41" s="771"/>
      <c r="H41" s="404"/>
    </row>
    <row r="42" spans="2:18" ht="21.5" customHeight="1" x14ac:dyDescent="0.25">
      <c r="B42" s="772"/>
      <c r="C42" s="773"/>
      <c r="D42" s="773"/>
      <c r="E42" s="773"/>
      <c r="F42" s="773"/>
      <c r="G42" s="773"/>
      <c r="H42" s="404"/>
    </row>
    <row r="43" spans="2:18" ht="115.5" customHeight="1" x14ac:dyDescent="0.25">
      <c r="B43" s="749"/>
      <c r="C43" s="729"/>
      <c r="D43" s="729"/>
      <c r="E43" s="729"/>
      <c r="F43" s="729"/>
      <c r="G43" s="729"/>
      <c r="H43" s="750"/>
    </row>
    <row r="44" spans="2:18" ht="26.5" customHeight="1" x14ac:dyDescent="0.3">
      <c r="B44" s="628" t="s">
        <v>543</v>
      </c>
      <c r="C44" s="403"/>
      <c r="D44" s="403"/>
      <c r="E44" s="403"/>
      <c r="F44" s="403"/>
      <c r="G44" s="403"/>
      <c r="H44" s="404"/>
    </row>
    <row r="45" spans="2:18" ht="51.5" customHeight="1" x14ac:dyDescent="0.25">
      <c r="B45" s="772" t="s">
        <v>544</v>
      </c>
      <c r="C45" s="773"/>
      <c r="D45" s="773"/>
      <c r="E45" s="773"/>
      <c r="F45" s="773"/>
      <c r="G45" s="773"/>
      <c r="H45" s="404"/>
    </row>
    <row r="46" spans="2:18" ht="93" customHeight="1" x14ac:dyDescent="0.25">
      <c r="B46" s="749"/>
      <c r="C46" s="729"/>
      <c r="D46" s="729"/>
      <c r="E46" s="729"/>
      <c r="F46" s="729"/>
      <c r="G46" s="729"/>
      <c r="H46" s="750"/>
    </row>
    <row r="47" spans="2:18" ht="28" customHeight="1" x14ac:dyDescent="0.3">
      <c r="B47" s="628" t="s">
        <v>545</v>
      </c>
      <c r="C47" s="192"/>
      <c r="D47" s="192"/>
      <c r="E47" s="192"/>
      <c r="F47" s="192"/>
      <c r="G47" s="192"/>
      <c r="H47" s="203"/>
    </row>
    <row r="48" spans="2:18" ht="46.5" customHeight="1" x14ac:dyDescent="0.25">
      <c r="B48" s="756" t="s">
        <v>158</v>
      </c>
      <c r="C48" s="757"/>
      <c r="D48" s="757"/>
      <c r="E48" s="757"/>
      <c r="F48" s="757"/>
      <c r="G48" s="757"/>
      <c r="H48" s="758"/>
    </row>
    <row r="49" spans="2:17" ht="94" customHeight="1" x14ac:dyDescent="0.25">
      <c r="B49" s="749"/>
      <c r="C49" s="729"/>
      <c r="D49" s="729"/>
      <c r="E49" s="729"/>
      <c r="F49" s="729"/>
      <c r="G49" s="729"/>
      <c r="H49" s="750"/>
    </row>
    <row r="50" spans="2:17" ht="25.5" customHeight="1" x14ac:dyDescent="0.3">
      <c r="B50" s="751" t="s">
        <v>546</v>
      </c>
      <c r="C50" s="752"/>
      <c r="D50" s="217"/>
      <c r="E50" s="217"/>
      <c r="F50" s="217"/>
      <c r="G50" s="192"/>
      <c r="H50" s="203"/>
    </row>
    <row r="51" spans="2:17" ht="69" customHeight="1" x14ac:dyDescent="0.25">
      <c r="B51" s="731" t="s">
        <v>159</v>
      </c>
      <c r="C51" s="732"/>
      <c r="D51" s="732"/>
      <c r="E51" s="732"/>
      <c r="F51" s="732"/>
      <c r="G51" s="732"/>
      <c r="H51" s="733"/>
    </row>
    <row r="52" spans="2:17" ht="88" customHeight="1" x14ac:dyDescent="0.25">
      <c r="B52" s="703"/>
      <c r="C52" s="704"/>
      <c r="D52" s="704"/>
      <c r="E52" s="704"/>
      <c r="F52" s="704"/>
      <c r="G52" s="704"/>
      <c r="H52" s="705"/>
    </row>
    <row r="53" spans="2:17" s="631" customFormat="1" ht="25.5" customHeight="1" x14ac:dyDescent="0.35">
      <c r="B53" s="628" t="s">
        <v>547</v>
      </c>
      <c r="C53" s="629"/>
      <c r="D53" s="629"/>
      <c r="E53" s="629"/>
      <c r="F53" s="629"/>
      <c r="G53" s="629"/>
      <c r="H53" s="630"/>
    </row>
    <row r="54" spans="2:17" ht="31.5" customHeight="1" x14ac:dyDescent="0.25">
      <c r="B54" s="742" t="s">
        <v>160</v>
      </c>
      <c r="C54" s="743"/>
      <c r="D54" s="743"/>
      <c r="E54" s="743"/>
      <c r="F54" s="743"/>
      <c r="G54" s="743"/>
      <c r="H54" s="744"/>
    </row>
    <row r="55" spans="2:17" ht="85" customHeight="1" x14ac:dyDescent="0.25">
      <c r="B55" s="719"/>
      <c r="C55" s="720"/>
      <c r="D55" s="720"/>
      <c r="E55" s="720"/>
      <c r="F55" s="720"/>
      <c r="G55" s="720"/>
      <c r="H55" s="721"/>
    </row>
    <row r="56" spans="2:17" ht="28.5" customHeight="1" x14ac:dyDescent="0.3">
      <c r="B56" s="628" t="s">
        <v>548</v>
      </c>
      <c r="C56" s="192"/>
      <c r="D56" s="192"/>
      <c r="E56" s="192"/>
      <c r="F56" s="192"/>
      <c r="G56" s="192"/>
      <c r="H56" s="203"/>
    </row>
    <row r="57" spans="2:17" ht="92.5" customHeight="1" thickBot="1" x14ac:dyDescent="0.3">
      <c r="B57" s="716" t="s">
        <v>161</v>
      </c>
      <c r="C57" s="717"/>
      <c r="D57" s="717"/>
      <c r="E57" s="717"/>
      <c r="F57" s="717"/>
      <c r="G57" s="717"/>
      <c r="H57" s="718"/>
    </row>
    <row r="58" spans="2:17" ht="40" customHeight="1" thickBot="1" x14ac:dyDescent="0.3">
      <c r="B58" s="309" t="s">
        <v>162</v>
      </c>
      <c r="C58" s="183" t="s">
        <v>163</v>
      </c>
      <c r="D58" s="745" t="s">
        <v>164</v>
      </c>
      <c r="E58" s="745"/>
      <c r="F58" s="745"/>
      <c r="G58" s="745"/>
      <c r="H58" s="746"/>
      <c r="Q58" s="39" t="s">
        <v>165</v>
      </c>
    </row>
    <row r="59" spans="2:17" ht="40" customHeight="1" x14ac:dyDescent="0.25">
      <c r="B59" s="632"/>
      <c r="C59" s="633"/>
      <c r="D59" s="747"/>
      <c r="E59" s="747"/>
      <c r="F59" s="747"/>
      <c r="G59" s="747"/>
      <c r="H59" s="748"/>
      <c r="Q59" s="39" t="s">
        <v>166</v>
      </c>
    </row>
    <row r="60" spans="2:17" ht="40" customHeight="1" x14ac:dyDescent="0.25">
      <c r="B60" s="634"/>
      <c r="C60" s="173"/>
      <c r="D60" s="729"/>
      <c r="E60" s="729"/>
      <c r="F60" s="729"/>
      <c r="G60" s="729"/>
      <c r="H60" s="730"/>
      <c r="Q60" s="39" t="s">
        <v>167</v>
      </c>
    </row>
    <row r="61" spans="2:17" ht="40" customHeight="1" x14ac:dyDescent="0.25">
      <c r="B61" s="634"/>
      <c r="C61" s="173"/>
      <c r="D61" s="729"/>
      <c r="E61" s="729"/>
      <c r="F61" s="729"/>
      <c r="G61" s="729"/>
      <c r="H61" s="730"/>
    </row>
    <row r="62" spans="2:17" ht="40" customHeight="1" x14ac:dyDescent="0.25">
      <c r="B62" s="634"/>
      <c r="C62" s="173"/>
      <c r="D62" s="729"/>
      <c r="E62" s="729"/>
      <c r="F62" s="729"/>
      <c r="G62" s="729"/>
      <c r="H62" s="730"/>
    </row>
    <row r="63" spans="2:17" ht="40" customHeight="1" x14ac:dyDescent="0.25">
      <c r="B63" s="634"/>
      <c r="C63" s="173"/>
      <c r="D63" s="729"/>
      <c r="E63" s="729"/>
      <c r="F63" s="729"/>
      <c r="G63" s="729"/>
      <c r="H63" s="730"/>
    </row>
    <row r="64" spans="2:17" ht="40" customHeight="1" x14ac:dyDescent="0.25">
      <c r="B64" s="634"/>
      <c r="C64" s="173"/>
      <c r="D64" s="729"/>
      <c r="E64" s="729"/>
      <c r="F64" s="729"/>
      <c r="G64" s="729"/>
      <c r="H64" s="730"/>
    </row>
    <row r="65" spans="2:8" ht="40" customHeight="1" x14ac:dyDescent="0.25">
      <c r="B65" s="634"/>
      <c r="C65" s="173"/>
      <c r="D65" s="729"/>
      <c r="E65" s="729"/>
      <c r="F65" s="729"/>
      <c r="G65" s="729"/>
      <c r="H65" s="730"/>
    </row>
    <row r="66" spans="2:8" ht="39.5" customHeight="1" thickBot="1" x14ac:dyDescent="0.3">
      <c r="B66" s="635"/>
      <c r="C66" s="636"/>
      <c r="D66" s="740"/>
      <c r="E66" s="740"/>
      <c r="F66" s="740"/>
      <c r="G66" s="740"/>
      <c r="H66" s="741"/>
    </row>
    <row r="67" spans="2:8" ht="29" customHeight="1" x14ac:dyDescent="0.3">
      <c r="B67" s="628" t="s">
        <v>549</v>
      </c>
      <c r="C67" s="192"/>
      <c r="D67" s="192"/>
      <c r="E67" s="192"/>
      <c r="F67" s="192"/>
      <c r="G67" s="192"/>
      <c r="H67" s="203"/>
    </row>
    <row r="68" spans="2:8" ht="60.5" customHeight="1" x14ac:dyDescent="0.25">
      <c r="B68" s="716" t="s">
        <v>168</v>
      </c>
      <c r="C68" s="717"/>
      <c r="D68" s="717"/>
      <c r="E68" s="717"/>
      <c r="F68" s="717"/>
      <c r="G68" s="717"/>
      <c r="H68" s="718"/>
    </row>
    <row r="69" spans="2:8" ht="112.5" customHeight="1" x14ac:dyDescent="0.25">
      <c r="B69" s="719"/>
      <c r="C69" s="720"/>
      <c r="D69" s="720"/>
      <c r="E69" s="720"/>
      <c r="F69" s="720"/>
      <c r="G69" s="720"/>
      <c r="H69" s="721"/>
    </row>
    <row r="70" spans="2:8" x14ac:dyDescent="0.25">
      <c r="B70" s="204"/>
      <c r="C70" s="192"/>
      <c r="D70" s="192"/>
      <c r="E70" s="192"/>
      <c r="F70" s="192"/>
      <c r="G70" s="192"/>
      <c r="H70" s="203"/>
    </row>
    <row r="71" spans="2:8" ht="16" thickBot="1" x14ac:dyDescent="0.3">
      <c r="B71" s="204" t="s">
        <v>550</v>
      </c>
      <c r="C71" s="192"/>
      <c r="D71" s="192"/>
      <c r="E71" s="192"/>
      <c r="F71" s="192"/>
      <c r="G71" s="192"/>
      <c r="H71" s="203"/>
    </row>
    <row r="72" spans="2:8" ht="27.5" thickBot="1" x14ac:dyDescent="0.3">
      <c r="B72" s="309" t="s">
        <v>169</v>
      </c>
      <c r="C72" s="184" t="s">
        <v>170</v>
      </c>
      <c r="D72" s="185" t="s">
        <v>171</v>
      </c>
      <c r="E72" s="183" t="s">
        <v>172</v>
      </c>
      <c r="F72" s="184" t="s">
        <v>173</v>
      </c>
      <c r="G72" s="184" t="s">
        <v>174</v>
      </c>
      <c r="H72" s="203"/>
    </row>
    <row r="73" spans="2:8" x14ac:dyDescent="0.25">
      <c r="B73" s="722" t="s">
        <v>175</v>
      </c>
      <c r="C73" s="186" t="s">
        <v>176</v>
      </c>
      <c r="D73" s="174"/>
      <c r="E73" s="174"/>
      <c r="F73" s="175"/>
      <c r="G73" s="175"/>
      <c r="H73" s="203"/>
    </row>
    <row r="74" spans="2:8" x14ac:dyDescent="0.25">
      <c r="B74" s="723"/>
      <c r="C74" s="187" t="s">
        <v>177</v>
      </c>
      <c r="D74" s="176"/>
      <c r="E74" s="176"/>
      <c r="F74" s="175"/>
      <c r="G74" s="175"/>
      <c r="H74" s="203"/>
    </row>
    <row r="75" spans="2:8" x14ac:dyDescent="0.25">
      <c r="B75" s="723" t="s">
        <v>178</v>
      </c>
      <c r="C75" s="187" t="s">
        <v>179</v>
      </c>
      <c r="D75" s="174"/>
      <c r="E75" s="174"/>
      <c r="F75" s="175"/>
      <c r="G75" s="175"/>
      <c r="H75" s="203"/>
    </row>
    <row r="76" spans="2:8" x14ac:dyDescent="0.25">
      <c r="B76" s="723"/>
      <c r="C76" s="187" t="s">
        <v>180</v>
      </c>
      <c r="D76" s="176"/>
      <c r="E76" s="176"/>
      <c r="F76" s="175"/>
      <c r="G76" s="175"/>
      <c r="H76" s="203"/>
    </row>
    <row r="77" spans="2:8" x14ac:dyDescent="0.25">
      <c r="B77" s="723"/>
      <c r="C77" s="187" t="s">
        <v>181</v>
      </c>
      <c r="D77" s="174"/>
      <c r="E77" s="174"/>
      <c r="F77" s="175"/>
      <c r="G77" s="175"/>
      <c r="H77" s="203"/>
    </row>
    <row r="78" spans="2:8" x14ac:dyDescent="0.25">
      <c r="B78" s="723"/>
      <c r="C78" s="187" t="s">
        <v>182</v>
      </c>
      <c r="D78" s="176"/>
      <c r="E78" s="176"/>
      <c r="F78" s="175"/>
      <c r="G78" s="175"/>
      <c r="H78" s="203"/>
    </row>
    <row r="79" spans="2:8" ht="22.5" customHeight="1" x14ac:dyDescent="0.25">
      <c r="B79" s="400" t="s">
        <v>183</v>
      </c>
      <c r="C79" s="187" t="s">
        <v>184</v>
      </c>
      <c r="D79" s="174"/>
      <c r="E79" s="174"/>
      <c r="F79" s="175"/>
      <c r="G79" s="175"/>
      <c r="H79" s="203"/>
    </row>
    <row r="80" spans="2:8" x14ac:dyDescent="0.25">
      <c r="B80" s="310"/>
      <c r="C80" s="188"/>
      <c r="D80" s="189"/>
      <c r="E80" s="189"/>
      <c r="F80" s="190"/>
      <c r="G80" s="190"/>
      <c r="H80" s="203"/>
    </row>
    <row r="81" spans="2:8" x14ac:dyDescent="0.25">
      <c r="B81" s="312" t="s">
        <v>185</v>
      </c>
      <c r="C81" s="187" t="s">
        <v>186</v>
      </c>
      <c r="D81" s="174"/>
      <c r="E81" s="174"/>
      <c r="F81" s="175"/>
      <c r="G81" s="192"/>
      <c r="H81" s="203"/>
    </row>
    <row r="82" spans="2:8" x14ac:dyDescent="0.25">
      <c r="B82" s="312" t="s">
        <v>187</v>
      </c>
      <c r="C82" s="187" t="s">
        <v>188</v>
      </c>
      <c r="D82" s="176"/>
      <c r="E82" s="176"/>
      <c r="F82" s="175"/>
      <c r="G82" s="192"/>
      <c r="H82" s="203"/>
    </row>
    <row r="83" spans="2:8" x14ac:dyDescent="0.25">
      <c r="B83" s="313" t="s">
        <v>189</v>
      </c>
      <c r="C83" s="191" t="s">
        <v>190</v>
      </c>
      <c r="D83" s="194"/>
      <c r="E83" s="194"/>
      <c r="F83" s="195"/>
      <c r="G83" s="192"/>
      <c r="H83" s="203"/>
    </row>
    <row r="84" spans="2:8" x14ac:dyDescent="0.25">
      <c r="B84" s="724" t="s">
        <v>191</v>
      </c>
      <c r="C84" s="300" t="s">
        <v>192</v>
      </c>
      <c r="D84" s="306"/>
      <c r="E84" s="307"/>
      <c r="F84" s="308"/>
      <c r="G84" s="192"/>
      <c r="H84" s="203"/>
    </row>
    <row r="85" spans="2:8" x14ac:dyDescent="0.25">
      <c r="B85" s="724"/>
      <c r="C85" s="300" t="s">
        <v>193</v>
      </c>
      <c r="D85" s="301"/>
      <c r="E85" s="196"/>
      <c r="F85" s="302"/>
      <c r="G85" s="192"/>
      <c r="H85" s="203"/>
    </row>
    <row r="86" spans="2:8" x14ac:dyDescent="0.25">
      <c r="B86" s="724"/>
      <c r="C86" s="300" t="s">
        <v>194</v>
      </c>
      <c r="D86" s="301"/>
      <c r="E86" s="196"/>
      <c r="F86" s="302"/>
      <c r="G86" s="192"/>
      <c r="H86" s="203"/>
    </row>
    <row r="87" spans="2:8" x14ac:dyDescent="0.25">
      <c r="B87" s="724"/>
      <c r="C87" s="300" t="s">
        <v>195</v>
      </c>
      <c r="D87" s="301"/>
      <c r="E87" s="196"/>
      <c r="F87" s="302"/>
      <c r="G87" s="192"/>
      <c r="H87" s="203"/>
    </row>
    <row r="88" spans="2:8" ht="16" thickBot="1" x14ac:dyDescent="0.3">
      <c r="B88" s="725"/>
      <c r="C88" s="311" t="s">
        <v>196</v>
      </c>
      <c r="D88" s="303"/>
      <c r="E88" s="304"/>
      <c r="F88" s="305"/>
      <c r="G88" s="192"/>
      <c r="H88" s="203"/>
    </row>
    <row r="89" spans="2:8" ht="7.5" customHeight="1" x14ac:dyDescent="0.25">
      <c r="B89" s="204"/>
      <c r="C89" s="192"/>
      <c r="D89" s="192"/>
      <c r="E89" s="192"/>
      <c r="F89" s="193">
        <f>SUM(F73:F88)</f>
        <v>0</v>
      </c>
      <c r="G89" s="192"/>
      <c r="H89" s="203"/>
    </row>
    <row r="90" spans="2:8" ht="28" customHeight="1" x14ac:dyDescent="0.3">
      <c r="B90" s="628" t="s">
        <v>553</v>
      </c>
      <c r="C90" s="192"/>
      <c r="D90" s="192"/>
      <c r="E90" s="192"/>
      <c r="F90" s="193"/>
      <c r="G90" s="192"/>
      <c r="H90" s="203"/>
    </row>
    <row r="91" spans="2:8" ht="44" customHeight="1" x14ac:dyDescent="0.25">
      <c r="B91" s="716" t="s">
        <v>554</v>
      </c>
      <c r="C91" s="717"/>
      <c r="D91" s="717"/>
      <c r="E91" s="717"/>
      <c r="F91" s="717"/>
      <c r="G91" s="717"/>
      <c r="H91" s="203"/>
    </row>
    <row r="92" spans="2:8" ht="96" customHeight="1" x14ac:dyDescent="0.25">
      <c r="B92" s="719"/>
      <c r="C92" s="720"/>
      <c r="D92" s="720"/>
      <c r="E92" s="720"/>
      <c r="F92" s="720"/>
      <c r="G92" s="720"/>
      <c r="H92" s="721"/>
    </row>
    <row r="93" spans="2:8" x14ac:dyDescent="0.3">
      <c r="B93" s="218"/>
      <c r="C93" s="177"/>
      <c r="D93" s="177"/>
      <c r="E93" s="177"/>
      <c r="F93" s="177"/>
      <c r="G93" s="177"/>
      <c r="H93" s="201"/>
    </row>
    <row r="94" spans="2:8" ht="15.75" customHeight="1" x14ac:dyDescent="0.25">
      <c r="B94" s="204" t="s">
        <v>197</v>
      </c>
      <c r="C94" s="192"/>
      <c r="D94" s="192"/>
      <c r="E94" s="192"/>
      <c r="F94" s="192"/>
      <c r="G94" s="192"/>
      <c r="H94" s="203"/>
    </row>
    <row r="95" spans="2:8" ht="15.75" customHeight="1" x14ac:dyDescent="0.3">
      <c r="B95" s="726" t="s">
        <v>551</v>
      </c>
      <c r="C95" s="727"/>
      <c r="D95" s="727"/>
      <c r="E95" s="727"/>
      <c r="F95" s="727"/>
      <c r="G95" s="727"/>
      <c r="H95" s="728"/>
    </row>
    <row r="96" spans="2:8" ht="12.65" customHeight="1" x14ac:dyDescent="0.3">
      <c r="B96" s="439"/>
      <c r="C96" s="405"/>
      <c r="D96" s="405"/>
      <c r="E96" s="405"/>
      <c r="F96" s="405"/>
      <c r="G96" s="405"/>
      <c r="H96" s="406"/>
    </row>
    <row r="97" spans="2:8" ht="29" customHeight="1" x14ac:dyDescent="0.3">
      <c r="B97" s="737" t="s">
        <v>552</v>
      </c>
      <c r="C97" s="738"/>
      <c r="D97" s="738"/>
      <c r="E97" s="738"/>
      <c r="F97" s="738"/>
      <c r="G97" s="738"/>
      <c r="H97" s="739"/>
    </row>
    <row r="98" spans="2:8" ht="16" thickBot="1" x14ac:dyDescent="0.3">
      <c r="B98" s="207"/>
      <c r="C98" s="219"/>
      <c r="D98" s="220"/>
      <c r="E98" s="221"/>
      <c r="F98" s="219"/>
      <c r="G98" s="714" t="str">
        <f ca="1">"© Salix "&amp;YEAR(NOW())</f>
        <v>© Salix 2023</v>
      </c>
      <c r="H98" s="715"/>
    </row>
    <row r="99" spans="2:8" ht="16" thickBot="1" x14ac:dyDescent="0.35">
      <c r="B99" s="274"/>
      <c r="C99" s="275"/>
      <c r="D99" s="275"/>
      <c r="E99" s="275"/>
      <c r="F99" s="275"/>
      <c r="G99" s="275"/>
      <c r="H99" s="276"/>
    </row>
  </sheetData>
  <sheetProtection algorithmName="SHA-512" hashValue="XPC2S+r+Ni8+ed5aGvgLClPz7TKnvTjJrWQbmILh31DJROwX3yHIk/VBzagxJvLf8SWyVULy5uOfzSADwnITZg==" saltValue="XoMmjdNyuyVBhZcBU4AeDw==" spinCount="100000" sheet="1" objects="1" scenarios="1"/>
  <mergeCells count="58">
    <mergeCell ref="B41:G42"/>
    <mergeCell ref="B43:H43"/>
    <mergeCell ref="B45:G45"/>
    <mergeCell ref="B46:H46"/>
    <mergeCell ref="C19:D19"/>
    <mergeCell ref="C20:D20"/>
    <mergeCell ref="F26:G26"/>
    <mergeCell ref="B6:H6"/>
    <mergeCell ref="C9:H9"/>
    <mergeCell ref="C11:H11"/>
    <mergeCell ref="C16:D16"/>
    <mergeCell ref="C17:D17"/>
    <mergeCell ref="B49:H49"/>
    <mergeCell ref="B50:C50"/>
    <mergeCell ref="F14:G14"/>
    <mergeCell ref="F15:G15"/>
    <mergeCell ref="F22:G22"/>
    <mergeCell ref="F24:G24"/>
    <mergeCell ref="F34:G34"/>
    <mergeCell ref="F33:G33"/>
    <mergeCell ref="B48:H48"/>
    <mergeCell ref="B34:D34"/>
    <mergeCell ref="B35:H38"/>
    <mergeCell ref="B39:H39"/>
    <mergeCell ref="C21:D21"/>
    <mergeCell ref="C18:D18"/>
    <mergeCell ref="F16:G16"/>
    <mergeCell ref="F18:G18"/>
    <mergeCell ref="B97:H97"/>
    <mergeCell ref="D66:H66"/>
    <mergeCell ref="B54:H54"/>
    <mergeCell ref="B55:H55"/>
    <mergeCell ref="B57:H57"/>
    <mergeCell ref="D58:H58"/>
    <mergeCell ref="D60:H60"/>
    <mergeCell ref="D61:H61"/>
    <mergeCell ref="D62:H62"/>
    <mergeCell ref="D63:H63"/>
    <mergeCell ref="D59:H59"/>
    <mergeCell ref="D65:H65"/>
    <mergeCell ref="B91:G91"/>
    <mergeCell ref="B92:H92"/>
    <mergeCell ref="B52:H52"/>
    <mergeCell ref="B31:H31"/>
    <mergeCell ref="B28:H28"/>
    <mergeCell ref="F20:G20"/>
    <mergeCell ref="G98:H98"/>
    <mergeCell ref="B68:H68"/>
    <mergeCell ref="B69:H69"/>
    <mergeCell ref="B73:B74"/>
    <mergeCell ref="B75:B78"/>
    <mergeCell ref="B84:B88"/>
    <mergeCell ref="B95:H95"/>
    <mergeCell ref="B29:H30"/>
    <mergeCell ref="D64:H64"/>
    <mergeCell ref="B51:H51"/>
    <mergeCell ref="C22:D22"/>
    <mergeCell ref="C23:D23"/>
  </mergeCells>
  <conditionalFormatting sqref="C59:C66">
    <cfRule type="containsText" dxfId="45" priority="1" operator="containsText" text="High">
      <formula>NOT(ISERROR(SEARCH("High",C59)))</formula>
    </cfRule>
    <cfRule type="containsText" dxfId="44" priority="2" operator="containsText" text="Minor">
      <formula>NOT(ISERROR(SEARCH("Minor",C59)))</formula>
    </cfRule>
    <cfRule type="containsText" dxfId="43" priority="3" operator="containsText" text="Moderate">
      <formula>NOT(ISERROR(SEARCH("Moderate",C59)))</formula>
    </cfRule>
    <cfRule type="containsText" dxfId="42" priority="4" operator="containsText" text="Critical">
      <formula>NOT(ISERROR(SEARCH("Critical",C59)))</formula>
    </cfRule>
  </conditionalFormatting>
  <dataValidations count="3">
    <dataValidation type="list" allowBlank="1" showInputMessage="1" showErrorMessage="1" sqref="C59:C66" xr:uid="{47B7C9C9-0FCA-4842-B71D-D6A75A0D2E07}">
      <formula1>"Minor,Moderate,High,Critical"</formula1>
    </dataValidation>
    <dataValidation allowBlank="1" showInputMessage="1" showErrorMessage="1" prompt="Please attach evidence and further breakdown of these costs." sqref="H16" xr:uid="{466D7E5E-989A-445B-AD45-A958420C6C3E}"/>
    <dataValidation type="list" allowBlank="1" showInputMessage="1" showErrorMessage="1" sqref="G73:G79" xr:uid="{E80FED71-3ECA-481F-B5A6-48CD01F22738}">
      <formula1>"Yes,No,N/A"</formula1>
    </dataValidation>
  </dataValidations>
  <pageMargins left="0.7" right="0.7" top="0.75" bottom="0.75" header="0.3" footer="0.3"/>
  <pageSetup paperSize="8" scale="75" fitToHeight="0" orientation="portrait" horizontalDpi="4294967294" r:id="rId1"/>
  <colBreaks count="1" manualBreakCount="1">
    <brk id="8" min="1"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C6D2-AB96-442B-A13C-5FE050CFD59F}">
  <sheetPr>
    <tabColor rgb="FF2DAE76"/>
    <pageSetUpPr fitToPage="1"/>
  </sheetPr>
  <dimension ref="A1:AH141"/>
  <sheetViews>
    <sheetView showGridLines="0" zoomScaleNormal="100" workbookViewId="0">
      <selection activeCell="I39" sqref="I39"/>
    </sheetView>
  </sheetViews>
  <sheetFormatPr defaultColWidth="9.453125" defaultRowHeight="27" customHeight="1" x14ac:dyDescent="0.5"/>
  <cols>
    <col min="1" max="1" width="3.54296875" style="440" customWidth="1"/>
    <col min="2" max="2" width="3.453125" style="440" customWidth="1"/>
    <col min="3" max="3" width="36.54296875" style="444" customWidth="1"/>
    <col min="4" max="4" width="64" style="443" customWidth="1"/>
    <col min="5" max="6" width="20.453125" style="443" customWidth="1"/>
    <col min="7" max="7" width="20.453125" style="442" customWidth="1"/>
    <col min="8" max="8" width="3.54296875" style="441" customWidth="1"/>
    <col min="9" max="9" width="10.453125" style="441" customWidth="1"/>
    <col min="10" max="10" width="12.54296875" style="440" customWidth="1"/>
    <col min="11" max="11" width="14.54296875" style="440" customWidth="1"/>
    <col min="12" max="12" width="18.1796875" style="440" hidden="1" customWidth="1"/>
    <col min="13" max="13" width="28.54296875" style="440" customWidth="1"/>
    <col min="14" max="14" width="43.54296875" style="440" customWidth="1"/>
    <col min="15" max="15" width="15.81640625" style="440" hidden="1" customWidth="1"/>
    <col min="16" max="16" width="0" style="440" hidden="1" customWidth="1"/>
    <col min="17" max="16384" width="9.453125" style="440"/>
  </cols>
  <sheetData>
    <row r="1" spans="1:34" ht="16.399999999999999" customHeight="1" x14ac:dyDescent="0.5">
      <c r="A1" s="445"/>
      <c r="B1" s="445"/>
      <c r="C1" s="530"/>
      <c r="D1" s="529"/>
      <c r="E1" s="529"/>
      <c r="F1" s="529"/>
      <c r="G1" s="528"/>
      <c r="H1" s="524"/>
      <c r="I1" s="524"/>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row>
    <row r="2" spans="1:34" ht="17.149999999999999" customHeight="1" x14ac:dyDescent="0.5">
      <c r="A2" s="445"/>
      <c r="B2" s="446"/>
      <c r="C2" s="527"/>
      <c r="D2" s="527"/>
      <c r="E2" s="527"/>
      <c r="F2" s="527"/>
      <c r="G2" s="526"/>
      <c r="H2" s="525"/>
      <c r="I2" s="524"/>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row>
    <row r="3" spans="1:34" ht="35.15" customHeight="1" x14ac:dyDescent="0.5">
      <c r="A3" s="445"/>
      <c r="B3" s="446"/>
      <c r="C3" s="774" t="s">
        <v>280</v>
      </c>
      <c r="D3" s="774"/>
      <c r="E3" s="555"/>
      <c r="F3" s="555"/>
      <c r="G3" s="523"/>
      <c r="H3" s="446"/>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row>
    <row r="4" spans="1:34" ht="46.4" customHeight="1" x14ac:dyDescent="0.5">
      <c r="A4" s="445"/>
      <c r="B4" s="446"/>
      <c r="C4" s="775"/>
      <c r="D4" s="775"/>
      <c r="E4" s="556"/>
      <c r="F4" s="556"/>
      <c r="G4" s="522"/>
      <c r="H4" s="446"/>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row>
    <row r="5" spans="1:34" ht="44.9" customHeight="1" thickBot="1" x14ac:dyDescent="0.55000000000000004">
      <c r="A5" s="445"/>
      <c r="B5" s="446"/>
      <c r="C5" s="776" t="s">
        <v>281</v>
      </c>
      <c r="D5" s="776"/>
      <c r="E5" s="776"/>
      <c r="F5" s="776"/>
      <c r="G5" s="776"/>
      <c r="H5" s="446"/>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row>
    <row r="6" spans="1:34" s="519" customFormat="1" ht="30" customHeight="1" thickBot="1" x14ac:dyDescent="0.55000000000000004">
      <c r="A6" s="507"/>
      <c r="B6" s="521"/>
      <c r="C6" s="502" t="s">
        <v>43</v>
      </c>
      <c r="D6" s="520" t="s">
        <v>199</v>
      </c>
      <c r="E6" s="500" t="s">
        <v>282</v>
      </c>
      <c r="F6" s="500" t="s">
        <v>283</v>
      </c>
      <c r="G6" s="499" t="s">
        <v>284</v>
      </c>
      <c r="H6" s="509"/>
      <c r="I6" s="508"/>
      <c r="J6" s="778" t="s">
        <v>285</v>
      </c>
      <c r="K6" s="778"/>
      <c r="L6" s="778"/>
      <c r="M6" s="778"/>
      <c r="N6" s="778"/>
      <c r="O6" s="445"/>
      <c r="P6" s="445"/>
      <c r="Q6" s="445"/>
      <c r="R6" s="445"/>
      <c r="S6" s="507"/>
      <c r="T6" s="507"/>
      <c r="U6" s="507"/>
      <c r="V6" s="507"/>
      <c r="W6" s="507"/>
      <c r="X6" s="507"/>
      <c r="Y6" s="507"/>
      <c r="Z6" s="507"/>
      <c r="AA6" s="507"/>
      <c r="AB6" s="507"/>
      <c r="AC6" s="507"/>
      <c r="AD6" s="507"/>
      <c r="AE6" s="507"/>
      <c r="AF6" s="507"/>
      <c r="AG6" s="507"/>
      <c r="AH6" s="507"/>
    </row>
    <row r="7" spans="1:34" ht="27" customHeight="1" x14ac:dyDescent="0.5">
      <c r="A7" s="445"/>
      <c r="B7" s="446"/>
      <c r="C7" s="463" t="s">
        <v>286</v>
      </c>
      <c r="D7" s="455" t="s">
        <v>287</v>
      </c>
      <c r="E7" s="461" t="s">
        <v>288</v>
      </c>
      <c r="F7" s="518"/>
      <c r="G7" s="460">
        <v>20</v>
      </c>
      <c r="H7" s="458"/>
      <c r="I7" s="457"/>
      <c r="J7" s="777" t="s">
        <v>289</v>
      </c>
      <c r="K7" s="777"/>
      <c r="L7" s="777"/>
      <c r="M7" s="777"/>
      <c r="N7" s="777"/>
      <c r="O7" s="445"/>
      <c r="P7" s="445"/>
      <c r="Q7" s="445"/>
      <c r="R7" s="445"/>
      <c r="S7" s="445"/>
      <c r="T7" s="445"/>
      <c r="U7" s="445"/>
      <c r="V7" s="445"/>
      <c r="W7" s="445"/>
      <c r="X7" s="445"/>
      <c r="Y7" s="445"/>
      <c r="Z7" s="445"/>
      <c r="AA7" s="445"/>
      <c r="AB7" s="445"/>
      <c r="AC7" s="445"/>
      <c r="AD7" s="445"/>
      <c r="AE7" s="445"/>
      <c r="AF7" s="445"/>
      <c r="AG7" s="445"/>
      <c r="AH7" s="445"/>
    </row>
    <row r="8" spans="1:34" ht="27" customHeight="1" x14ac:dyDescent="0.5">
      <c r="A8" s="445"/>
      <c r="B8" s="446"/>
      <c r="C8" s="468"/>
      <c r="D8" s="455" t="s">
        <v>290</v>
      </c>
      <c r="E8" s="466" t="s">
        <v>288</v>
      </c>
      <c r="F8" s="517"/>
      <c r="G8" s="465">
        <v>20</v>
      </c>
      <c r="H8" s="458"/>
      <c r="I8" s="457"/>
      <c r="J8" s="777"/>
      <c r="K8" s="777"/>
      <c r="L8" s="777"/>
      <c r="M8" s="777"/>
      <c r="N8" s="777"/>
      <c r="O8" s="445"/>
      <c r="P8" s="445"/>
      <c r="Q8" s="445"/>
      <c r="R8" s="445"/>
      <c r="S8" s="445"/>
      <c r="T8" s="445"/>
      <c r="U8" s="445"/>
      <c r="V8" s="445"/>
      <c r="W8" s="445"/>
      <c r="X8" s="445"/>
      <c r="Y8" s="445"/>
      <c r="Z8" s="445"/>
      <c r="AA8" s="445"/>
      <c r="AB8" s="445"/>
      <c r="AC8" s="445"/>
      <c r="AD8" s="445"/>
      <c r="AE8" s="445"/>
      <c r="AF8" s="445"/>
      <c r="AG8" s="445"/>
      <c r="AH8" s="445"/>
    </row>
    <row r="9" spans="1:34" ht="27" customHeight="1" x14ac:dyDescent="0.5">
      <c r="A9" s="445"/>
      <c r="B9" s="446"/>
      <c r="C9" s="459"/>
      <c r="D9" s="455" t="s">
        <v>291</v>
      </c>
      <c r="E9" s="454" t="s">
        <v>288</v>
      </c>
      <c r="F9" s="514"/>
      <c r="G9" s="453">
        <v>25</v>
      </c>
      <c r="H9" s="458"/>
      <c r="I9" s="457"/>
      <c r="J9" s="777"/>
      <c r="K9" s="777"/>
      <c r="L9" s="777"/>
      <c r="M9" s="777"/>
      <c r="N9" s="777"/>
      <c r="O9" s="445"/>
      <c r="P9" s="445"/>
      <c r="Q9" s="445"/>
      <c r="R9" s="445"/>
      <c r="S9" s="445"/>
      <c r="T9" s="445"/>
      <c r="U9" s="445"/>
      <c r="V9" s="445"/>
      <c r="W9" s="445"/>
      <c r="X9" s="445"/>
      <c r="Y9" s="445"/>
      <c r="Z9" s="445"/>
      <c r="AA9" s="445"/>
      <c r="AB9" s="445"/>
      <c r="AC9" s="445"/>
      <c r="AD9" s="445"/>
      <c r="AE9" s="445"/>
      <c r="AF9" s="445"/>
      <c r="AG9" s="445"/>
      <c r="AH9" s="445"/>
    </row>
    <row r="10" spans="1:34" ht="27" customHeight="1" x14ac:dyDescent="0.5">
      <c r="A10" s="445"/>
      <c r="B10" s="446"/>
      <c r="C10" s="459"/>
      <c r="D10" s="455" t="s">
        <v>292</v>
      </c>
      <c r="E10" s="454" t="s">
        <v>288</v>
      </c>
      <c r="F10" s="514"/>
      <c r="G10" s="453">
        <v>25</v>
      </c>
      <c r="H10" s="458"/>
      <c r="I10" s="457"/>
      <c r="J10" s="777"/>
      <c r="K10" s="777"/>
      <c r="L10" s="777"/>
      <c r="M10" s="777"/>
      <c r="N10" s="777"/>
      <c r="O10" s="445"/>
      <c r="P10" s="445"/>
      <c r="Q10" s="445"/>
      <c r="R10" s="445"/>
      <c r="S10" s="445"/>
      <c r="T10" s="445"/>
      <c r="U10" s="445"/>
      <c r="V10" s="445"/>
      <c r="W10" s="445"/>
      <c r="X10" s="445"/>
      <c r="Y10" s="445"/>
      <c r="Z10" s="445"/>
      <c r="AA10" s="445"/>
      <c r="AB10" s="445"/>
      <c r="AC10" s="445"/>
      <c r="AD10" s="445"/>
      <c r="AE10" s="445"/>
      <c r="AF10" s="445"/>
      <c r="AG10" s="445"/>
      <c r="AH10" s="445"/>
    </row>
    <row r="11" spans="1:34" s="512" customFormat="1" ht="27" customHeight="1" x14ac:dyDescent="0.5">
      <c r="A11" s="516"/>
      <c r="B11" s="515"/>
      <c r="C11" s="459"/>
      <c r="D11" s="455" t="s">
        <v>237</v>
      </c>
      <c r="E11" s="454" t="s">
        <v>288</v>
      </c>
      <c r="F11" s="514"/>
      <c r="G11" s="513">
        <v>30</v>
      </c>
      <c r="H11" s="458"/>
      <c r="I11" s="457"/>
      <c r="J11" s="777"/>
      <c r="K11" s="777"/>
      <c r="L11" s="777"/>
      <c r="M11" s="777"/>
      <c r="N11" s="777"/>
      <c r="O11" s="445"/>
      <c r="P11" s="445"/>
      <c r="Q11" s="445"/>
      <c r="R11" s="445"/>
      <c r="S11" s="445"/>
      <c r="T11" s="445"/>
      <c r="U11" s="445"/>
      <c r="V11" s="445"/>
      <c r="W11" s="445"/>
      <c r="X11" s="445"/>
      <c r="Y11" s="445"/>
      <c r="Z11" s="445"/>
      <c r="AA11" s="445"/>
      <c r="AB11" s="445"/>
      <c r="AC11" s="445"/>
      <c r="AD11" s="445"/>
      <c r="AE11" s="445"/>
      <c r="AF11" s="445"/>
      <c r="AG11" s="445"/>
      <c r="AH11" s="445"/>
    </row>
    <row r="12" spans="1:34" s="512" customFormat="1" ht="27" customHeight="1" x14ac:dyDescent="0.5">
      <c r="A12" s="516"/>
      <c r="B12" s="515"/>
      <c r="C12" s="497"/>
      <c r="D12" s="496" t="s">
        <v>239</v>
      </c>
      <c r="E12" s="484" t="s">
        <v>288</v>
      </c>
      <c r="F12" s="514"/>
      <c r="G12" s="513">
        <v>10</v>
      </c>
      <c r="H12" s="458"/>
      <c r="I12" s="457"/>
      <c r="J12" s="626"/>
      <c r="K12" s="626"/>
      <c r="L12" s="626"/>
      <c r="M12" s="626"/>
      <c r="N12" s="626"/>
      <c r="O12" s="445"/>
      <c r="P12" s="445"/>
      <c r="Q12" s="445"/>
      <c r="R12" s="445"/>
      <c r="S12" s="445"/>
      <c r="T12" s="445"/>
      <c r="U12" s="445"/>
      <c r="V12" s="445"/>
      <c r="W12" s="445"/>
      <c r="X12" s="445"/>
      <c r="Y12" s="445"/>
      <c r="Z12" s="445"/>
      <c r="AA12" s="445"/>
      <c r="AB12" s="445"/>
      <c r="AC12" s="445"/>
      <c r="AD12" s="445"/>
      <c r="AE12" s="445"/>
      <c r="AF12" s="445"/>
      <c r="AG12" s="445"/>
      <c r="AH12" s="445"/>
    </row>
    <row r="13" spans="1:34" s="506" customFormat="1" ht="27" customHeight="1" x14ac:dyDescent="0.5">
      <c r="A13" s="511"/>
      <c r="B13" s="510"/>
      <c r="C13" s="497"/>
      <c r="D13" s="496" t="s">
        <v>293</v>
      </c>
      <c r="E13" s="484" t="s">
        <v>288</v>
      </c>
      <c r="F13" s="505"/>
      <c r="G13" s="504">
        <v>12</v>
      </c>
      <c r="H13" s="509"/>
      <c r="I13" s="508"/>
      <c r="J13" s="445"/>
      <c r="K13" s="445"/>
      <c r="L13" s="445"/>
      <c r="M13" s="445"/>
      <c r="N13" s="445"/>
      <c r="O13" s="445"/>
      <c r="P13" s="445"/>
      <c r="Q13" s="445"/>
      <c r="R13" s="445"/>
      <c r="S13" s="445"/>
      <c r="T13" s="445"/>
      <c r="U13" s="507"/>
      <c r="V13" s="507"/>
      <c r="W13" s="507"/>
      <c r="X13" s="507"/>
      <c r="Y13" s="507"/>
      <c r="Z13" s="507"/>
      <c r="AA13" s="507"/>
      <c r="AB13" s="507"/>
      <c r="AC13" s="507"/>
      <c r="AD13" s="507"/>
      <c r="AE13" s="507"/>
      <c r="AF13" s="507"/>
      <c r="AG13" s="507"/>
      <c r="AH13" s="507"/>
    </row>
    <row r="14" spans="1:34" ht="27" customHeight="1" thickBot="1" x14ac:dyDescent="0.55000000000000004">
      <c r="A14" s="445"/>
      <c r="B14" s="446"/>
      <c r="C14" s="497"/>
      <c r="D14" s="496" t="s">
        <v>294</v>
      </c>
      <c r="E14" s="484" t="s">
        <v>288</v>
      </c>
      <c r="F14" s="505"/>
      <c r="G14" s="504">
        <v>25</v>
      </c>
      <c r="H14" s="458"/>
      <c r="I14" s="457"/>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row>
    <row r="15" spans="1:34" ht="27" customHeight="1" thickBot="1" x14ac:dyDescent="0.55000000000000004">
      <c r="A15" s="445"/>
      <c r="B15" s="446"/>
      <c r="C15" s="497"/>
      <c r="D15" s="449" t="s">
        <v>295</v>
      </c>
      <c r="E15" s="448" t="s">
        <v>288</v>
      </c>
      <c r="F15" s="503"/>
      <c r="G15" s="473">
        <v>20</v>
      </c>
      <c r="H15" s="458"/>
      <c r="I15" s="457"/>
      <c r="J15" s="557" t="s">
        <v>198</v>
      </c>
      <c r="K15" s="314"/>
      <c r="L15" s="314"/>
      <c r="M15" s="314"/>
      <c r="N15" s="315"/>
      <c r="O15" s="445"/>
      <c r="P15" s="445"/>
      <c r="Q15" s="445"/>
      <c r="R15" s="445"/>
      <c r="S15" s="445"/>
      <c r="T15" s="445"/>
      <c r="U15" s="445"/>
      <c r="V15" s="445"/>
      <c r="W15" s="445"/>
      <c r="X15" s="445"/>
      <c r="Y15" s="445"/>
      <c r="Z15" s="445"/>
      <c r="AA15" s="445"/>
      <c r="AB15" s="445"/>
      <c r="AC15" s="445"/>
      <c r="AD15" s="445"/>
      <c r="AE15" s="445"/>
      <c r="AF15" s="445"/>
      <c r="AG15" s="445"/>
      <c r="AH15" s="445"/>
    </row>
    <row r="16" spans="1:34" ht="27" customHeight="1" thickBot="1" x14ac:dyDescent="0.55000000000000004">
      <c r="A16" s="445"/>
      <c r="B16" s="446"/>
      <c r="C16" s="502" t="s">
        <v>43</v>
      </c>
      <c r="D16" s="501" t="s">
        <v>199</v>
      </c>
      <c r="E16" s="500" t="s">
        <v>282</v>
      </c>
      <c r="F16" s="500" t="s">
        <v>283</v>
      </c>
      <c r="G16" s="499" t="s">
        <v>200</v>
      </c>
      <c r="H16" s="458"/>
      <c r="I16" s="457"/>
      <c r="J16" s="558" t="s">
        <v>201</v>
      </c>
      <c r="K16" s="559" t="s">
        <v>202</v>
      </c>
      <c r="L16" s="625" t="s">
        <v>203</v>
      </c>
      <c r="M16" s="625"/>
      <c r="N16" s="560"/>
      <c r="O16" s="547" t="s">
        <v>204</v>
      </c>
      <c r="P16" s="548"/>
      <c r="Q16" s="445"/>
      <c r="R16" s="445"/>
      <c r="S16" s="445"/>
      <c r="T16" s="445"/>
      <c r="U16" s="445"/>
      <c r="V16" s="445"/>
      <c r="W16" s="445"/>
      <c r="X16" s="445"/>
      <c r="Y16" s="445"/>
      <c r="Z16" s="445"/>
      <c r="AA16" s="445"/>
      <c r="AB16" s="445"/>
      <c r="AC16" s="445"/>
      <c r="AD16" s="445"/>
      <c r="AE16" s="445"/>
      <c r="AF16" s="445"/>
      <c r="AG16" s="445"/>
      <c r="AH16" s="445"/>
    </row>
    <row r="17" spans="1:34" ht="27" customHeight="1" x14ac:dyDescent="0.5">
      <c r="A17" s="445"/>
      <c r="B17" s="446"/>
      <c r="C17" s="498" t="s">
        <v>296</v>
      </c>
      <c r="D17" s="462" t="s">
        <v>222</v>
      </c>
      <c r="E17" s="461" t="s">
        <v>288</v>
      </c>
      <c r="F17" s="461" t="s">
        <v>288</v>
      </c>
      <c r="G17" s="460">
        <v>6.84</v>
      </c>
      <c r="H17" s="458"/>
      <c r="I17" s="457"/>
      <c r="J17" s="253" t="s">
        <v>62</v>
      </c>
      <c r="K17" s="254">
        <v>0.20707428859060401</v>
      </c>
      <c r="L17" s="264">
        <v>45175</v>
      </c>
      <c r="M17" s="265" t="s">
        <v>205</v>
      </c>
      <c r="N17" s="266"/>
      <c r="O17" s="549">
        <v>0.44932</v>
      </c>
      <c r="P17" s="548" t="s">
        <v>206</v>
      </c>
      <c r="Q17" s="445"/>
      <c r="R17" s="445"/>
      <c r="S17" s="445"/>
      <c r="T17" s="445"/>
      <c r="U17" s="445"/>
      <c r="V17" s="445"/>
      <c r="W17" s="445"/>
      <c r="X17" s="445"/>
      <c r="Y17" s="445"/>
      <c r="Z17" s="445"/>
      <c r="AA17" s="445"/>
      <c r="AB17" s="445"/>
      <c r="AC17" s="445"/>
      <c r="AD17" s="445"/>
      <c r="AE17" s="445"/>
      <c r="AF17" s="445"/>
      <c r="AG17" s="445"/>
      <c r="AH17" s="445"/>
    </row>
    <row r="18" spans="1:34" ht="27" customHeight="1" thickBot="1" x14ac:dyDescent="0.55000000000000004">
      <c r="A18" s="445"/>
      <c r="B18" s="446"/>
      <c r="C18" s="497"/>
      <c r="D18" s="496" t="s">
        <v>224</v>
      </c>
      <c r="E18" s="493" t="s">
        <v>288</v>
      </c>
      <c r="F18" s="484" t="s">
        <v>288</v>
      </c>
      <c r="G18" s="495">
        <v>8.4208754827908177</v>
      </c>
      <c r="H18" s="458"/>
      <c r="I18" s="457"/>
      <c r="J18" s="255" t="s">
        <v>126</v>
      </c>
      <c r="K18" s="256">
        <v>0.18315999999999999</v>
      </c>
      <c r="L18" s="264">
        <v>44377</v>
      </c>
      <c r="M18" s="267" t="s">
        <v>207</v>
      </c>
      <c r="N18" s="266"/>
      <c r="O18" s="549">
        <v>0.184</v>
      </c>
      <c r="P18" s="548" t="s">
        <v>208</v>
      </c>
      <c r="Q18" s="445"/>
      <c r="R18" s="445"/>
      <c r="S18" s="445"/>
      <c r="T18" s="445"/>
      <c r="U18" s="445"/>
      <c r="V18" s="445"/>
      <c r="W18" s="445"/>
      <c r="X18" s="445"/>
      <c r="Y18" s="445"/>
      <c r="Z18" s="445"/>
      <c r="AA18" s="445"/>
      <c r="AB18" s="445"/>
      <c r="AC18" s="445"/>
      <c r="AD18" s="445"/>
      <c r="AE18" s="445"/>
      <c r="AF18" s="445"/>
      <c r="AG18" s="445"/>
      <c r="AH18" s="445"/>
    </row>
    <row r="19" spans="1:34" ht="27" customHeight="1" x14ac:dyDescent="0.5">
      <c r="A19" s="445"/>
      <c r="B19" s="446"/>
      <c r="C19" s="463" t="s">
        <v>228</v>
      </c>
      <c r="D19" s="462" t="s">
        <v>229</v>
      </c>
      <c r="E19" s="492"/>
      <c r="F19" s="492" t="s">
        <v>288</v>
      </c>
      <c r="G19" s="460">
        <v>6.84</v>
      </c>
      <c r="H19" s="458"/>
      <c r="I19" s="457"/>
      <c r="J19" s="257" t="s">
        <v>209</v>
      </c>
      <c r="K19" s="256">
        <v>0.25679000000000002</v>
      </c>
      <c r="L19" s="264">
        <v>44377</v>
      </c>
      <c r="M19" s="267" t="s">
        <v>207</v>
      </c>
      <c r="N19" s="266"/>
      <c r="O19" s="550">
        <v>0.27631</v>
      </c>
      <c r="P19" s="548" t="s">
        <v>210</v>
      </c>
      <c r="Q19" s="445"/>
      <c r="R19" s="445"/>
      <c r="S19" s="445"/>
      <c r="T19" s="445"/>
      <c r="U19" s="445"/>
      <c r="V19" s="445"/>
      <c r="W19" s="445"/>
      <c r="X19" s="445"/>
      <c r="Y19" s="445"/>
      <c r="Z19" s="445"/>
      <c r="AA19" s="445"/>
      <c r="AB19" s="445"/>
      <c r="AC19" s="445"/>
      <c r="AD19" s="445"/>
      <c r="AE19" s="445"/>
      <c r="AF19" s="445"/>
      <c r="AG19" s="445"/>
      <c r="AH19" s="445"/>
    </row>
    <row r="20" spans="1:34" ht="27" customHeight="1" x14ac:dyDescent="0.5">
      <c r="A20" s="445"/>
      <c r="B20" s="446"/>
      <c r="C20" s="459"/>
      <c r="D20" s="455" t="s">
        <v>230</v>
      </c>
      <c r="E20" s="484"/>
      <c r="F20" s="484" t="s">
        <v>288</v>
      </c>
      <c r="G20" s="453">
        <v>8.2079999999999984</v>
      </c>
      <c r="H20" s="458"/>
      <c r="I20" s="457"/>
      <c r="J20" s="258" t="s">
        <v>211</v>
      </c>
      <c r="K20" s="259">
        <v>0.26815</v>
      </c>
      <c r="L20" s="264">
        <v>44377</v>
      </c>
      <c r="M20" s="267" t="s">
        <v>207</v>
      </c>
      <c r="N20" s="266" t="s">
        <v>212</v>
      </c>
      <c r="O20" s="550">
        <v>0.26782</v>
      </c>
      <c r="P20" s="548" t="s">
        <v>213</v>
      </c>
      <c r="Q20" s="445"/>
      <c r="R20" s="445"/>
      <c r="S20" s="445"/>
      <c r="T20" s="445"/>
      <c r="U20" s="445"/>
      <c r="V20" s="445"/>
      <c r="W20" s="445"/>
      <c r="X20" s="445"/>
      <c r="Y20" s="445"/>
      <c r="Z20" s="445"/>
      <c r="AA20" s="445"/>
      <c r="AB20" s="445"/>
      <c r="AC20" s="445"/>
      <c r="AD20" s="445"/>
      <c r="AE20" s="445"/>
      <c r="AF20" s="445"/>
      <c r="AG20" s="445"/>
      <c r="AH20" s="445"/>
    </row>
    <row r="21" spans="1:34" ht="27" customHeight="1" x14ac:dyDescent="0.5">
      <c r="A21" s="445"/>
      <c r="B21" s="446"/>
      <c r="C21" s="459"/>
      <c r="D21" s="455" t="s">
        <v>297</v>
      </c>
      <c r="E21" s="484"/>
      <c r="F21" s="484" t="s">
        <v>288</v>
      </c>
      <c r="G21" s="453">
        <v>14.44</v>
      </c>
      <c r="H21" s="458"/>
      <c r="I21" s="457"/>
      <c r="J21" s="258" t="s">
        <v>214</v>
      </c>
      <c r="K21" s="259">
        <v>0.24676999999999999</v>
      </c>
      <c r="L21" s="264">
        <v>44377</v>
      </c>
      <c r="M21" s="267" t="s">
        <v>207</v>
      </c>
      <c r="N21" s="266" t="s">
        <v>215</v>
      </c>
      <c r="O21" s="550">
        <v>0.24665999999999999</v>
      </c>
      <c r="P21" s="548" t="s">
        <v>216</v>
      </c>
      <c r="Q21" s="445"/>
      <c r="R21" s="445"/>
      <c r="S21" s="445"/>
      <c r="T21" s="445"/>
      <c r="U21" s="445"/>
      <c r="V21" s="445"/>
      <c r="W21" s="445"/>
      <c r="X21" s="445"/>
      <c r="Y21" s="445"/>
      <c r="Z21" s="445"/>
      <c r="AA21" s="445"/>
      <c r="AB21" s="445"/>
      <c r="AC21" s="445"/>
      <c r="AD21" s="445"/>
      <c r="AE21" s="445"/>
      <c r="AF21" s="445"/>
      <c r="AG21" s="445"/>
      <c r="AH21" s="445"/>
    </row>
    <row r="22" spans="1:34" ht="27" customHeight="1" x14ac:dyDescent="0.5">
      <c r="A22" s="445"/>
      <c r="B22" s="446"/>
      <c r="C22" s="459"/>
      <c r="D22" s="494" t="s">
        <v>231</v>
      </c>
      <c r="E22" s="484"/>
      <c r="F22" s="484" t="s">
        <v>288</v>
      </c>
      <c r="G22" s="453">
        <v>13.68</v>
      </c>
      <c r="H22" s="458"/>
      <c r="I22" s="457"/>
      <c r="J22" s="260" t="s">
        <v>130</v>
      </c>
      <c r="K22" s="259">
        <v>0.34461999999999998</v>
      </c>
      <c r="L22" s="264">
        <v>44377</v>
      </c>
      <c r="M22" s="267" t="s">
        <v>207</v>
      </c>
      <c r="N22" s="266"/>
      <c r="O22" s="550">
        <v>0.32235000000000003</v>
      </c>
      <c r="P22" s="548" t="s">
        <v>217</v>
      </c>
      <c r="Q22" s="445"/>
      <c r="R22" s="445"/>
      <c r="S22" s="445"/>
      <c r="T22" s="445"/>
      <c r="U22" s="445"/>
      <c r="V22" s="445"/>
      <c r="W22" s="445"/>
      <c r="X22" s="445"/>
      <c r="Y22" s="445"/>
      <c r="Z22" s="445"/>
      <c r="AA22" s="445"/>
      <c r="AB22" s="445"/>
      <c r="AC22" s="445"/>
      <c r="AD22" s="445"/>
      <c r="AE22" s="445"/>
      <c r="AF22" s="445"/>
      <c r="AG22" s="445"/>
      <c r="AH22" s="445"/>
    </row>
    <row r="23" spans="1:34" ht="27" customHeight="1" thickBot="1" x14ac:dyDescent="0.55000000000000004">
      <c r="A23" s="445"/>
      <c r="B23" s="446"/>
      <c r="C23" s="464"/>
      <c r="D23" s="449" t="s">
        <v>232</v>
      </c>
      <c r="E23" s="484"/>
      <c r="F23" s="493" t="s">
        <v>288</v>
      </c>
      <c r="G23" s="447">
        <v>13.68</v>
      </c>
      <c r="H23" s="458"/>
      <c r="I23" s="457"/>
      <c r="J23" s="261" t="s">
        <v>131</v>
      </c>
      <c r="K23" s="259">
        <v>0.21448999999999999</v>
      </c>
      <c r="L23" s="264">
        <v>44377</v>
      </c>
      <c r="M23" s="267" t="s">
        <v>207</v>
      </c>
      <c r="N23" s="266"/>
      <c r="O23" s="550">
        <v>0.21457999999999999</v>
      </c>
      <c r="P23" s="548" t="s">
        <v>218</v>
      </c>
      <c r="Q23" s="445"/>
      <c r="R23" s="445"/>
      <c r="S23" s="445"/>
      <c r="T23" s="445"/>
      <c r="U23" s="445"/>
      <c r="V23" s="445"/>
      <c r="W23" s="445"/>
      <c r="X23" s="445"/>
      <c r="Y23" s="445"/>
      <c r="Z23" s="445"/>
      <c r="AA23" s="445"/>
      <c r="AB23" s="445"/>
      <c r="AC23" s="445"/>
      <c r="AD23" s="445"/>
      <c r="AE23" s="445"/>
      <c r="AF23" s="445"/>
      <c r="AG23" s="445"/>
      <c r="AH23" s="445"/>
    </row>
    <row r="24" spans="1:34" ht="27" customHeight="1" x14ac:dyDescent="0.5">
      <c r="A24" s="445"/>
      <c r="B24" s="446"/>
      <c r="C24" s="463" t="s">
        <v>233</v>
      </c>
      <c r="D24" s="462" t="s">
        <v>234</v>
      </c>
      <c r="E24" s="461" t="s">
        <v>288</v>
      </c>
      <c r="F24" s="492" t="s">
        <v>288</v>
      </c>
      <c r="G24" s="460">
        <v>15.2</v>
      </c>
      <c r="H24" s="458"/>
      <c r="I24" s="457"/>
      <c r="J24" s="262" t="s">
        <v>133</v>
      </c>
      <c r="K24" s="259">
        <v>3.7440000000000001E-2</v>
      </c>
      <c r="L24" s="264">
        <v>44377</v>
      </c>
      <c r="M24" s="267" t="s">
        <v>220</v>
      </c>
      <c r="N24" s="266"/>
      <c r="O24" s="550">
        <v>3.7440000000000001E-2</v>
      </c>
      <c r="P24" s="548" t="s">
        <v>221</v>
      </c>
      <c r="Q24" s="445"/>
      <c r="R24" s="445"/>
      <c r="S24" s="445"/>
      <c r="T24" s="445"/>
      <c r="U24" s="445"/>
      <c r="V24" s="445"/>
      <c r="W24" s="445"/>
      <c r="X24" s="445"/>
      <c r="Y24" s="445"/>
      <c r="Z24" s="445"/>
      <c r="AA24" s="445"/>
      <c r="AB24" s="445"/>
      <c r="AC24" s="445"/>
      <c r="AD24" s="445"/>
      <c r="AE24" s="445"/>
      <c r="AF24" s="445"/>
      <c r="AG24" s="445"/>
      <c r="AH24" s="445"/>
    </row>
    <row r="25" spans="1:34" ht="27" customHeight="1" thickBot="1" x14ac:dyDescent="0.55000000000000004">
      <c r="A25" s="445"/>
      <c r="B25" s="446"/>
      <c r="C25" s="464"/>
      <c r="D25" s="449" t="s">
        <v>235</v>
      </c>
      <c r="E25" s="448" t="s">
        <v>288</v>
      </c>
      <c r="F25" s="448" t="s">
        <v>288</v>
      </c>
      <c r="G25" s="447">
        <v>15.2</v>
      </c>
      <c r="H25" s="458"/>
      <c r="I25" s="457"/>
      <c r="J25" s="258" t="s">
        <v>134</v>
      </c>
      <c r="K25" s="259">
        <v>7.92E-3</v>
      </c>
      <c r="L25" s="264">
        <v>44377</v>
      </c>
      <c r="M25" s="267" t="s">
        <v>207</v>
      </c>
      <c r="N25" s="266"/>
      <c r="O25" s="551">
        <v>7.92E-3</v>
      </c>
      <c r="P25" s="548" t="s">
        <v>223</v>
      </c>
      <c r="Q25" s="445"/>
      <c r="R25" s="445"/>
      <c r="S25" s="445"/>
      <c r="T25" s="445"/>
      <c r="U25" s="445"/>
      <c r="V25" s="445"/>
      <c r="W25" s="445"/>
      <c r="X25" s="445"/>
      <c r="Y25" s="445"/>
      <c r="Z25" s="445"/>
      <c r="AA25" s="445"/>
      <c r="AB25" s="445"/>
      <c r="AC25" s="445"/>
      <c r="AD25" s="445"/>
      <c r="AE25" s="445"/>
      <c r="AF25" s="445"/>
      <c r="AG25" s="445"/>
      <c r="AH25" s="445"/>
    </row>
    <row r="26" spans="1:34" ht="27" customHeight="1" thickBot="1" x14ac:dyDescent="0.55000000000000004">
      <c r="A26" s="445"/>
      <c r="B26" s="446"/>
      <c r="C26" s="491" t="s">
        <v>236</v>
      </c>
      <c r="D26" s="462" t="s">
        <v>238</v>
      </c>
      <c r="E26" s="484" t="s">
        <v>288</v>
      </c>
      <c r="F26" s="484"/>
      <c r="G26" s="460">
        <v>10.83</v>
      </c>
      <c r="H26" s="458"/>
      <c r="I26" s="457"/>
      <c r="J26" s="255" t="s">
        <v>225</v>
      </c>
      <c r="K26" s="263">
        <v>2.4049999999999998E-2</v>
      </c>
      <c r="L26" s="264">
        <v>44377</v>
      </c>
      <c r="M26" s="268" t="s">
        <v>220</v>
      </c>
      <c r="N26" s="269"/>
      <c r="O26" s="552">
        <v>2.6419999999999999E-2</v>
      </c>
      <c r="P26" s="548" t="s">
        <v>226</v>
      </c>
      <c r="Q26" s="445"/>
      <c r="R26" s="445"/>
      <c r="S26" s="445"/>
      <c r="T26" s="445"/>
      <c r="U26" s="445"/>
      <c r="V26" s="445"/>
      <c r="W26" s="445"/>
      <c r="X26" s="445"/>
      <c r="Y26" s="445"/>
      <c r="Z26" s="445"/>
      <c r="AA26" s="445"/>
      <c r="AB26" s="445"/>
      <c r="AC26" s="445"/>
      <c r="AD26" s="445"/>
      <c r="AE26" s="445"/>
      <c r="AF26" s="445"/>
      <c r="AG26" s="445"/>
      <c r="AH26" s="445"/>
    </row>
    <row r="27" spans="1:34" ht="27" customHeight="1" thickBot="1" x14ac:dyDescent="0.55000000000000004">
      <c r="A27" s="445"/>
      <c r="B27" s="446"/>
      <c r="C27" s="490"/>
      <c r="D27" s="489" t="s">
        <v>240</v>
      </c>
      <c r="E27" s="484" t="s">
        <v>288</v>
      </c>
      <c r="F27" s="484"/>
      <c r="G27" s="488">
        <v>6.84</v>
      </c>
      <c r="H27" s="458"/>
      <c r="I27" s="457"/>
      <c r="J27" s="270" t="s">
        <v>227</v>
      </c>
      <c r="K27" s="867" t="s">
        <v>537</v>
      </c>
      <c r="L27" s="865"/>
      <c r="M27" s="865"/>
      <c r="N27" s="866"/>
      <c r="O27" s="553"/>
      <c r="P27" s="548"/>
      <c r="Q27" s="445"/>
      <c r="R27" s="445"/>
      <c r="S27" s="445"/>
      <c r="T27" s="445"/>
      <c r="U27" s="445"/>
      <c r="V27" s="445"/>
      <c r="W27" s="445"/>
      <c r="X27" s="445"/>
      <c r="Y27" s="445"/>
      <c r="Z27" s="445"/>
      <c r="AA27" s="445"/>
      <c r="AB27" s="445"/>
      <c r="AC27" s="445"/>
      <c r="AD27" s="445"/>
      <c r="AE27" s="445"/>
      <c r="AF27" s="445"/>
      <c r="AG27" s="445"/>
      <c r="AH27" s="445"/>
    </row>
    <row r="28" spans="1:34" ht="27" customHeight="1" thickBot="1" x14ac:dyDescent="0.55000000000000004">
      <c r="A28" s="445"/>
      <c r="B28" s="446"/>
      <c r="C28" s="487"/>
      <c r="D28" s="486" t="s">
        <v>298</v>
      </c>
      <c r="E28" s="484" t="s">
        <v>288</v>
      </c>
      <c r="F28" s="484"/>
      <c r="G28" s="485">
        <v>15.2</v>
      </c>
      <c r="H28" s="458"/>
      <c r="I28" s="457"/>
      <c r="J28" s="271"/>
      <c r="K28" s="272"/>
      <c r="L28" s="272"/>
      <c r="M28" s="864"/>
      <c r="N28" s="273"/>
      <c r="O28" s="445"/>
      <c r="P28" s="445"/>
      <c r="Q28" s="445"/>
      <c r="R28" s="445"/>
      <c r="S28" s="445"/>
      <c r="T28" s="445"/>
      <c r="U28" s="445"/>
      <c r="V28" s="445"/>
      <c r="W28" s="445"/>
      <c r="X28" s="445"/>
      <c r="Y28" s="445"/>
      <c r="Z28" s="445"/>
      <c r="AA28" s="445"/>
      <c r="AB28" s="445"/>
      <c r="AC28" s="445"/>
      <c r="AD28" s="445"/>
      <c r="AE28" s="445"/>
      <c r="AF28" s="445"/>
      <c r="AG28" s="445"/>
      <c r="AH28" s="445"/>
    </row>
    <row r="29" spans="1:34" ht="27" customHeight="1" x14ac:dyDescent="0.5">
      <c r="A29" s="445"/>
      <c r="B29" s="446"/>
      <c r="C29" s="459"/>
      <c r="D29" s="486" t="s">
        <v>241</v>
      </c>
      <c r="E29" s="484" t="s">
        <v>288</v>
      </c>
      <c r="F29" s="484"/>
      <c r="G29" s="485">
        <v>11.88</v>
      </c>
      <c r="H29" s="458"/>
      <c r="I29" s="457"/>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row>
    <row r="30" spans="1:34" ht="27" customHeight="1" x14ac:dyDescent="0.5">
      <c r="A30" s="445"/>
      <c r="B30" s="446"/>
      <c r="C30" s="459"/>
      <c r="D30" s="455" t="s">
        <v>242</v>
      </c>
      <c r="E30" s="484" t="s">
        <v>288</v>
      </c>
      <c r="F30" s="484"/>
      <c r="G30" s="453">
        <v>28.5</v>
      </c>
      <c r="H30" s="458"/>
      <c r="I30" s="457"/>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row>
    <row r="31" spans="1:34" ht="27" customHeight="1" x14ac:dyDescent="0.5">
      <c r="A31" s="445"/>
      <c r="B31" s="446"/>
      <c r="C31" s="459"/>
      <c r="D31" s="455" t="s">
        <v>243</v>
      </c>
      <c r="E31" s="484" t="s">
        <v>288</v>
      </c>
      <c r="F31" s="484"/>
      <c r="G31" s="453">
        <v>15.2</v>
      </c>
      <c r="H31" s="458"/>
      <c r="I31" s="457"/>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row>
    <row r="32" spans="1:34" ht="27" customHeight="1" thickBot="1" x14ac:dyDescent="0.55000000000000004">
      <c r="A32" s="445"/>
      <c r="B32" s="446"/>
      <c r="C32" s="464"/>
      <c r="D32" s="449" t="s">
        <v>299</v>
      </c>
      <c r="E32" s="484" t="s">
        <v>288</v>
      </c>
      <c r="F32" s="484"/>
      <c r="G32" s="447">
        <v>18</v>
      </c>
      <c r="H32" s="458"/>
      <c r="I32" s="457"/>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row>
    <row r="33" spans="1:34" ht="27" customHeight="1" x14ac:dyDescent="0.5">
      <c r="A33" s="445"/>
      <c r="B33" s="446"/>
      <c r="C33" s="463" t="s">
        <v>244</v>
      </c>
      <c r="D33" s="462" t="s">
        <v>245</v>
      </c>
      <c r="E33" s="461" t="s">
        <v>288</v>
      </c>
      <c r="F33" s="461"/>
      <c r="G33" s="460">
        <v>14</v>
      </c>
      <c r="H33" s="458"/>
      <c r="I33" s="457"/>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row>
    <row r="34" spans="1:34" ht="27" customHeight="1" x14ac:dyDescent="0.5">
      <c r="A34" s="445"/>
      <c r="B34" s="446"/>
      <c r="C34" s="459"/>
      <c r="D34" s="455" t="s">
        <v>300</v>
      </c>
      <c r="E34" s="484" t="s">
        <v>288</v>
      </c>
      <c r="F34" s="484"/>
      <c r="G34" s="453">
        <v>18</v>
      </c>
      <c r="H34" s="458"/>
      <c r="I34" s="457"/>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row>
    <row r="35" spans="1:34" ht="27" customHeight="1" thickBot="1" x14ac:dyDescent="0.55000000000000004">
      <c r="A35" s="445"/>
      <c r="B35" s="446"/>
      <c r="C35" s="459"/>
      <c r="D35" s="455" t="s">
        <v>301</v>
      </c>
      <c r="E35" s="484" t="s">
        <v>288</v>
      </c>
      <c r="F35" s="484"/>
      <c r="G35" s="453">
        <v>11</v>
      </c>
      <c r="H35" s="458"/>
      <c r="I35" s="457"/>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row>
    <row r="36" spans="1:34" ht="27" customHeight="1" x14ac:dyDescent="0.5">
      <c r="A36" s="445"/>
      <c r="B36" s="446"/>
      <c r="C36" s="463" t="s">
        <v>246</v>
      </c>
      <c r="D36" s="462" t="s">
        <v>247</v>
      </c>
      <c r="E36" s="461" t="s">
        <v>288</v>
      </c>
      <c r="F36" s="461"/>
      <c r="G36" s="460">
        <v>30</v>
      </c>
      <c r="H36" s="458"/>
      <c r="I36" s="457"/>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row>
    <row r="37" spans="1:34" ht="27" customHeight="1" x14ac:dyDescent="0.5">
      <c r="A37" s="445"/>
      <c r="B37" s="446"/>
      <c r="C37" s="459"/>
      <c r="D37" s="455" t="s">
        <v>248</v>
      </c>
      <c r="E37" s="484" t="s">
        <v>288</v>
      </c>
      <c r="F37" s="484"/>
      <c r="G37" s="453">
        <v>28</v>
      </c>
      <c r="H37" s="458"/>
      <c r="I37" s="457"/>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row>
    <row r="38" spans="1:34" ht="27" customHeight="1" x14ac:dyDescent="0.5">
      <c r="A38" s="445"/>
      <c r="B38" s="446"/>
      <c r="C38" s="459"/>
      <c r="D38" s="455" t="s">
        <v>249</v>
      </c>
      <c r="E38" s="484" t="s">
        <v>288</v>
      </c>
      <c r="F38" s="484"/>
      <c r="G38" s="453">
        <v>30</v>
      </c>
      <c r="H38" s="458"/>
      <c r="I38" s="457"/>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row>
    <row r="39" spans="1:34" ht="27" customHeight="1" x14ac:dyDescent="0.5">
      <c r="A39" s="445"/>
      <c r="B39" s="446"/>
      <c r="C39" s="459"/>
      <c r="D39" s="455" t="s">
        <v>250</v>
      </c>
      <c r="E39" s="484" t="s">
        <v>288</v>
      </c>
      <c r="F39" s="484"/>
      <c r="G39" s="453">
        <v>27</v>
      </c>
      <c r="H39" s="458"/>
      <c r="I39" s="457"/>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row>
    <row r="40" spans="1:34" ht="27" customHeight="1" x14ac:dyDescent="0.5">
      <c r="A40" s="445"/>
      <c r="B40" s="446"/>
      <c r="C40" s="459"/>
      <c r="D40" s="455" t="s">
        <v>302</v>
      </c>
      <c r="E40" s="484" t="s">
        <v>288</v>
      </c>
      <c r="F40" s="484"/>
      <c r="G40" s="453">
        <v>27</v>
      </c>
      <c r="H40" s="458"/>
      <c r="I40" s="457"/>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row>
    <row r="41" spans="1:34" ht="27" customHeight="1" x14ac:dyDescent="0.5">
      <c r="A41" s="445"/>
      <c r="B41" s="446"/>
      <c r="C41" s="459"/>
      <c r="D41" s="455" t="s">
        <v>303</v>
      </c>
      <c r="E41" s="484" t="s">
        <v>288</v>
      </c>
      <c r="F41" s="484"/>
      <c r="G41" s="453">
        <v>30</v>
      </c>
      <c r="H41" s="458"/>
      <c r="I41" s="457"/>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row>
    <row r="42" spans="1:34" ht="27" customHeight="1" x14ac:dyDescent="0.5">
      <c r="A42" s="445"/>
      <c r="B42" s="446"/>
      <c r="C42" s="459"/>
      <c r="D42" s="455" t="s">
        <v>251</v>
      </c>
      <c r="E42" s="484" t="s">
        <v>288</v>
      </c>
      <c r="F42" s="484"/>
      <c r="G42" s="453">
        <v>30</v>
      </c>
      <c r="H42" s="458"/>
      <c r="I42" s="457"/>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row>
    <row r="43" spans="1:34" ht="27" customHeight="1" thickBot="1" x14ac:dyDescent="0.55000000000000004">
      <c r="A43" s="445"/>
      <c r="B43" s="446"/>
      <c r="C43" s="464"/>
      <c r="D43" s="449" t="s">
        <v>252</v>
      </c>
      <c r="E43" s="484" t="s">
        <v>288</v>
      </c>
      <c r="F43" s="484"/>
      <c r="G43" s="447">
        <v>7.92</v>
      </c>
      <c r="H43" s="458"/>
      <c r="I43" s="457"/>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row>
    <row r="44" spans="1:34" ht="27" customHeight="1" thickBot="1" x14ac:dyDescent="0.55000000000000004">
      <c r="A44" s="445"/>
      <c r="B44" s="446"/>
      <c r="C44" s="472" t="s">
        <v>253</v>
      </c>
      <c r="D44" s="471" t="s">
        <v>253</v>
      </c>
      <c r="E44" s="470" t="s">
        <v>288</v>
      </c>
      <c r="F44" s="470"/>
      <c r="G44" s="469">
        <v>29.25</v>
      </c>
      <c r="H44" s="458"/>
      <c r="I44" s="457"/>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row>
    <row r="45" spans="1:34" ht="27" customHeight="1" x14ac:dyDescent="0.5">
      <c r="A45" s="445"/>
      <c r="B45" s="446"/>
      <c r="C45" s="483" t="s">
        <v>257</v>
      </c>
      <c r="D45" s="482" t="s">
        <v>258</v>
      </c>
      <c r="E45" s="481" t="s">
        <v>288</v>
      </c>
      <c r="F45" s="481"/>
      <c r="G45" s="453">
        <v>8.4534454454067696</v>
      </c>
      <c r="H45" s="458"/>
      <c r="I45" s="457"/>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row>
    <row r="46" spans="1:34" ht="27" customHeight="1" x14ac:dyDescent="0.5">
      <c r="A46" s="445"/>
      <c r="B46" s="446"/>
      <c r="C46" s="459"/>
      <c r="D46" s="455" t="s">
        <v>259</v>
      </c>
      <c r="E46" s="481" t="s">
        <v>288</v>
      </c>
      <c r="F46" s="481"/>
      <c r="G46" s="453">
        <v>8.4534454454067696</v>
      </c>
      <c r="H46" s="458"/>
      <c r="I46" s="457"/>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row>
    <row r="47" spans="1:34" ht="27" customHeight="1" x14ac:dyDescent="0.5">
      <c r="A47" s="445"/>
      <c r="B47" s="446"/>
      <c r="C47" s="459"/>
      <c r="D47" s="455" t="s">
        <v>304</v>
      </c>
      <c r="E47" s="481" t="s">
        <v>288</v>
      </c>
      <c r="F47" s="481"/>
      <c r="G47" s="453">
        <v>29.25</v>
      </c>
      <c r="H47" s="458"/>
      <c r="I47" s="457"/>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row>
    <row r="48" spans="1:34" ht="27" customHeight="1" x14ac:dyDescent="0.5">
      <c r="A48" s="445"/>
      <c r="B48" s="446"/>
      <c r="C48" s="459"/>
      <c r="D48" s="455" t="s">
        <v>305</v>
      </c>
      <c r="E48" s="481" t="s">
        <v>288</v>
      </c>
      <c r="F48" s="481"/>
      <c r="G48" s="453">
        <v>29.25</v>
      </c>
      <c r="H48" s="458"/>
      <c r="I48" s="457"/>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row>
    <row r="49" spans="1:34" ht="27" customHeight="1" thickBot="1" x14ac:dyDescent="0.55000000000000004">
      <c r="A49" s="445"/>
      <c r="B49" s="446"/>
      <c r="C49" s="464"/>
      <c r="D49" s="449" t="s">
        <v>260</v>
      </c>
      <c r="E49" s="481" t="s">
        <v>288</v>
      </c>
      <c r="F49" s="481"/>
      <c r="G49" s="447">
        <v>8</v>
      </c>
      <c r="H49" s="458"/>
      <c r="I49" s="457"/>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row>
    <row r="50" spans="1:34" ht="27" customHeight="1" x14ac:dyDescent="0.5">
      <c r="A50" s="445"/>
      <c r="B50" s="446"/>
      <c r="C50" s="463" t="s">
        <v>254</v>
      </c>
      <c r="D50" s="462" t="s">
        <v>255</v>
      </c>
      <c r="E50" s="461" t="s">
        <v>288</v>
      </c>
      <c r="F50" s="461"/>
      <c r="G50" s="460">
        <v>9</v>
      </c>
      <c r="H50" s="458"/>
      <c r="I50" s="457"/>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row>
    <row r="51" spans="1:34" ht="27" customHeight="1" thickBot="1" x14ac:dyDescent="0.55000000000000004">
      <c r="A51" s="445"/>
      <c r="B51" s="446"/>
      <c r="C51" s="464"/>
      <c r="D51" s="449" t="s">
        <v>256</v>
      </c>
      <c r="E51" s="448" t="s">
        <v>288</v>
      </c>
      <c r="F51" s="448"/>
      <c r="G51" s="447">
        <v>22.5</v>
      </c>
      <c r="H51" s="458"/>
      <c r="I51" s="457"/>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row>
    <row r="52" spans="1:34" ht="27" customHeight="1" x14ac:dyDescent="0.5">
      <c r="A52" s="445"/>
      <c r="B52" s="446"/>
      <c r="C52" s="463" t="s">
        <v>63</v>
      </c>
      <c r="D52" s="480" t="s">
        <v>64</v>
      </c>
      <c r="E52" s="479"/>
      <c r="F52" s="479" t="s">
        <v>288</v>
      </c>
      <c r="G52" s="460">
        <v>25</v>
      </c>
      <c r="H52" s="458"/>
      <c r="I52" s="457"/>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row>
    <row r="53" spans="1:34" ht="27" customHeight="1" thickBot="1" x14ac:dyDescent="0.55000000000000004">
      <c r="A53" s="445"/>
      <c r="B53" s="446"/>
      <c r="C53" s="464"/>
      <c r="D53" s="478" t="s">
        <v>306</v>
      </c>
      <c r="E53" s="477"/>
      <c r="F53" s="477" t="s">
        <v>288</v>
      </c>
      <c r="G53" s="447">
        <v>13</v>
      </c>
      <c r="H53" s="458"/>
      <c r="I53" s="457"/>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row>
    <row r="54" spans="1:34" ht="27" customHeight="1" x14ac:dyDescent="0.5">
      <c r="A54" s="445"/>
      <c r="B54" s="446"/>
      <c r="C54" s="468" t="s">
        <v>261</v>
      </c>
      <c r="D54" s="467" t="s">
        <v>262</v>
      </c>
      <c r="E54" s="466"/>
      <c r="F54" s="466" t="s">
        <v>288</v>
      </c>
      <c r="G54" s="465">
        <v>8.8919999999999995</v>
      </c>
      <c r="H54" s="458"/>
      <c r="I54" s="457"/>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row>
    <row r="55" spans="1:34" ht="27" customHeight="1" thickBot="1" x14ac:dyDescent="0.55000000000000004">
      <c r="A55" s="445"/>
      <c r="B55" s="446"/>
      <c r="C55" s="464"/>
      <c r="D55" s="449" t="s">
        <v>263</v>
      </c>
      <c r="E55" s="448"/>
      <c r="F55" s="448" t="s">
        <v>288</v>
      </c>
      <c r="G55" s="447">
        <v>10.26</v>
      </c>
      <c r="H55" s="458"/>
      <c r="I55" s="457"/>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row>
    <row r="56" spans="1:34" ht="27" customHeight="1" x14ac:dyDescent="0.5">
      <c r="A56" s="445"/>
      <c r="B56" s="446"/>
      <c r="C56" s="468" t="s">
        <v>264</v>
      </c>
      <c r="D56" s="467" t="s">
        <v>265</v>
      </c>
      <c r="E56" s="466" t="s">
        <v>288</v>
      </c>
      <c r="F56" s="466" t="s">
        <v>288</v>
      </c>
      <c r="G56" s="465">
        <v>11.4</v>
      </c>
      <c r="H56" s="458"/>
      <c r="I56" s="457"/>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row>
    <row r="57" spans="1:34" ht="27" customHeight="1" x14ac:dyDescent="0.5">
      <c r="A57" s="445"/>
      <c r="B57" s="446"/>
      <c r="C57" s="459"/>
      <c r="D57" s="455" t="s">
        <v>266</v>
      </c>
      <c r="E57" s="454" t="s">
        <v>288</v>
      </c>
      <c r="F57" s="454" t="s">
        <v>288</v>
      </c>
      <c r="G57" s="453">
        <v>11.4</v>
      </c>
      <c r="H57" s="458"/>
      <c r="I57" s="457"/>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row>
    <row r="58" spans="1:34" ht="27" customHeight="1" thickBot="1" x14ac:dyDescent="0.55000000000000004">
      <c r="A58" s="445"/>
      <c r="B58" s="446"/>
      <c r="C58" s="464"/>
      <c r="D58" s="449" t="s">
        <v>267</v>
      </c>
      <c r="E58" s="448" t="s">
        <v>288</v>
      </c>
      <c r="F58" s="448" t="s">
        <v>288</v>
      </c>
      <c r="G58" s="447">
        <v>10.26</v>
      </c>
      <c r="H58" s="458"/>
      <c r="I58" s="457"/>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row>
    <row r="59" spans="1:34" ht="27" customHeight="1" thickBot="1" x14ac:dyDescent="0.55000000000000004">
      <c r="A59" s="445"/>
      <c r="B59" s="446"/>
      <c r="C59" s="472" t="s">
        <v>268</v>
      </c>
      <c r="D59" s="471" t="s">
        <v>269</v>
      </c>
      <c r="E59" s="470" t="s">
        <v>288</v>
      </c>
      <c r="F59" s="470" t="s">
        <v>288</v>
      </c>
      <c r="G59" s="469">
        <v>15</v>
      </c>
      <c r="H59" s="458"/>
      <c r="I59" s="457"/>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row>
    <row r="60" spans="1:34" ht="27" customHeight="1" x14ac:dyDescent="0.5">
      <c r="A60" s="445"/>
      <c r="B60" s="446"/>
      <c r="C60" s="463" t="s">
        <v>270</v>
      </c>
      <c r="D60" s="462" t="s">
        <v>307</v>
      </c>
      <c r="E60" s="461"/>
      <c r="F60" s="461" t="s">
        <v>288</v>
      </c>
      <c r="G60" s="460">
        <v>22.8</v>
      </c>
      <c r="H60" s="458"/>
      <c r="I60" s="457"/>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row>
    <row r="61" spans="1:34" ht="27" customHeight="1" x14ac:dyDescent="0.5">
      <c r="A61" s="445"/>
      <c r="B61" s="446"/>
      <c r="C61" s="456"/>
      <c r="D61" s="455" t="s">
        <v>271</v>
      </c>
      <c r="E61" s="454"/>
      <c r="F61" s="454" t="s">
        <v>288</v>
      </c>
      <c r="G61" s="453">
        <v>22.5</v>
      </c>
      <c r="H61" s="458"/>
      <c r="I61" s="457"/>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row>
    <row r="62" spans="1:34" ht="27" customHeight="1" thickBot="1" x14ac:dyDescent="0.55000000000000004">
      <c r="A62" s="445"/>
      <c r="B62" s="446"/>
      <c r="C62" s="476"/>
      <c r="D62" s="475" t="s">
        <v>308</v>
      </c>
      <c r="E62" s="474"/>
      <c r="F62" s="474" t="s">
        <v>288</v>
      </c>
      <c r="G62" s="473">
        <v>17.600000000000001</v>
      </c>
      <c r="H62" s="458"/>
      <c r="I62" s="457"/>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row>
    <row r="63" spans="1:34" ht="27" customHeight="1" thickBot="1" x14ac:dyDescent="0.55000000000000004">
      <c r="A63" s="445"/>
      <c r="B63" s="446"/>
      <c r="C63" s="472" t="s">
        <v>272</v>
      </c>
      <c r="D63" s="471" t="s">
        <v>272</v>
      </c>
      <c r="E63" s="470" t="s">
        <v>288</v>
      </c>
      <c r="F63" s="470" t="s">
        <v>288</v>
      </c>
      <c r="G63" s="469">
        <v>6.84</v>
      </c>
      <c r="H63" s="458"/>
      <c r="I63" s="457"/>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row>
    <row r="64" spans="1:34" ht="27" customHeight="1" x14ac:dyDescent="0.5">
      <c r="A64" s="445"/>
      <c r="B64" s="446"/>
      <c r="C64" s="463" t="s">
        <v>274</v>
      </c>
      <c r="D64" s="462" t="s">
        <v>275</v>
      </c>
      <c r="E64" s="461"/>
      <c r="F64" s="461" t="s">
        <v>288</v>
      </c>
      <c r="G64" s="460">
        <v>23.75</v>
      </c>
      <c r="H64" s="458"/>
      <c r="I64" s="457"/>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row>
    <row r="65" spans="1:34" ht="27" customHeight="1" x14ac:dyDescent="0.5">
      <c r="A65" s="445"/>
      <c r="B65" s="446"/>
      <c r="C65" s="459"/>
      <c r="D65" s="455" t="s">
        <v>276</v>
      </c>
      <c r="E65" s="454"/>
      <c r="F65" s="454" t="s">
        <v>288</v>
      </c>
      <c r="G65" s="453">
        <v>14.25</v>
      </c>
      <c r="H65" s="458"/>
      <c r="I65" s="457"/>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row>
    <row r="66" spans="1:34" ht="27" customHeight="1" x14ac:dyDescent="0.5">
      <c r="A66" s="445"/>
      <c r="B66" s="446"/>
      <c r="C66" s="456"/>
      <c r="D66" s="455" t="s">
        <v>277</v>
      </c>
      <c r="E66" s="454"/>
      <c r="F66" s="454" t="s">
        <v>288</v>
      </c>
      <c r="G66" s="453">
        <v>23.75</v>
      </c>
      <c r="H66" s="458"/>
      <c r="I66" s="457"/>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row>
    <row r="67" spans="1:34" ht="27" customHeight="1" x14ac:dyDescent="0.5">
      <c r="A67" s="445"/>
      <c r="B67" s="446"/>
      <c r="C67" s="456"/>
      <c r="D67" s="455" t="s">
        <v>309</v>
      </c>
      <c r="E67" s="454"/>
      <c r="F67" s="454" t="s">
        <v>288</v>
      </c>
      <c r="G67" s="453">
        <v>7.22</v>
      </c>
      <c r="H67" s="458"/>
      <c r="I67" s="457"/>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row>
    <row r="68" spans="1:34" ht="27" customHeight="1" x14ac:dyDescent="0.5">
      <c r="A68" s="445"/>
      <c r="B68" s="446"/>
      <c r="C68" s="456"/>
      <c r="D68" s="455" t="s">
        <v>278</v>
      </c>
      <c r="E68" s="454"/>
      <c r="F68" s="454" t="s">
        <v>288</v>
      </c>
      <c r="G68" s="453">
        <v>30</v>
      </c>
      <c r="H68" s="452"/>
      <c r="I68" s="451"/>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row>
    <row r="69" spans="1:34" ht="27" customHeight="1" thickBot="1" x14ac:dyDescent="0.55000000000000004">
      <c r="A69" s="445"/>
      <c r="B69" s="446"/>
      <c r="C69" s="450"/>
      <c r="D69" s="449" t="s">
        <v>279</v>
      </c>
      <c r="E69" s="448"/>
      <c r="F69" s="448" t="s">
        <v>288</v>
      </c>
      <c r="G69" s="447">
        <v>6.84</v>
      </c>
      <c r="H69" s="446"/>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row>
    <row r="70" spans="1:34" ht="27" customHeight="1" x14ac:dyDescent="0.5">
      <c r="A70" s="445"/>
      <c r="B70" s="446"/>
      <c r="C70" s="446"/>
      <c r="D70" s="446"/>
      <c r="E70" s="446"/>
      <c r="F70" s="446"/>
      <c r="G70" s="446"/>
      <c r="H70" s="446"/>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row>
    <row r="71" spans="1:34" ht="27" customHeight="1" x14ac:dyDescent="0.5">
      <c r="A71" s="445"/>
      <c r="B71" s="44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row>
    <row r="72" spans="1:34" ht="27" customHeight="1" x14ac:dyDescent="0.5">
      <c r="A72" s="445"/>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row>
    <row r="73" spans="1:34" ht="27" customHeight="1" x14ac:dyDescent="0.5">
      <c r="A73" s="445"/>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row>
    <row r="74" spans="1:34" ht="27" customHeight="1" x14ac:dyDescent="0.5">
      <c r="A74" s="445"/>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row>
    <row r="75" spans="1:34" ht="27" customHeight="1" x14ac:dyDescent="0.5">
      <c r="A75" s="44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row>
    <row r="76" spans="1:34" ht="27" customHeight="1" x14ac:dyDescent="0.5">
      <c r="A76" s="445"/>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row>
    <row r="77" spans="1:34" ht="27" customHeight="1" x14ac:dyDescent="0.5">
      <c r="A77" s="445"/>
      <c r="B77" s="445"/>
      <c r="C77" s="445"/>
      <c r="D77" s="445"/>
      <c r="E77" s="445"/>
      <c r="F77" s="445"/>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row>
    <row r="78" spans="1:34" ht="27" customHeight="1" x14ac:dyDescent="0.5">
      <c r="A78" s="445"/>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row>
    <row r="79" spans="1:34" ht="27" customHeight="1" x14ac:dyDescent="0.5">
      <c r="A79" s="445"/>
      <c r="B79" s="445"/>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row>
    <row r="80" spans="1:34" ht="27" customHeight="1" x14ac:dyDescent="0.5">
      <c r="A80" s="44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row>
    <row r="81" spans="1:34" ht="27" customHeight="1" x14ac:dyDescent="0.5">
      <c r="A81" s="445"/>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row>
    <row r="82" spans="1:34" ht="27" customHeight="1" x14ac:dyDescent="0.5">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row>
    <row r="83" spans="1:34" ht="27" customHeight="1" x14ac:dyDescent="0.5">
      <c r="A83" s="445"/>
      <c r="B83" s="445"/>
      <c r="C83" s="445"/>
      <c r="D83" s="445"/>
      <c r="E83" s="445"/>
      <c r="F83" s="445"/>
      <c r="G83" s="445"/>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row>
    <row r="84" spans="1:34" ht="27" customHeight="1" x14ac:dyDescent="0.5">
      <c r="A84" s="445"/>
      <c r="B84" s="445"/>
      <c r="C84" s="445"/>
      <c r="D84" s="445"/>
      <c r="E84" s="445"/>
      <c r="F84" s="445"/>
      <c r="G84" s="445"/>
      <c r="H84" s="445"/>
      <c r="I84" s="445"/>
      <c r="J84" s="445"/>
      <c r="K84" s="445"/>
      <c r="L84" s="445"/>
      <c r="M84" s="445"/>
      <c r="N84" s="445"/>
      <c r="O84" s="445"/>
      <c r="P84" s="445"/>
      <c r="Q84" s="445"/>
      <c r="R84" s="445"/>
      <c r="S84" s="445"/>
      <c r="T84" s="445"/>
      <c r="U84" s="445"/>
      <c r="V84" s="445"/>
      <c r="W84" s="445"/>
      <c r="X84" s="445"/>
      <c r="Y84" s="445"/>
      <c r="Z84" s="445"/>
      <c r="AA84" s="445"/>
      <c r="AB84" s="445"/>
      <c r="AC84" s="445"/>
      <c r="AD84" s="445"/>
      <c r="AE84" s="445"/>
      <c r="AF84" s="445"/>
      <c r="AG84" s="445"/>
      <c r="AH84" s="445"/>
    </row>
    <row r="85" spans="1:34" ht="27" customHeight="1" x14ac:dyDescent="0.5">
      <c r="A85" s="445"/>
      <c r="B85" s="445"/>
      <c r="C85" s="445"/>
      <c r="D85" s="445"/>
      <c r="E85" s="445"/>
      <c r="F85" s="44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row>
    <row r="86" spans="1:34" ht="27" customHeight="1" x14ac:dyDescent="0.5">
      <c r="A86" s="445"/>
      <c r="B86" s="445"/>
      <c r="C86" s="445"/>
      <c r="D86" s="445"/>
      <c r="E86" s="445"/>
      <c r="F86" s="445"/>
      <c r="G86" s="445"/>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row>
    <row r="87" spans="1:34" ht="27" customHeight="1" x14ac:dyDescent="0.5">
      <c r="A87" s="445"/>
      <c r="B87" s="445"/>
      <c r="C87" s="445"/>
      <c r="D87" s="445"/>
      <c r="E87" s="445"/>
      <c r="F87" s="445"/>
      <c r="G87" s="445"/>
      <c r="H87" s="445"/>
      <c r="I87" s="445"/>
      <c r="J87" s="445"/>
      <c r="K87" s="445"/>
      <c r="L87" s="445"/>
      <c r="M87" s="445"/>
      <c r="N87" s="445"/>
      <c r="O87" s="445"/>
      <c r="P87" s="445"/>
      <c r="Q87" s="445"/>
      <c r="R87" s="445"/>
      <c r="S87" s="445"/>
      <c r="T87" s="445"/>
      <c r="U87" s="445"/>
      <c r="V87" s="445"/>
      <c r="W87" s="445"/>
      <c r="X87" s="445"/>
      <c r="Y87" s="445"/>
      <c r="Z87" s="445"/>
      <c r="AA87" s="445"/>
      <c r="AB87" s="445"/>
      <c r="AC87" s="445"/>
      <c r="AD87" s="445"/>
      <c r="AE87" s="445"/>
      <c r="AF87" s="445"/>
      <c r="AG87" s="445"/>
      <c r="AH87" s="445"/>
    </row>
    <row r="88" spans="1:34" ht="27" customHeight="1" x14ac:dyDescent="0.5">
      <c r="A88" s="445"/>
      <c r="B88" s="445"/>
      <c r="C88" s="445"/>
      <c r="D88" s="445"/>
      <c r="E88" s="445"/>
      <c r="F88" s="445"/>
      <c r="G88" s="445"/>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row>
    <row r="89" spans="1:34" ht="27" customHeight="1" x14ac:dyDescent="0.5">
      <c r="A89" s="445"/>
      <c r="B89" s="445"/>
      <c r="C89" s="445"/>
      <c r="D89" s="445"/>
      <c r="E89" s="445"/>
      <c r="F89" s="445"/>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row>
    <row r="90" spans="1:34" ht="27" customHeight="1" x14ac:dyDescent="0.5">
      <c r="A90" s="445"/>
      <c r="B90" s="445"/>
      <c r="C90" s="445"/>
      <c r="D90" s="445"/>
      <c r="E90" s="445"/>
      <c r="F90" s="445"/>
      <c r="G90" s="445"/>
      <c r="H90" s="445"/>
      <c r="I90" s="445"/>
      <c r="J90" s="445"/>
      <c r="K90" s="445"/>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row>
    <row r="91" spans="1:34" ht="27" customHeight="1" x14ac:dyDescent="0.5">
      <c r="A91" s="445"/>
      <c r="B91" s="445"/>
      <c r="C91" s="445"/>
      <c r="D91" s="445"/>
      <c r="E91" s="445"/>
      <c r="F91" s="445"/>
      <c r="G91" s="445"/>
      <c r="H91" s="445"/>
      <c r="I91" s="445"/>
      <c r="J91" s="445"/>
      <c r="K91" s="445"/>
      <c r="L91" s="445"/>
      <c r="M91" s="445"/>
      <c r="N91" s="445"/>
      <c r="O91" s="445"/>
      <c r="P91" s="445"/>
      <c r="Q91" s="445"/>
      <c r="R91" s="445"/>
      <c r="S91" s="445"/>
      <c r="T91" s="445"/>
      <c r="U91" s="445"/>
      <c r="V91" s="445"/>
      <c r="W91" s="445"/>
      <c r="X91" s="445"/>
      <c r="Y91" s="445"/>
      <c r="Z91" s="445"/>
      <c r="AA91" s="445"/>
      <c r="AB91" s="445"/>
      <c r="AC91" s="445"/>
      <c r="AD91" s="445"/>
      <c r="AE91" s="445"/>
      <c r="AF91" s="445"/>
      <c r="AG91" s="445"/>
      <c r="AH91" s="445"/>
    </row>
    <row r="92" spans="1:34" ht="27" customHeight="1" x14ac:dyDescent="0.5">
      <c r="A92" s="445"/>
      <c r="B92" s="445"/>
      <c r="C92" s="445"/>
      <c r="D92" s="445"/>
      <c r="E92" s="445"/>
      <c r="F92" s="445"/>
      <c r="G92" s="445"/>
      <c r="H92" s="445"/>
      <c r="I92" s="445"/>
      <c r="J92" s="445"/>
      <c r="K92" s="445"/>
      <c r="L92" s="445"/>
      <c r="M92" s="445"/>
      <c r="N92" s="445"/>
      <c r="O92" s="445"/>
      <c r="P92" s="445"/>
      <c r="Q92" s="445"/>
      <c r="R92" s="445"/>
      <c r="S92" s="445"/>
      <c r="T92" s="445"/>
      <c r="U92" s="445"/>
      <c r="V92" s="445"/>
      <c r="W92" s="445"/>
      <c r="X92" s="445"/>
      <c r="Y92" s="445"/>
      <c r="Z92" s="445"/>
      <c r="AA92" s="445"/>
      <c r="AB92" s="445"/>
      <c r="AC92" s="445"/>
      <c r="AD92" s="445"/>
      <c r="AE92" s="445"/>
      <c r="AF92" s="445"/>
      <c r="AG92" s="445"/>
      <c r="AH92" s="445"/>
    </row>
    <row r="93" spans="1:34" ht="27" customHeight="1" x14ac:dyDescent="0.5">
      <c r="A93" s="445"/>
      <c r="B93" s="445"/>
      <c r="C93" s="445"/>
      <c r="D93" s="445"/>
      <c r="E93" s="445"/>
      <c r="F93" s="445"/>
      <c r="G93" s="445"/>
      <c r="H93" s="445"/>
      <c r="I93" s="445"/>
      <c r="J93" s="445"/>
      <c r="K93" s="445"/>
      <c r="L93" s="445"/>
      <c r="M93" s="445"/>
      <c r="N93" s="445"/>
      <c r="O93" s="445"/>
      <c r="P93" s="445"/>
      <c r="Q93" s="445"/>
      <c r="R93" s="445"/>
      <c r="S93" s="445"/>
      <c r="T93" s="445"/>
      <c r="U93" s="445"/>
      <c r="V93" s="445"/>
      <c r="W93" s="445"/>
      <c r="X93" s="445"/>
      <c r="Y93" s="445"/>
      <c r="Z93" s="445"/>
      <c r="AA93" s="445"/>
      <c r="AB93" s="445"/>
      <c r="AC93" s="445"/>
      <c r="AD93" s="445"/>
      <c r="AE93" s="445"/>
      <c r="AF93" s="445"/>
      <c r="AG93" s="445"/>
      <c r="AH93" s="445"/>
    </row>
    <row r="94" spans="1:34" ht="27" customHeight="1" x14ac:dyDescent="0.5">
      <c r="A94" s="445"/>
      <c r="B94" s="445"/>
      <c r="C94" s="445"/>
      <c r="D94" s="445"/>
      <c r="E94" s="445"/>
      <c r="F94" s="445"/>
      <c r="G94" s="445"/>
      <c r="H94" s="445"/>
      <c r="I94" s="445"/>
      <c r="J94" s="445"/>
      <c r="K94" s="445"/>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row>
    <row r="95" spans="1:34" ht="27" customHeight="1" x14ac:dyDescent="0.5">
      <c r="A95" s="445"/>
      <c r="B95" s="445"/>
      <c r="C95" s="445"/>
      <c r="D95" s="445"/>
      <c r="E95" s="445"/>
      <c r="F95" s="445"/>
      <c r="G95" s="445"/>
      <c r="H95" s="445"/>
      <c r="I95" s="445"/>
      <c r="J95" s="445"/>
      <c r="K95" s="445"/>
      <c r="L95" s="445"/>
      <c r="M95" s="445"/>
      <c r="N95" s="445"/>
      <c r="O95" s="445"/>
      <c r="P95" s="445"/>
      <c r="Q95" s="445"/>
      <c r="R95" s="445"/>
      <c r="S95" s="445"/>
      <c r="T95" s="445"/>
      <c r="U95" s="445"/>
      <c r="V95" s="445"/>
      <c r="W95" s="445"/>
      <c r="X95" s="445"/>
      <c r="Y95" s="445"/>
      <c r="Z95" s="445"/>
      <c r="AA95" s="445"/>
      <c r="AB95" s="445"/>
      <c r="AC95" s="445"/>
      <c r="AD95" s="445"/>
      <c r="AE95" s="445"/>
      <c r="AF95" s="445"/>
      <c r="AG95" s="445"/>
      <c r="AH95" s="445"/>
    </row>
    <row r="96" spans="1:34" ht="27" customHeight="1" x14ac:dyDescent="0.5">
      <c r="A96" s="445"/>
      <c r="B96" s="445"/>
      <c r="C96" s="445"/>
      <c r="D96" s="445"/>
      <c r="E96" s="445"/>
      <c r="F96" s="445"/>
      <c r="G96" s="445"/>
      <c r="H96" s="445"/>
      <c r="I96" s="445"/>
      <c r="J96" s="445"/>
      <c r="K96" s="445"/>
      <c r="L96" s="445"/>
      <c r="M96" s="445"/>
      <c r="N96" s="445"/>
      <c r="O96" s="445"/>
      <c r="P96" s="445"/>
      <c r="Q96" s="445"/>
      <c r="R96" s="445"/>
      <c r="S96" s="445"/>
      <c r="T96" s="445"/>
      <c r="U96" s="445"/>
      <c r="V96" s="445"/>
      <c r="W96" s="445"/>
      <c r="X96" s="445"/>
      <c r="Y96" s="445"/>
      <c r="Z96" s="445"/>
      <c r="AA96" s="445"/>
      <c r="AB96" s="445"/>
      <c r="AC96" s="445"/>
      <c r="AD96" s="445"/>
      <c r="AE96" s="445"/>
      <c r="AF96" s="445"/>
      <c r="AG96" s="445"/>
      <c r="AH96" s="445"/>
    </row>
    <row r="97" spans="1:34" ht="27" customHeight="1" x14ac:dyDescent="0.5">
      <c r="A97" s="445"/>
      <c r="B97" s="445"/>
      <c r="C97" s="445"/>
      <c r="D97" s="445"/>
      <c r="E97" s="445"/>
      <c r="F97" s="445"/>
      <c r="G97" s="445"/>
      <c r="H97" s="445"/>
      <c r="I97" s="445"/>
      <c r="J97" s="445"/>
      <c r="K97" s="445"/>
      <c r="L97" s="445"/>
      <c r="M97" s="445"/>
      <c r="N97" s="445"/>
      <c r="O97" s="445"/>
      <c r="P97" s="445"/>
      <c r="Q97" s="445"/>
      <c r="R97" s="445"/>
      <c r="S97" s="445"/>
      <c r="T97" s="445"/>
      <c r="U97" s="445"/>
      <c r="V97" s="445"/>
      <c r="W97" s="445"/>
      <c r="X97" s="445"/>
      <c r="Y97" s="445"/>
      <c r="Z97" s="445"/>
      <c r="AA97" s="445"/>
      <c r="AB97" s="445"/>
      <c r="AC97" s="445"/>
      <c r="AD97" s="445"/>
      <c r="AE97" s="445"/>
      <c r="AF97" s="445"/>
      <c r="AG97" s="445"/>
      <c r="AH97" s="445"/>
    </row>
    <row r="98" spans="1:34" ht="27" customHeight="1" x14ac:dyDescent="0.5">
      <c r="A98" s="445"/>
      <c r="B98" s="445"/>
      <c r="C98" s="445"/>
      <c r="D98" s="445"/>
      <c r="E98" s="445"/>
      <c r="F98" s="445"/>
      <c r="G98" s="445"/>
      <c r="H98" s="445"/>
      <c r="I98" s="445"/>
      <c r="J98" s="445"/>
      <c r="K98" s="445"/>
      <c r="L98" s="445"/>
      <c r="M98" s="445"/>
      <c r="N98" s="445"/>
      <c r="O98" s="445"/>
      <c r="P98" s="445"/>
      <c r="Q98" s="445"/>
      <c r="R98" s="445"/>
      <c r="S98" s="445"/>
      <c r="T98" s="445"/>
      <c r="U98" s="445"/>
      <c r="V98" s="445"/>
      <c r="W98" s="445"/>
      <c r="X98" s="445"/>
      <c r="Y98" s="445"/>
      <c r="Z98" s="445"/>
      <c r="AA98" s="445"/>
      <c r="AB98" s="445"/>
      <c r="AC98" s="445"/>
      <c r="AD98" s="445"/>
      <c r="AE98" s="445"/>
      <c r="AF98" s="445"/>
      <c r="AG98" s="445"/>
      <c r="AH98" s="445"/>
    </row>
    <row r="99" spans="1:34" ht="27" customHeight="1" x14ac:dyDescent="0.5">
      <c r="A99" s="445"/>
      <c r="B99" s="445"/>
      <c r="C99" s="445"/>
      <c r="D99" s="445"/>
      <c r="E99" s="445"/>
      <c r="F99" s="445"/>
      <c r="G99" s="445"/>
      <c r="H99" s="445"/>
      <c r="I99" s="445"/>
      <c r="J99" s="445"/>
      <c r="K99" s="445"/>
      <c r="L99" s="445"/>
      <c r="M99" s="445"/>
      <c r="N99" s="445"/>
      <c r="O99" s="445"/>
      <c r="P99" s="445"/>
      <c r="Q99" s="445"/>
      <c r="R99" s="445"/>
      <c r="S99" s="445"/>
      <c r="T99" s="445"/>
      <c r="U99" s="445"/>
      <c r="V99" s="445"/>
      <c r="W99" s="445"/>
      <c r="X99" s="445"/>
      <c r="Y99" s="445"/>
      <c r="Z99" s="445"/>
      <c r="AA99" s="445"/>
      <c r="AB99" s="445"/>
      <c r="AC99" s="445"/>
      <c r="AD99" s="445"/>
      <c r="AE99" s="445"/>
      <c r="AF99" s="445"/>
      <c r="AG99" s="445"/>
      <c r="AH99" s="445"/>
    </row>
    <row r="100" spans="1:34" ht="27" customHeight="1" x14ac:dyDescent="0.5">
      <c r="A100" s="445"/>
      <c r="B100" s="445"/>
      <c r="C100" s="445"/>
      <c r="D100" s="445"/>
      <c r="E100" s="445"/>
      <c r="F100" s="445"/>
      <c r="G100" s="445"/>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row>
    <row r="101" spans="1:34" ht="27" customHeight="1" x14ac:dyDescent="0.5">
      <c r="A101" s="445"/>
      <c r="B101" s="445"/>
      <c r="C101" s="445"/>
      <c r="D101" s="445"/>
      <c r="E101" s="445"/>
      <c r="F101" s="445"/>
      <c r="G101" s="445"/>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row>
    <row r="102" spans="1:34" ht="27" customHeight="1" x14ac:dyDescent="0.5">
      <c r="A102" s="445"/>
      <c r="B102" s="445"/>
      <c r="C102" s="445"/>
      <c r="D102" s="445"/>
      <c r="E102" s="445"/>
      <c r="F102" s="445"/>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row>
    <row r="103" spans="1:34" ht="27" customHeight="1" x14ac:dyDescent="0.5">
      <c r="A103" s="445"/>
      <c r="B103" s="445"/>
      <c r="C103" s="445"/>
      <c r="D103" s="445"/>
      <c r="E103" s="445"/>
      <c r="F103" s="445"/>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row>
    <row r="104" spans="1:34" ht="27" customHeight="1" x14ac:dyDescent="0.5">
      <c r="A104" s="445"/>
      <c r="B104" s="445"/>
      <c r="C104" s="445"/>
      <c r="D104" s="445"/>
      <c r="E104" s="445"/>
      <c r="F104" s="445"/>
      <c r="G104" s="445"/>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row>
    <row r="105" spans="1:34" ht="27" customHeight="1" x14ac:dyDescent="0.5">
      <c r="A105" s="445"/>
      <c r="B105" s="445"/>
      <c r="C105" s="445"/>
      <c r="D105" s="445"/>
      <c r="E105" s="445"/>
      <c r="F105" s="445"/>
      <c r="G105" s="445"/>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row>
    <row r="106" spans="1:34" ht="27" customHeight="1" x14ac:dyDescent="0.5">
      <c r="A106" s="445"/>
      <c r="B106" s="445"/>
      <c r="C106" s="445"/>
      <c r="D106" s="445"/>
      <c r="E106" s="445"/>
      <c r="F106" s="445"/>
      <c r="G106" s="445"/>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row>
    <row r="107" spans="1:34" ht="27" customHeight="1" x14ac:dyDescent="0.5">
      <c r="A107" s="445"/>
      <c r="B107" s="445"/>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row>
    <row r="108" spans="1:34" ht="27" customHeight="1" x14ac:dyDescent="0.5">
      <c r="A108" s="445"/>
      <c r="B108" s="445"/>
      <c r="C108" s="445"/>
      <c r="D108" s="445"/>
      <c r="E108" s="445"/>
      <c r="F108" s="445"/>
      <c r="G108" s="445"/>
      <c r="H108" s="445"/>
      <c r="I108" s="445"/>
      <c r="J108" s="445"/>
      <c r="K108" s="445"/>
      <c r="L108" s="445"/>
      <c r="M108" s="445"/>
      <c r="N108" s="445"/>
      <c r="O108" s="445"/>
      <c r="P108" s="445"/>
      <c r="Q108" s="445"/>
      <c r="R108" s="445"/>
      <c r="S108" s="445"/>
      <c r="T108" s="445"/>
      <c r="U108" s="445"/>
      <c r="V108" s="445"/>
      <c r="W108" s="445"/>
      <c r="X108" s="445"/>
      <c r="Y108" s="445"/>
      <c r="Z108" s="445"/>
      <c r="AA108" s="445"/>
      <c r="AB108" s="445"/>
      <c r="AC108" s="445"/>
      <c r="AD108" s="445"/>
      <c r="AE108" s="445"/>
      <c r="AF108" s="445"/>
      <c r="AG108" s="445"/>
      <c r="AH108" s="445"/>
    </row>
    <row r="109" spans="1:34" ht="27" customHeight="1" x14ac:dyDescent="0.5">
      <c r="A109" s="445"/>
      <c r="B109" s="445"/>
      <c r="C109" s="445"/>
      <c r="D109" s="445"/>
      <c r="E109" s="445"/>
      <c r="F109" s="445"/>
      <c r="G109" s="445"/>
      <c r="H109" s="445"/>
      <c r="I109" s="445"/>
      <c r="J109" s="445"/>
      <c r="K109" s="445"/>
      <c r="L109" s="445"/>
      <c r="M109" s="445"/>
      <c r="N109" s="445"/>
      <c r="O109" s="445"/>
      <c r="P109" s="445"/>
      <c r="Q109" s="445"/>
      <c r="R109" s="445"/>
      <c r="S109" s="445"/>
      <c r="T109" s="445"/>
      <c r="U109" s="445"/>
      <c r="V109" s="445"/>
      <c r="W109" s="445"/>
      <c r="X109" s="445"/>
      <c r="Y109" s="445"/>
      <c r="Z109" s="445"/>
      <c r="AA109" s="445"/>
      <c r="AB109" s="445"/>
      <c r="AC109" s="445"/>
      <c r="AD109" s="445"/>
      <c r="AE109" s="445"/>
      <c r="AF109" s="445"/>
      <c r="AG109" s="445"/>
      <c r="AH109" s="445"/>
    </row>
    <row r="110" spans="1:34" ht="27" customHeight="1" x14ac:dyDescent="0.5">
      <c r="A110" s="445"/>
      <c r="B110" s="445"/>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row>
    <row r="111" spans="1:34" ht="27" customHeight="1" x14ac:dyDescent="0.5">
      <c r="A111" s="445"/>
      <c r="B111" s="445"/>
      <c r="C111" s="445"/>
      <c r="D111" s="445"/>
      <c r="E111" s="445"/>
      <c r="F111" s="445"/>
      <c r="G111" s="445"/>
      <c r="H111" s="445"/>
      <c r="I111" s="445"/>
      <c r="J111" s="445"/>
      <c r="K111" s="445"/>
      <c r="L111" s="445"/>
      <c r="M111" s="445"/>
      <c r="N111" s="445"/>
      <c r="O111" s="445"/>
      <c r="P111" s="445"/>
      <c r="Q111" s="445"/>
      <c r="R111" s="445"/>
      <c r="S111" s="445"/>
      <c r="T111" s="445"/>
      <c r="U111" s="445"/>
      <c r="V111" s="445"/>
      <c r="W111" s="445"/>
      <c r="X111" s="445"/>
      <c r="Y111" s="445"/>
      <c r="Z111" s="445"/>
      <c r="AA111" s="445"/>
      <c r="AB111" s="445"/>
      <c r="AC111" s="445"/>
      <c r="AD111" s="445"/>
      <c r="AE111" s="445"/>
      <c r="AF111" s="445"/>
      <c r="AG111" s="445"/>
      <c r="AH111" s="445"/>
    </row>
    <row r="112" spans="1:34" ht="27" customHeight="1" x14ac:dyDescent="0.5">
      <c r="A112" s="445"/>
      <c r="B112" s="445"/>
      <c r="C112" s="445"/>
      <c r="D112" s="445"/>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row>
    <row r="113" spans="1:34" ht="27" customHeight="1" x14ac:dyDescent="0.5">
      <c r="A113" s="445"/>
      <c r="B113" s="445"/>
      <c r="C113" s="445"/>
      <c r="D113" s="445"/>
      <c r="E113" s="445"/>
      <c r="F113" s="445"/>
      <c r="G113" s="445"/>
      <c r="H113" s="445"/>
      <c r="I113" s="445"/>
      <c r="J113" s="445"/>
      <c r="K113" s="445"/>
      <c r="L113" s="445"/>
      <c r="M113" s="445"/>
      <c r="N113" s="445"/>
      <c r="O113" s="445"/>
      <c r="P113" s="445"/>
      <c r="Q113" s="445"/>
      <c r="R113" s="445"/>
      <c r="S113" s="445"/>
      <c r="T113" s="445"/>
      <c r="U113" s="445"/>
      <c r="V113" s="445"/>
      <c r="W113" s="445"/>
      <c r="X113" s="445"/>
      <c r="Y113" s="445"/>
      <c r="Z113" s="445"/>
      <c r="AA113" s="445"/>
      <c r="AB113" s="445"/>
      <c r="AC113" s="445"/>
      <c r="AD113" s="445"/>
      <c r="AE113" s="445"/>
      <c r="AF113" s="445"/>
      <c r="AG113" s="445"/>
      <c r="AH113" s="445"/>
    </row>
    <row r="114" spans="1:34" ht="27" customHeight="1" x14ac:dyDescent="0.5">
      <c r="A114" s="445"/>
      <c r="B114" s="445"/>
      <c r="C114" s="445"/>
      <c r="D114" s="445"/>
      <c r="E114" s="445"/>
      <c r="F114" s="445"/>
      <c r="G114" s="445"/>
      <c r="H114" s="445"/>
      <c r="I114" s="445"/>
      <c r="J114" s="445"/>
      <c r="K114" s="445"/>
      <c r="L114" s="445"/>
      <c r="M114" s="445"/>
      <c r="N114" s="445"/>
      <c r="O114" s="445"/>
      <c r="P114" s="445"/>
      <c r="Q114" s="445"/>
      <c r="R114" s="445"/>
      <c r="S114" s="445"/>
      <c r="T114" s="445"/>
      <c r="U114" s="445"/>
      <c r="V114" s="445"/>
      <c r="W114" s="445"/>
      <c r="X114" s="445"/>
      <c r="Y114" s="445"/>
      <c r="Z114" s="445"/>
      <c r="AA114" s="445"/>
      <c r="AB114" s="445"/>
      <c r="AC114" s="445"/>
      <c r="AD114" s="445"/>
      <c r="AE114" s="445"/>
      <c r="AF114" s="445"/>
      <c r="AG114" s="445"/>
      <c r="AH114" s="445"/>
    </row>
    <row r="115" spans="1:34" ht="27" customHeight="1" x14ac:dyDescent="0.5">
      <c r="A115" s="445"/>
      <c r="B115" s="445"/>
      <c r="C115" s="445"/>
      <c r="D115" s="445"/>
      <c r="E115" s="445"/>
      <c r="F115" s="445"/>
      <c r="G115" s="445"/>
      <c r="H115" s="445"/>
      <c r="I115" s="445"/>
      <c r="J115" s="445"/>
      <c r="K115" s="445"/>
      <c r="L115" s="445"/>
      <c r="M115" s="445"/>
      <c r="N115" s="445"/>
      <c r="O115" s="445"/>
      <c r="P115" s="445"/>
      <c r="Q115" s="445"/>
      <c r="R115" s="445"/>
      <c r="S115" s="445"/>
      <c r="T115" s="445"/>
      <c r="U115" s="445"/>
      <c r="V115" s="445"/>
      <c r="W115" s="445"/>
      <c r="X115" s="445"/>
      <c r="Y115" s="445"/>
      <c r="Z115" s="445"/>
      <c r="AA115" s="445"/>
      <c r="AB115" s="445"/>
      <c r="AC115" s="445"/>
      <c r="AD115" s="445"/>
      <c r="AE115" s="445"/>
      <c r="AF115" s="445"/>
      <c r="AG115" s="445"/>
      <c r="AH115" s="445"/>
    </row>
    <row r="116" spans="1:34" ht="27" customHeight="1" x14ac:dyDescent="0.5">
      <c r="A116" s="445"/>
      <c r="B116" s="445"/>
      <c r="C116" s="445"/>
      <c r="D116" s="445"/>
      <c r="E116" s="445"/>
      <c r="F116" s="445"/>
      <c r="G116" s="445"/>
      <c r="H116" s="445"/>
      <c r="I116" s="445"/>
      <c r="J116" s="445"/>
      <c r="K116" s="445"/>
      <c r="L116" s="445"/>
      <c r="M116" s="445"/>
      <c r="N116" s="445"/>
      <c r="O116" s="445"/>
      <c r="P116" s="445"/>
      <c r="Q116" s="445"/>
      <c r="R116" s="445"/>
      <c r="S116" s="445"/>
      <c r="T116" s="445"/>
      <c r="U116" s="445"/>
      <c r="V116" s="445"/>
      <c r="W116" s="445"/>
      <c r="X116" s="445"/>
      <c r="Y116" s="445"/>
      <c r="Z116" s="445"/>
      <c r="AA116" s="445"/>
      <c r="AB116" s="445"/>
      <c r="AC116" s="445"/>
      <c r="AD116" s="445"/>
      <c r="AE116" s="445"/>
      <c r="AF116" s="445"/>
      <c r="AG116" s="445"/>
      <c r="AH116" s="445"/>
    </row>
    <row r="117" spans="1:34" ht="27" customHeight="1" x14ac:dyDescent="0.5">
      <c r="A117" s="445"/>
      <c r="B117" s="445"/>
      <c r="C117" s="445"/>
      <c r="D117" s="445"/>
      <c r="E117" s="445"/>
      <c r="F117" s="445"/>
      <c r="G117" s="445"/>
      <c r="H117" s="445"/>
      <c r="I117" s="445"/>
      <c r="J117" s="445"/>
      <c r="K117" s="445"/>
      <c r="L117" s="445"/>
      <c r="M117" s="445"/>
      <c r="N117" s="445"/>
      <c r="O117" s="445"/>
      <c r="P117" s="445"/>
      <c r="Q117" s="445"/>
      <c r="R117" s="445"/>
      <c r="S117" s="445"/>
      <c r="T117" s="445"/>
      <c r="U117" s="445"/>
      <c r="V117" s="445"/>
      <c r="W117" s="445"/>
      <c r="X117" s="445"/>
      <c r="Y117" s="445"/>
      <c r="Z117" s="445"/>
      <c r="AA117" s="445"/>
      <c r="AB117" s="445"/>
      <c r="AC117" s="445"/>
      <c r="AD117" s="445"/>
      <c r="AE117" s="445"/>
      <c r="AF117" s="445"/>
      <c r="AG117" s="445"/>
      <c r="AH117" s="445"/>
    </row>
    <row r="118" spans="1:34" ht="27" customHeight="1" x14ac:dyDescent="0.5">
      <c r="A118" s="445"/>
      <c r="B118" s="445"/>
      <c r="C118" s="445"/>
      <c r="D118" s="445"/>
      <c r="E118" s="445"/>
      <c r="F118" s="445"/>
      <c r="G118" s="445"/>
      <c r="H118" s="445"/>
      <c r="I118" s="445"/>
      <c r="J118" s="445"/>
      <c r="K118" s="445"/>
      <c r="L118" s="445"/>
      <c r="M118" s="445"/>
      <c r="N118" s="445"/>
      <c r="O118" s="445"/>
      <c r="P118" s="445"/>
      <c r="Q118" s="445"/>
      <c r="R118" s="445"/>
      <c r="S118" s="445"/>
      <c r="T118" s="445"/>
      <c r="U118" s="445"/>
      <c r="V118" s="445"/>
      <c r="W118" s="445"/>
      <c r="X118" s="445"/>
      <c r="Y118" s="445"/>
      <c r="Z118" s="445"/>
      <c r="AA118" s="445"/>
      <c r="AB118" s="445"/>
      <c r="AC118" s="445"/>
      <c r="AD118" s="445"/>
      <c r="AE118" s="445"/>
      <c r="AF118" s="445"/>
      <c r="AG118" s="445"/>
      <c r="AH118" s="445"/>
    </row>
    <row r="119" spans="1:34" ht="27" customHeight="1" x14ac:dyDescent="0.5">
      <c r="A119" s="445"/>
      <c r="B119" s="445"/>
      <c r="C119" s="445"/>
      <c r="D119" s="445"/>
      <c r="E119" s="445"/>
      <c r="F119" s="445"/>
      <c r="G119" s="445"/>
      <c r="H119" s="445"/>
      <c r="I119" s="445"/>
      <c r="J119" s="445"/>
      <c r="K119" s="445"/>
      <c r="L119" s="445"/>
      <c r="M119" s="445"/>
      <c r="N119" s="445"/>
      <c r="O119" s="445"/>
      <c r="P119" s="445"/>
      <c r="Q119" s="445"/>
      <c r="R119" s="445"/>
      <c r="S119" s="445"/>
      <c r="T119" s="445"/>
      <c r="U119" s="445"/>
      <c r="V119" s="445"/>
      <c r="W119" s="445"/>
      <c r="X119" s="445"/>
      <c r="Y119" s="445"/>
      <c r="Z119" s="445"/>
      <c r="AA119" s="445"/>
      <c r="AB119" s="445"/>
      <c r="AC119" s="445"/>
      <c r="AD119" s="445"/>
      <c r="AE119" s="445"/>
      <c r="AF119" s="445"/>
      <c r="AG119" s="445"/>
      <c r="AH119" s="445"/>
    </row>
    <row r="120" spans="1:34" ht="27" customHeight="1" x14ac:dyDescent="0.5">
      <c r="A120" s="445"/>
      <c r="B120" s="445"/>
      <c r="C120" s="445"/>
      <c r="D120" s="445"/>
      <c r="E120" s="445"/>
      <c r="F120" s="445"/>
      <c r="G120" s="445"/>
      <c r="H120" s="445"/>
      <c r="I120" s="445"/>
      <c r="J120" s="445"/>
      <c r="K120" s="445"/>
      <c r="L120" s="445"/>
      <c r="M120" s="445"/>
      <c r="N120" s="445"/>
      <c r="O120" s="445"/>
      <c r="P120" s="445"/>
      <c r="Q120" s="445"/>
      <c r="R120" s="445"/>
      <c r="S120" s="445"/>
      <c r="T120" s="445"/>
      <c r="U120" s="445"/>
      <c r="V120" s="445"/>
      <c r="W120" s="445"/>
      <c r="X120" s="445"/>
      <c r="Y120" s="445"/>
      <c r="Z120" s="445"/>
      <c r="AA120" s="445"/>
      <c r="AB120" s="445"/>
      <c r="AC120" s="445"/>
      <c r="AD120" s="445"/>
      <c r="AE120" s="445"/>
      <c r="AF120" s="445"/>
      <c r="AG120" s="445"/>
      <c r="AH120" s="445"/>
    </row>
    <row r="121" spans="1:34" ht="27" customHeight="1" x14ac:dyDescent="0.5">
      <c r="A121" s="445"/>
      <c r="B121" s="445"/>
      <c r="C121" s="445"/>
      <c r="D121" s="445"/>
      <c r="E121" s="445"/>
      <c r="F121" s="445"/>
      <c r="G121" s="445"/>
      <c r="H121" s="445"/>
      <c r="I121" s="445"/>
      <c r="J121" s="445"/>
      <c r="K121" s="445"/>
      <c r="L121" s="445"/>
      <c r="M121" s="445"/>
      <c r="N121" s="445"/>
      <c r="O121" s="445"/>
      <c r="P121" s="445"/>
      <c r="Q121" s="445"/>
      <c r="R121" s="445"/>
      <c r="S121" s="445"/>
      <c r="T121" s="445"/>
      <c r="U121" s="445"/>
      <c r="V121" s="445"/>
      <c r="W121" s="445"/>
      <c r="X121" s="445"/>
      <c r="Y121" s="445"/>
      <c r="Z121" s="445"/>
      <c r="AA121" s="445"/>
      <c r="AB121" s="445"/>
      <c r="AC121" s="445"/>
      <c r="AD121" s="445"/>
      <c r="AE121" s="445"/>
      <c r="AF121" s="445"/>
      <c r="AG121" s="445"/>
      <c r="AH121" s="445"/>
    </row>
    <row r="122" spans="1:34" ht="27" customHeight="1" x14ac:dyDescent="0.5">
      <c r="A122" s="445"/>
      <c r="B122" s="445"/>
      <c r="C122" s="445"/>
      <c r="D122" s="445"/>
      <c r="E122" s="445"/>
      <c r="F122" s="445"/>
      <c r="G122" s="445"/>
      <c r="H122" s="445"/>
      <c r="I122" s="445"/>
      <c r="J122" s="445"/>
      <c r="K122" s="445"/>
      <c r="L122" s="445"/>
      <c r="M122" s="445"/>
      <c r="N122" s="445"/>
      <c r="O122" s="445"/>
      <c r="P122" s="445"/>
      <c r="Q122" s="445"/>
      <c r="R122" s="445"/>
      <c r="S122" s="445"/>
      <c r="T122" s="445"/>
      <c r="U122" s="445"/>
      <c r="V122" s="445"/>
      <c r="W122" s="445"/>
      <c r="X122" s="445"/>
      <c r="Y122" s="445"/>
      <c r="Z122" s="445"/>
      <c r="AA122" s="445"/>
      <c r="AB122" s="445"/>
      <c r="AC122" s="445"/>
      <c r="AD122" s="445"/>
      <c r="AE122" s="445"/>
      <c r="AF122" s="445"/>
      <c r="AG122" s="445"/>
      <c r="AH122" s="445"/>
    </row>
    <row r="123" spans="1:34" ht="27" customHeight="1" x14ac:dyDescent="0.5">
      <c r="A123" s="445"/>
      <c r="B123" s="445"/>
      <c r="C123" s="445"/>
      <c r="D123" s="445"/>
      <c r="E123" s="445"/>
      <c r="F123" s="445"/>
      <c r="G123" s="445"/>
      <c r="H123" s="445"/>
      <c r="I123" s="445"/>
      <c r="J123" s="445"/>
      <c r="K123" s="445"/>
      <c r="L123" s="445"/>
      <c r="M123" s="445"/>
      <c r="N123" s="445"/>
      <c r="O123" s="445"/>
      <c r="P123" s="445"/>
      <c r="Q123" s="445"/>
      <c r="R123" s="445"/>
      <c r="S123" s="445"/>
      <c r="T123" s="445"/>
      <c r="U123" s="445"/>
      <c r="V123" s="445"/>
      <c r="W123" s="445"/>
      <c r="X123" s="445"/>
      <c r="Y123" s="445"/>
      <c r="Z123" s="445"/>
      <c r="AA123" s="445"/>
      <c r="AB123" s="445"/>
      <c r="AC123" s="445"/>
      <c r="AD123" s="445"/>
      <c r="AE123" s="445"/>
      <c r="AF123" s="445"/>
      <c r="AG123" s="445"/>
      <c r="AH123" s="445"/>
    </row>
    <row r="124" spans="1:34" ht="27" customHeight="1" x14ac:dyDescent="0.5">
      <c r="A124" s="445"/>
      <c r="B124" s="445"/>
      <c r="C124" s="445"/>
      <c r="D124" s="445"/>
      <c r="E124" s="445"/>
      <c r="F124" s="445"/>
      <c r="G124" s="445"/>
      <c r="H124" s="445"/>
      <c r="I124" s="445"/>
      <c r="J124" s="445"/>
      <c r="K124" s="445"/>
      <c r="L124" s="445"/>
      <c r="M124" s="445"/>
      <c r="N124" s="445"/>
      <c r="O124" s="445"/>
      <c r="P124" s="445"/>
      <c r="Q124" s="445"/>
      <c r="R124" s="445"/>
      <c r="S124" s="445"/>
      <c r="T124" s="445"/>
      <c r="U124" s="445"/>
      <c r="V124" s="445"/>
      <c r="W124" s="445"/>
      <c r="X124" s="445"/>
      <c r="Y124" s="445"/>
      <c r="Z124" s="445"/>
      <c r="AA124" s="445"/>
      <c r="AB124" s="445"/>
      <c r="AC124" s="445"/>
      <c r="AD124" s="445"/>
      <c r="AE124" s="445"/>
      <c r="AF124" s="445"/>
      <c r="AG124" s="445"/>
      <c r="AH124" s="445"/>
    </row>
    <row r="125" spans="1:34" ht="27" customHeight="1" x14ac:dyDescent="0.5">
      <c r="A125" s="445"/>
      <c r="B125" s="445"/>
      <c r="C125" s="445"/>
      <c r="D125" s="445"/>
      <c r="E125" s="445"/>
      <c r="F125" s="445"/>
      <c r="G125" s="445"/>
      <c r="H125" s="445"/>
      <c r="I125" s="445"/>
      <c r="J125" s="445"/>
      <c r="K125" s="445"/>
      <c r="L125" s="445"/>
      <c r="M125" s="445"/>
      <c r="N125" s="445"/>
      <c r="O125" s="445"/>
      <c r="P125" s="445"/>
      <c r="Q125" s="445"/>
      <c r="R125" s="445"/>
      <c r="S125" s="445"/>
      <c r="T125" s="445"/>
      <c r="U125" s="445"/>
      <c r="V125" s="445"/>
      <c r="W125" s="445"/>
      <c r="X125" s="445"/>
      <c r="Y125" s="445"/>
      <c r="Z125" s="445"/>
      <c r="AA125" s="445"/>
      <c r="AB125" s="445"/>
      <c r="AC125" s="445"/>
      <c r="AD125" s="445"/>
      <c r="AE125" s="445"/>
      <c r="AF125" s="445"/>
      <c r="AG125" s="445"/>
      <c r="AH125" s="445"/>
    </row>
    <row r="126" spans="1:34" ht="27" customHeight="1" x14ac:dyDescent="0.5">
      <c r="A126" s="445"/>
      <c r="B126" s="445"/>
      <c r="C126" s="445"/>
      <c r="D126" s="445"/>
      <c r="E126" s="445"/>
      <c r="F126" s="445"/>
      <c r="G126" s="445"/>
      <c r="H126" s="445"/>
      <c r="I126" s="445"/>
      <c r="J126" s="445"/>
      <c r="K126" s="445"/>
      <c r="L126" s="445"/>
      <c r="M126" s="445"/>
      <c r="N126" s="445"/>
      <c r="O126" s="445"/>
      <c r="P126" s="445"/>
      <c r="Q126" s="445"/>
      <c r="R126" s="445"/>
      <c r="S126" s="445"/>
      <c r="T126" s="445"/>
      <c r="U126" s="445"/>
      <c r="V126" s="445"/>
      <c r="W126" s="445"/>
      <c r="X126" s="445"/>
      <c r="Y126" s="445"/>
      <c r="Z126" s="445"/>
      <c r="AA126" s="445"/>
      <c r="AB126" s="445"/>
      <c r="AC126" s="445"/>
      <c r="AD126" s="445"/>
      <c r="AE126" s="445"/>
      <c r="AF126" s="445"/>
      <c r="AG126" s="445"/>
      <c r="AH126" s="445"/>
    </row>
    <row r="127" spans="1:34" ht="27" customHeight="1" x14ac:dyDescent="0.5">
      <c r="A127" s="445"/>
      <c r="B127" s="445"/>
      <c r="C127" s="445"/>
      <c r="D127" s="445"/>
      <c r="E127" s="445"/>
      <c r="F127" s="445"/>
      <c r="G127" s="445"/>
      <c r="H127" s="445"/>
      <c r="I127" s="445"/>
      <c r="J127" s="445"/>
      <c r="K127" s="445"/>
      <c r="L127" s="445"/>
      <c r="M127" s="445"/>
      <c r="N127" s="445"/>
      <c r="O127" s="445"/>
      <c r="P127" s="445"/>
      <c r="Q127" s="445"/>
      <c r="R127" s="445"/>
      <c r="S127" s="445"/>
      <c r="T127" s="445"/>
      <c r="U127" s="445"/>
      <c r="V127" s="445"/>
      <c r="W127" s="445"/>
      <c r="X127" s="445"/>
      <c r="Y127" s="445"/>
      <c r="Z127" s="445"/>
      <c r="AA127" s="445"/>
      <c r="AB127" s="445"/>
      <c r="AC127" s="445"/>
      <c r="AD127" s="445"/>
      <c r="AE127" s="445"/>
      <c r="AF127" s="445"/>
      <c r="AG127" s="445"/>
      <c r="AH127" s="445"/>
    </row>
    <row r="128" spans="1:34" ht="27" customHeight="1" x14ac:dyDescent="0.5">
      <c r="A128" s="445"/>
      <c r="B128" s="445"/>
      <c r="C128" s="445"/>
      <c r="D128" s="445"/>
      <c r="E128" s="445"/>
      <c r="F128" s="445"/>
      <c r="G128" s="445"/>
      <c r="H128" s="445"/>
      <c r="I128" s="445"/>
      <c r="J128" s="445"/>
      <c r="K128" s="445"/>
      <c r="L128" s="445"/>
      <c r="M128" s="445"/>
      <c r="N128" s="445"/>
      <c r="O128" s="445"/>
      <c r="P128" s="445"/>
      <c r="Q128" s="445"/>
      <c r="R128" s="445"/>
      <c r="S128" s="445"/>
      <c r="T128" s="445"/>
      <c r="U128" s="445"/>
      <c r="V128" s="445"/>
      <c r="W128" s="445"/>
      <c r="X128" s="445"/>
      <c r="Y128" s="445"/>
      <c r="Z128" s="445"/>
      <c r="AA128" s="445"/>
      <c r="AB128" s="445"/>
      <c r="AC128" s="445"/>
      <c r="AD128" s="445"/>
      <c r="AE128" s="445"/>
      <c r="AF128" s="445"/>
      <c r="AG128" s="445"/>
      <c r="AH128" s="445"/>
    </row>
    <row r="129" spans="1:34" ht="27" customHeight="1" x14ac:dyDescent="0.5">
      <c r="A129" s="445"/>
      <c r="B129" s="445"/>
      <c r="C129" s="445"/>
      <c r="D129" s="445"/>
      <c r="E129" s="445"/>
      <c r="F129" s="445"/>
      <c r="G129" s="445"/>
      <c r="H129" s="445"/>
      <c r="I129" s="445"/>
      <c r="J129" s="445"/>
      <c r="K129" s="445"/>
      <c r="L129" s="445"/>
      <c r="M129" s="445"/>
      <c r="N129" s="445"/>
      <c r="O129" s="445"/>
      <c r="P129" s="445"/>
      <c r="Q129" s="445"/>
      <c r="R129" s="445"/>
      <c r="S129" s="445"/>
      <c r="T129" s="445"/>
      <c r="U129" s="445"/>
      <c r="V129" s="445"/>
      <c r="W129" s="445"/>
      <c r="X129" s="445"/>
      <c r="Y129" s="445"/>
      <c r="Z129" s="445"/>
      <c r="AA129" s="445"/>
      <c r="AB129" s="445"/>
      <c r="AC129" s="445"/>
      <c r="AD129" s="445"/>
      <c r="AE129" s="445"/>
      <c r="AF129" s="445"/>
      <c r="AG129" s="445"/>
      <c r="AH129" s="445"/>
    </row>
    <row r="130" spans="1:34" ht="27" customHeight="1" x14ac:dyDescent="0.5">
      <c r="A130" s="445"/>
      <c r="B130" s="445"/>
      <c r="C130" s="445"/>
      <c r="D130" s="445"/>
      <c r="E130" s="445"/>
      <c r="F130" s="445"/>
      <c r="G130" s="445"/>
      <c r="H130" s="445"/>
      <c r="I130" s="445"/>
      <c r="J130" s="445"/>
      <c r="K130" s="445"/>
      <c r="L130" s="445"/>
      <c r="M130" s="445"/>
      <c r="N130" s="445"/>
      <c r="O130" s="445"/>
      <c r="P130" s="445"/>
      <c r="Q130" s="445"/>
      <c r="R130" s="445"/>
      <c r="S130" s="445"/>
      <c r="T130" s="445"/>
      <c r="U130" s="445"/>
      <c r="V130" s="445"/>
      <c r="W130" s="445"/>
      <c r="X130" s="445"/>
      <c r="Y130" s="445"/>
      <c r="Z130" s="445"/>
      <c r="AA130" s="445"/>
      <c r="AB130" s="445"/>
      <c r="AC130" s="445"/>
      <c r="AD130" s="445"/>
      <c r="AE130" s="445"/>
      <c r="AF130" s="445"/>
      <c r="AG130" s="445"/>
      <c r="AH130" s="445"/>
    </row>
    <row r="131" spans="1:34" ht="27" customHeight="1" x14ac:dyDescent="0.5">
      <c r="A131" s="445"/>
      <c r="B131" s="445"/>
      <c r="C131" s="445"/>
      <c r="D131" s="445"/>
      <c r="E131" s="445"/>
      <c r="F131" s="445"/>
      <c r="G131" s="445"/>
      <c r="H131" s="445"/>
      <c r="I131" s="445"/>
      <c r="J131" s="445"/>
      <c r="K131" s="445"/>
      <c r="L131" s="445"/>
      <c r="M131" s="445"/>
      <c r="N131" s="445"/>
      <c r="O131" s="445"/>
      <c r="P131" s="445"/>
      <c r="Q131" s="445"/>
      <c r="R131" s="445"/>
      <c r="S131" s="445"/>
      <c r="T131" s="445"/>
      <c r="U131" s="445"/>
      <c r="V131" s="445"/>
      <c r="W131" s="445"/>
      <c r="X131" s="445"/>
      <c r="Y131" s="445"/>
      <c r="Z131" s="445"/>
      <c r="AA131" s="445"/>
      <c r="AB131" s="445"/>
      <c r="AC131" s="445"/>
      <c r="AD131" s="445"/>
      <c r="AE131" s="445"/>
      <c r="AF131" s="445"/>
      <c r="AG131" s="445"/>
      <c r="AH131" s="445"/>
    </row>
    <row r="132" spans="1:34" ht="27" customHeight="1" x14ac:dyDescent="0.5">
      <c r="A132" s="445"/>
      <c r="B132" s="445"/>
      <c r="C132" s="445"/>
      <c r="D132" s="445"/>
      <c r="E132" s="445"/>
      <c r="F132" s="445"/>
      <c r="G132" s="445"/>
      <c r="H132" s="445"/>
      <c r="I132" s="445"/>
      <c r="J132" s="445"/>
      <c r="K132" s="445"/>
      <c r="L132" s="445"/>
      <c r="M132" s="445"/>
      <c r="N132" s="445"/>
      <c r="O132" s="445"/>
      <c r="P132" s="445"/>
      <c r="Q132" s="445"/>
      <c r="R132" s="445"/>
      <c r="S132" s="445"/>
      <c r="T132" s="445"/>
      <c r="U132" s="445"/>
      <c r="V132" s="445"/>
      <c r="W132" s="445"/>
      <c r="X132" s="445"/>
      <c r="Y132" s="445"/>
      <c r="Z132" s="445"/>
      <c r="AA132" s="445"/>
      <c r="AB132" s="445"/>
      <c r="AC132" s="445"/>
      <c r="AD132" s="445"/>
      <c r="AE132" s="445"/>
      <c r="AF132" s="445"/>
      <c r="AG132" s="445"/>
      <c r="AH132" s="445"/>
    </row>
    <row r="133" spans="1:34" ht="27" customHeight="1" x14ac:dyDescent="0.5">
      <c r="A133" s="445"/>
      <c r="B133" s="445"/>
      <c r="C133" s="445"/>
      <c r="D133" s="445"/>
      <c r="E133" s="445"/>
      <c r="F133" s="445"/>
      <c r="G133" s="445"/>
      <c r="H133" s="445"/>
      <c r="I133" s="445"/>
      <c r="J133" s="445"/>
      <c r="K133" s="445"/>
      <c r="L133" s="445"/>
      <c r="M133" s="445"/>
      <c r="N133" s="445"/>
      <c r="O133" s="445"/>
      <c r="P133" s="445"/>
      <c r="Q133" s="445"/>
      <c r="R133" s="445"/>
      <c r="S133" s="445"/>
      <c r="T133" s="445"/>
      <c r="U133" s="445"/>
      <c r="V133" s="445"/>
      <c r="W133" s="445"/>
      <c r="X133" s="445"/>
      <c r="Y133" s="445"/>
      <c r="Z133" s="445"/>
      <c r="AA133" s="445"/>
      <c r="AB133" s="445"/>
      <c r="AC133" s="445"/>
      <c r="AD133" s="445"/>
      <c r="AE133" s="445"/>
      <c r="AF133" s="445"/>
      <c r="AG133" s="445"/>
      <c r="AH133" s="445"/>
    </row>
    <row r="134" spans="1:34" ht="27" customHeight="1" x14ac:dyDescent="0.5">
      <c r="A134" s="445"/>
      <c r="B134" s="445"/>
      <c r="C134" s="445"/>
      <c r="D134" s="445"/>
      <c r="E134" s="445"/>
      <c r="F134" s="445"/>
      <c r="G134" s="445"/>
      <c r="H134" s="445"/>
      <c r="I134" s="445"/>
      <c r="J134" s="445"/>
      <c r="K134" s="445"/>
      <c r="L134" s="445"/>
      <c r="M134" s="445"/>
      <c r="N134" s="445"/>
      <c r="O134" s="445"/>
      <c r="P134" s="445"/>
      <c r="Q134" s="445"/>
      <c r="R134" s="445"/>
      <c r="S134" s="445"/>
      <c r="T134" s="445"/>
      <c r="U134" s="445"/>
      <c r="V134" s="445"/>
      <c r="W134" s="445"/>
      <c r="X134" s="445"/>
      <c r="Y134" s="445"/>
      <c r="Z134" s="445"/>
      <c r="AA134" s="445"/>
      <c r="AB134" s="445"/>
      <c r="AC134" s="445"/>
      <c r="AD134" s="445"/>
      <c r="AE134" s="445"/>
      <c r="AF134" s="445"/>
      <c r="AG134" s="445"/>
      <c r="AH134" s="445"/>
    </row>
    <row r="135" spans="1:34" ht="27" customHeight="1" x14ac:dyDescent="0.5">
      <c r="A135" s="445"/>
      <c r="B135" s="445"/>
      <c r="C135" s="445"/>
      <c r="D135" s="445"/>
      <c r="E135" s="445"/>
      <c r="F135" s="445"/>
      <c r="G135" s="445"/>
      <c r="H135" s="445"/>
      <c r="I135" s="445"/>
      <c r="J135" s="445"/>
      <c r="K135" s="445"/>
      <c r="L135" s="445"/>
      <c r="M135" s="445"/>
      <c r="N135" s="445"/>
      <c r="O135" s="445"/>
      <c r="P135" s="445"/>
      <c r="Q135" s="445"/>
      <c r="R135" s="445"/>
      <c r="S135" s="445"/>
      <c r="T135" s="445"/>
      <c r="U135" s="445"/>
      <c r="V135" s="445"/>
      <c r="W135" s="445"/>
      <c r="X135" s="445"/>
      <c r="Y135" s="445"/>
      <c r="Z135" s="445"/>
      <c r="AA135" s="445"/>
      <c r="AB135" s="445"/>
      <c r="AC135" s="445"/>
      <c r="AD135" s="445"/>
      <c r="AE135" s="445"/>
      <c r="AF135" s="445"/>
      <c r="AG135" s="445"/>
      <c r="AH135" s="445"/>
    </row>
    <row r="136" spans="1:34" ht="27" customHeight="1" x14ac:dyDescent="0.5">
      <c r="A136" s="445"/>
      <c r="B136" s="445"/>
      <c r="C136" s="445"/>
      <c r="D136" s="445"/>
      <c r="E136" s="445"/>
      <c r="F136" s="445"/>
      <c r="G136" s="445"/>
      <c r="H136" s="445"/>
      <c r="I136" s="445"/>
      <c r="J136" s="445"/>
      <c r="K136" s="445"/>
      <c r="L136" s="445"/>
      <c r="M136" s="445"/>
      <c r="N136" s="445"/>
      <c r="O136" s="445"/>
      <c r="P136" s="445"/>
      <c r="Q136" s="445"/>
      <c r="R136" s="445"/>
      <c r="S136" s="445"/>
      <c r="T136" s="445"/>
      <c r="U136" s="445"/>
      <c r="V136" s="445"/>
      <c r="W136" s="445"/>
      <c r="X136" s="445"/>
      <c r="Y136" s="445"/>
      <c r="Z136" s="445"/>
      <c r="AA136" s="445"/>
      <c r="AB136" s="445"/>
      <c r="AC136" s="445"/>
      <c r="AD136" s="445"/>
      <c r="AE136" s="445"/>
      <c r="AF136" s="445"/>
      <c r="AG136" s="445"/>
      <c r="AH136" s="445"/>
    </row>
    <row r="137" spans="1:34" ht="27" customHeight="1" x14ac:dyDescent="0.5">
      <c r="A137" s="445"/>
      <c r="B137" s="445"/>
      <c r="C137" s="445"/>
      <c r="D137" s="445"/>
      <c r="E137" s="445"/>
      <c r="F137" s="445"/>
      <c r="G137" s="445"/>
      <c r="H137" s="445"/>
      <c r="I137" s="445"/>
      <c r="J137" s="445"/>
      <c r="K137" s="445"/>
      <c r="L137" s="445"/>
      <c r="M137" s="445"/>
      <c r="N137" s="445"/>
      <c r="O137" s="445"/>
      <c r="P137" s="445"/>
      <c r="Q137" s="445"/>
      <c r="R137" s="445"/>
      <c r="S137" s="445"/>
      <c r="T137" s="445"/>
      <c r="U137" s="445"/>
      <c r="V137" s="445"/>
      <c r="W137" s="445"/>
      <c r="X137" s="445"/>
      <c r="Y137" s="445"/>
      <c r="Z137" s="445"/>
      <c r="AA137" s="445"/>
      <c r="AB137" s="445"/>
      <c r="AC137" s="445"/>
      <c r="AD137" s="445"/>
      <c r="AE137" s="445"/>
      <c r="AF137" s="445"/>
      <c r="AG137" s="445"/>
      <c r="AH137" s="445"/>
    </row>
    <row r="138" spans="1:34" ht="27" customHeight="1" x14ac:dyDescent="0.5">
      <c r="A138" s="445"/>
      <c r="B138" s="445"/>
      <c r="C138" s="445"/>
      <c r="D138" s="445"/>
      <c r="E138" s="445"/>
      <c r="F138" s="445"/>
      <c r="G138" s="445"/>
      <c r="H138" s="445"/>
      <c r="I138" s="445"/>
      <c r="J138" s="445"/>
      <c r="K138" s="445"/>
      <c r="L138" s="445"/>
      <c r="M138" s="445"/>
      <c r="N138" s="445"/>
      <c r="O138" s="445"/>
      <c r="P138" s="445"/>
      <c r="Q138" s="445"/>
      <c r="R138" s="445"/>
      <c r="S138" s="445"/>
      <c r="T138" s="445"/>
      <c r="U138" s="445"/>
      <c r="V138" s="445"/>
      <c r="W138" s="445"/>
      <c r="X138" s="445"/>
      <c r="Y138" s="445"/>
      <c r="Z138" s="445"/>
      <c r="AA138" s="445"/>
      <c r="AB138" s="445"/>
      <c r="AC138" s="445"/>
      <c r="AD138" s="445"/>
      <c r="AE138" s="445"/>
      <c r="AF138" s="445"/>
      <c r="AG138" s="445"/>
      <c r="AH138" s="445"/>
    </row>
    <row r="139" spans="1:34" ht="27" customHeight="1" x14ac:dyDescent="0.5">
      <c r="A139" s="445"/>
      <c r="B139" s="445"/>
      <c r="C139" s="445"/>
      <c r="D139" s="445"/>
      <c r="E139" s="445"/>
      <c r="F139" s="445"/>
      <c r="G139" s="445"/>
      <c r="H139" s="445"/>
      <c r="I139" s="445"/>
      <c r="J139" s="445"/>
      <c r="K139" s="445"/>
      <c r="L139" s="445"/>
      <c r="M139" s="445"/>
      <c r="N139" s="445"/>
      <c r="O139" s="445"/>
      <c r="P139" s="445"/>
      <c r="Q139" s="445"/>
      <c r="R139" s="445"/>
      <c r="S139" s="445"/>
      <c r="T139" s="445"/>
      <c r="U139" s="445"/>
      <c r="V139" s="445"/>
      <c r="W139" s="445"/>
      <c r="X139" s="445"/>
      <c r="Y139" s="445"/>
      <c r="Z139" s="445"/>
      <c r="AA139" s="445"/>
      <c r="AB139" s="445"/>
      <c r="AC139" s="445"/>
      <c r="AD139" s="445"/>
      <c r="AE139" s="445"/>
      <c r="AF139" s="445"/>
      <c r="AG139" s="445"/>
      <c r="AH139" s="445"/>
    </row>
    <row r="140" spans="1:34" ht="27" customHeight="1" x14ac:dyDescent="0.5">
      <c r="A140" s="445"/>
      <c r="B140" s="445"/>
      <c r="C140" s="445"/>
      <c r="D140" s="445"/>
      <c r="E140" s="445"/>
      <c r="F140" s="445"/>
      <c r="G140" s="445"/>
      <c r="H140" s="445"/>
      <c r="I140" s="445"/>
      <c r="J140" s="445"/>
      <c r="K140" s="445"/>
      <c r="L140" s="445"/>
      <c r="M140" s="445"/>
      <c r="N140" s="445"/>
      <c r="O140" s="445"/>
      <c r="P140" s="445"/>
      <c r="Q140" s="445"/>
      <c r="R140" s="445"/>
      <c r="S140" s="445"/>
      <c r="T140" s="445"/>
      <c r="U140" s="445"/>
      <c r="V140" s="445"/>
      <c r="W140" s="445"/>
      <c r="X140" s="445"/>
      <c r="Y140" s="445"/>
      <c r="Z140" s="445"/>
      <c r="AA140" s="445"/>
      <c r="AB140" s="445"/>
      <c r="AC140" s="445"/>
      <c r="AD140" s="445"/>
      <c r="AE140" s="445"/>
      <c r="AF140" s="445"/>
      <c r="AG140" s="445"/>
      <c r="AH140" s="445"/>
    </row>
    <row r="141" spans="1:34" ht="27" customHeight="1" x14ac:dyDescent="0.5">
      <c r="C141" s="445"/>
      <c r="D141" s="445"/>
      <c r="E141" s="445"/>
      <c r="F141" s="445"/>
      <c r="G141" s="445"/>
    </row>
  </sheetData>
  <sheetProtection algorithmName="SHA-512" hashValue="U/YVvepdsdQmrintqHBqsON5hQ3YC/6y26ABpdrhzQ5ZEEsGO58Gf8OgnPtGRio+GoBuEVA1ld1k1XwjjscnaQ==" saltValue="iHgDa/brheJcFkCmNFoD2A==" spinCount="100000" sheet="1" objects="1" scenarios="1"/>
  <mergeCells count="5">
    <mergeCell ref="K27:N27"/>
    <mergeCell ref="C3:D4"/>
    <mergeCell ref="C5:G5"/>
    <mergeCell ref="J7:N11"/>
    <mergeCell ref="J6:N6"/>
  </mergeCells>
  <dataValidations count="1">
    <dataValidation allowBlank="1" showErrorMessage="1" sqref="D30:F30" xr:uid="{E5329E75-B241-484C-ABEB-3A74B84234D5}"/>
  </dataValidations>
  <pageMargins left="0.70866141732283472" right="0.31496062992125984" top="0.51181102362204722" bottom="0.35433070866141736" header="0.31496062992125984" footer="0.31496062992125984"/>
  <pageSetup paperSize="8" scale="60"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7369-698F-44A2-B470-10410404D7ED}">
  <sheetPr>
    <tabColor rgb="FF382573"/>
  </sheetPr>
  <dimension ref="B1:N91"/>
  <sheetViews>
    <sheetView showGridLines="0" topLeftCell="A20" zoomScale="80" zoomScaleNormal="80" workbookViewId="0">
      <selection activeCell="D30" sqref="D30:H30"/>
    </sheetView>
  </sheetViews>
  <sheetFormatPr defaultColWidth="9.1796875" defaultRowHeight="15.5" x14ac:dyDescent="0.25"/>
  <cols>
    <col min="1" max="1" width="3.54296875" style="320" customWidth="1"/>
    <col min="2" max="2" width="34.81640625" style="321" customWidth="1"/>
    <col min="3" max="3" width="14.453125" style="320" customWidth="1"/>
    <col min="4" max="8" width="22.1796875" style="320" customWidth="1"/>
    <col min="9" max="9" width="122.54296875" style="322" customWidth="1"/>
    <col min="10" max="16384" width="9.1796875" style="320"/>
  </cols>
  <sheetData>
    <row r="1" spans="2:11" ht="16" thickBot="1" x14ac:dyDescent="0.3"/>
    <row r="2" spans="2:11" x14ac:dyDescent="0.25">
      <c r="B2" s="323"/>
      <c r="C2" s="324"/>
      <c r="D2" s="324"/>
      <c r="E2" s="324"/>
      <c r="F2" s="324"/>
      <c r="G2" s="324"/>
      <c r="H2" s="325"/>
    </row>
    <row r="3" spans="2:11" x14ac:dyDescent="0.25">
      <c r="B3" s="326"/>
      <c r="H3" s="327"/>
    </row>
    <row r="4" spans="2:11" x14ac:dyDescent="0.25">
      <c r="B4" s="328"/>
      <c r="C4" s="329"/>
      <c r="D4" s="329"/>
      <c r="E4" s="329"/>
      <c r="F4" s="329"/>
      <c r="G4" s="329"/>
      <c r="H4" s="330"/>
    </row>
    <row r="5" spans="2:11" ht="23.25" customHeight="1" x14ac:dyDescent="0.25">
      <c r="B5" s="781" t="s">
        <v>365</v>
      </c>
      <c r="C5" s="782"/>
      <c r="D5" s="782"/>
      <c r="E5" s="782"/>
      <c r="F5" s="782"/>
      <c r="G5" s="782"/>
      <c r="H5" s="783"/>
    </row>
    <row r="6" spans="2:11" x14ac:dyDescent="0.25">
      <c r="B6" s="331" t="s">
        <v>366</v>
      </c>
      <c r="H6" s="327"/>
    </row>
    <row r="7" spans="2:11" x14ac:dyDescent="0.25">
      <c r="B7" s="332"/>
      <c r="H7" s="327"/>
      <c r="I7" s="333" t="s">
        <v>367</v>
      </c>
    </row>
    <row r="8" spans="2:11" ht="18.75" customHeight="1" x14ac:dyDescent="0.25">
      <c r="B8" s="334" t="s">
        <v>368</v>
      </c>
      <c r="C8" s="784" t="str">
        <f>IF('Business Case'!C9="","",'Business Case'!C9)</f>
        <v/>
      </c>
      <c r="D8" s="784"/>
      <c r="E8" s="784"/>
      <c r="F8" s="784"/>
      <c r="G8" s="784"/>
      <c r="H8" s="785"/>
      <c r="I8" s="779" t="s">
        <v>369</v>
      </c>
    </row>
    <row r="9" spans="2:11" x14ac:dyDescent="0.25">
      <c r="B9" s="335"/>
      <c r="H9" s="327"/>
      <c r="I9" s="779"/>
    </row>
    <row r="10" spans="2:11" x14ac:dyDescent="0.25">
      <c r="B10" s="334" t="s">
        <v>370</v>
      </c>
      <c r="C10" s="784" t="str">
        <f>IF('Project Compliance Tool'!D3="","",'Project Compliance Tool'!D3)</f>
        <v/>
      </c>
      <c r="D10" s="784"/>
      <c r="E10" s="784"/>
      <c r="F10" s="784"/>
      <c r="G10" s="784"/>
      <c r="H10" s="785"/>
      <c r="I10" s="779"/>
    </row>
    <row r="11" spans="2:11" x14ac:dyDescent="0.25">
      <c r="B11" s="332"/>
      <c r="H11" s="327"/>
      <c r="I11" s="336"/>
    </row>
    <row r="12" spans="2:11" x14ac:dyDescent="0.25">
      <c r="B12" s="331" t="s">
        <v>371</v>
      </c>
      <c r="D12" s="320" t="s">
        <v>372</v>
      </c>
      <c r="H12" s="327"/>
      <c r="I12" s="336"/>
    </row>
    <row r="13" spans="2:11" ht="15.75" customHeight="1" x14ac:dyDescent="0.25">
      <c r="B13" s="326"/>
      <c r="H13" s="327"/>
      <c r="I13" s="789" t="s">
        <v>373</v>
      </c>
    </row>
    <row r="14" spans="2:11" ht="61.4" customHeight="1" x14ac:dyDescent="0.25">
      <c r="B14" s="534" t="s">
        <v>555</v>
      </c>
      <c r="C14" s="535"/>
      <c r="D14" s="786"/>
      <c r="E14" s="787"/>
      <c r="F14" s="787"/>
      <c r="G14" s="787"/>
      <c r="H14" s="788"/>
      <c r="I14" s="789"/>
      <c r="J14" s="337"/>
      <c r="K14" s="337"/>
    </row>
    <row r="15" spans="2:11" x14ac:dyDescent="0.25">
      <c r="B15" s="338"/>
      <c r="C15" s="339"/>
      <c r="D15" s="340"/>
      <c r="E15" s="340"/>
      <c r="F15" s="341"/>
      <c r="G15" s="341"/>
      <c r="H15" s="342"/>
      <c r="I15" s="392"/>
      <c r="J15" s="337"/>
      <c r="K15" s="337"/>
    </row>
    <row r="16" spans="2:11" ht="61.4" customHeight="1" x14ac:dyDescent="0.25">
      <c r="B16" s="534" t="s">
        <v>374</v>
      </c>
      <c r="C16" s="535"/>
      <c r="D16" s="786"/>
      <c r="E16" s="787"/>
      <c r="F16" s="787"/>
      <c r="G16" s="787"/>
      <c r="H16" s="788"/>
      <c r="I16" s="532" t="s">
        <v>375</v>
      </c>
      <c r="J16" s="337"/>
      <c r="K16" s="337"/>
    </row>
    <row r="17" spans="2:11" x14ac:dyDescent="0.25">
      <c r="B17" s="338"/>
      <c r="C17" s="339"/>
      <c r="D17" s="340"/>
      <c r="E17" s="340"/>
      <c r="F17" s="341"/>
      <c r="G17" s="341"/>
      <c r="H17" s="342"/>
      <c r="I17" s="392"/>
      <c r="J17" s="337"/>
      <c r="K17" s="337"/>
    </row>
    <row r="18" spans="2:11" ht="61.4" customHeight="1" x14ac:dyDescent="0.25">
      <c r="B18" s="534" t="s">
        <v>376</v>
      </c>
      <c r="C18" s="535"/>
      <c r="D18" s="786"/>
      <c r="E18" s="787"/>
      <c r="F18" s="787"/>
      <c r="G18" s="787"/>
      <c r="H18" s="788"/>
      <c r="I18" s="392" t="s">
        <v>377</v>
      </c>
      <c r="J18" s="337"/>
      <c r="K18" s="337"/>
    </row>
    <row r="19" spans="2:11" x14ac:dyDescent="0.25">
      <c r="B19" s="338"/>
      <c r="C19" s="339"/>
      <c r="D19" s="344"/>
      <c r="E19" s="344"/>
      <c r="F19" s="336"/>
      <c r="G19" s="336"/>
      <c r="H19" s="345"/>
      <c r="I19" s="343"/>
      <c r="J19" s="337"/>
      <c r="K19" s="337"/>
    </row>
    <row r="20" spans="2:11" ht="38.25" customHeight="1" x14ac:dyDescent="0.25">
      <c r="B20" s="534" t="s">
        <v>378</v>
      </c>
      <c r="C20" s="535"/>
      <c r="D20" s="786"/>
      <c r="E20" s="787"/>
      <c r="F20" s="787"/>
      <c r="G20" s="787"/>
      <c r="H20" s="788"/>
      <c r="I20" s="780" t="s">
        <v>379</v>
      </c>
      <c r="J20" s="337"/>
      <c r="K20" s="337"/>
    </row>
    <row r="21" spans="2:11" x14ac:dyDescent="0.25">
      <c r="B21" s="338"/>
      <c r="C21" s="339"/>
      <c r="D21" s="346"/>
      <c r="E21" s="346"/>
      <c r="F21" s="347"/>
      <c r="G21" s="347"/>
      <c r="H21" s="348"/>
      <c r="I21" s="780"/>
      <c r="J21" s="337"/>
      <c r="K21" s="337"/>
    </row>
    <row r="22" spans="2:11" ht="38.25" customHeight="1" x14ac:dyDescent="0.25">
      <c r="B22" s="534" t="s">
        <v>380</v>
      </c>
      <c r="C22" s="535"/>
      <c r="D22" s="786"/>
      <c r="E22" s="787"/>
      <c r="F22" s="787"/>
      <c r="G22" s="787"/>
      <c r="H22" s="788"/>
      <c r="I22" s="532" t="s">
        <v>381</v>
      </c>
      <c r="J22" s="337"/>
      <c r="K22" s="337"/>
    </row>
    <row r="23" spans="2:11" x14ac:dyDescent="0.25">
      <c r="B23" s="326"/>
      <c r="D23" s="349"/>
      <c r="E23" s="349"/>
      <c r="F23" s="349"/>
      <c r="G23" s="349"/>
      <c r="H23" s="350"/>
      <c r="I23" s="336"/>
    </row>
    <row r="24" spans="2:11" x14ac:dyDescent="0.25">
      <c r="B24" s="331" t="s">
        <v>382</v>
      </c>
      <c r="D24" s="349"/>
      <c r="E24" s="349"/>
      <c r="F24" s="349"/>
      <c r="G24" s="349"/>
      <c r="H24" s="350"/>
      <c r="I24" s="336"/>
    </row>
    <row r="25" spans="2:11" x14ac:dyDescent="0.25">
      <c r="B25" s="326"/>
      <c r="D25" s="349"/>
      <c r="E25" s="349"/>
      <c r="F25" s="349"/>
      <c r="G25" s="349"/>
      <c r="H25" s="350"/>
      <c r="I25" s="336"/>
    </row>
    <row r="26" spans="2:11" ht="30" customHeight="1" x14ac:dyDescent="0.25">
      <c r="B26" s="351" t="s">
        <v>383</v>
      </c>
      <c r="C26" s="545"/>
      <c r="D26" s="790" t="s">
        <v>372</v>
      </c>
      <c r="E26" s="791"/>
      <c r="F26" s="791"/>
      <c r="G26" s="791"/>
      <c r="H26" s="792"/>
      <c r="I26" s="392" t="s">
        <v>384</v>
      </c>
      <c r="J26" s="337"/>
      <c r="K26" s="337"/>
    </row>
    <row r="27" spans="2:11" ht="30" customHeight="1" x14ac:dyDescent="0.25">
      <c r="B27" s="351" t="s">
        <v>385</v>
      </c>
      <c r="C27" s="545"/>
      <c r="D27" s="790"/>
      <c r="E27" s="791"/>
      <c r="F27" s="791"/>
      <c r="G27" s="791"/>
      <c r="H27" s="792"/>
      <c r="I27" s="392" t="s">
        <v>386</v>
      </c>
      <c r="J27" s="337"/>
      <c r="K27" s="337"/>
    </row>
    <row r="28" spans="2:11" ht="30" customHeight="1" x14ac:dyDescent="0.25">
      <c r="B28" s="351" t="s">
        <v>387</v>
      </c>
      <c r="C28" s="545"/>
      <c r="D28" s="790"/>
      <c r="E28" s="791"/>
      <c r="F28" s="791"/>
      <c r="G28" s="791"/>
      <c r="H28" s="792"/>
      <c r="I28" s="392" t="s">
        <v>388</v>
      </c>
      <c r="J28" s="337"/>
      <c r="K28" s="337"/>
    </row>
    <row r="29" spans="2:11" ht="30" customHeight="1" x14ac:dyDescent="0.25">
      <c r="B29" s="351" t="s">
        <v>389</v>
      </c>
      <c r="C29" s="545"/>
      <c r="D29" s="790"/>
      <c r="E29" s="791"/>
      <c r="F29" s="791"/>
      <c r="G29" s="791"/>
      <c r="H29" s="792"/>
      <c r="I29" s="779" t="s">
        <v>390</v>
      </c>
      <c r="J29" s="337"/>
      <c r="K29" s="337"/>
    </row>
    <row r="30" spans="2:11" ht="75" customHeight="1" x14ac:dyDescent="0.25">
      <c r="B30" s="796" t="s">
        <v>391</v>
      </c>
      <c r="C30" s="797"/>
      <c r="D30" s="793"/>
      <c r="E30" s="794"/>
      <c r="F30" s="794"/>
      <c r="G30" s="794"/>
      <c r="H30" s="795"/>
      <c r="I30" s="779"/>
      <c r="J30" s="337"/>
      <c r="K30" s="337"/>
    </row>
    <row r="31" spans="2:11" x14ac:dyDescent="0.25">
      <c r="B31" s="798"/>
      <c r="C31" s="799"/>
      <c r="D31" s="799"/>
      <c r="E31" s="799"/>
      <c r="F31" s="799"/>
      <c r="G31" s="799"/>
      <c r="H31" s="800"/>
      <c r="I31" s="392"/>
      <c r="J31" s="337"/>
      <c r="K31" s="337"/>
    </row>
    <row r="32" spans="2:11" ht="38.25" customHeight="1" x14ac:dyDescent="0.25">
      <c r="B32" s="533" t="s">
        <v>392</v>
      </c>
      <c r="C32" s="535"/>
      <c r="D32" s="786"/>
      <c r="E32" s="787"/>
      <c r="F32" s="787"/>
      <c r="G32" s="787"/>
      <c r="H32" s="788"/>
      <c r="I32" s="392" t="s">
        <v>393</v>
      </c>
      <c r="J32" s="337"/>
      <c r="K32" s="337"/>
    </row>
    <row r="33" spans="2:14" x14ac:dyDescent="0.25">
      <c r="B33" s="801"/>
      <c r="C33" s="802"/>
      <c r="D33" s="802"/>
      <c r="E33" s="802"/>
      <c r="F33" s="802"/>
      <c r="G33" s="802"/>
      <c r="H33" s="803"/>
      <c r="I33" s="392"/>
      <c r="J33" s="337"/>
      <c r="K33" s="337"/>
    </row>
    <row r="34" spans="2:14" ht="38.25" customHeight="1" x14ac:dyDescent="0.25">
      <c r="B34" s="533" t="s">
        <v>394</v>
      </c>
      <c r="C34" s="535"/>
      <c r="D34" s="786"/>
      <c r="E34" s="787"/>
      <c r="F34" s="787"/>
      <c r="G34" s="787"/>
      <c r="H34" s="788"/>
      <c r="I34" s="392" t="s">
        <v>395</v>
      </c>
      <c r="J34" s="337"/>
      <c r="K34" s="337"/>
    </row>
    <row r="35" spans="2:14" x14ac:dyDescent="0.25">
      <c r="B35" s="801"/>
      <c r="C35" s="802"/>
      <c r="D35" s="802"/>
      <c r="E35" s="802"/>
      <c r="F35" s="802"/>
      <c r="G35" s="802"/>
      <c r="H35" s="803"/>
      <c r="I35" s="392"/>
      <c r="J35" s="337"/>
      <c r="K35" s="337"/>
    </row>
    <row r="36" spans="2:14" ht="38.25" customHeight="1" x14ac:dyDescent="0.25">
      <c r="B36" s="533" t="s">
        <v>396</v>
      </c>
      <c r="C36" s="535"/>
      <c r="D36" s="804"/>
      <c r="E36" s="804"/>
      <c r="F36" s="804"/>
      <c r="G36" s="804"/>
      <c r="H36" s="805"/>
      <c r="I36" s="392" t="s">
        <v>397</v>
      </c>
      <c r="J36" s="337"/>
      <c r="K36" s="337"/>
    </row>
    <row r="37" spans="2:14" ht="15.75" customHeight="1" x14ac:dyDescent="0.25">
      <c r="B37" s="352"/>
      <c r="C37" s="353"/>
      <c r="D37" s="353"/>
      <c r="E37" s="353"/>
      <c r="F37" s="353"/>
      <c r="G37" s="353"/>
      <c r="H37" s="354"/>
      <c r="I37" s="336"/>
    </row>
    <row r="38" spans="2:14" ht="15.75" customHeight="1" x14ac:dyDescent="0.25">
      <c r="B38" s="356" t="s">
        <v>398</v>
      </c>
      <c r="C38" s="355"/>
      <c r="D38" s="355"/>
      <c r="E38" s="357"/>
      <c r="F38" s="357"/>
      <c r="G38" s="357"/>
      <c r="H38" s="358"/>
      <c r="I38" s="336"/>
    </row>
    <row r="39" spans="2:14" x14ac:dyDescent="0.25">
      <c r="B39" s="806"/>
      <c r="C39" s="807"/>
      <c r="D39" s="807"/>
      <c r="E39" s="807"/>
      <c r="F39" s="807"/>
      <c r="G39" s="807"/>
      <c r="H39" s="808"/>
      <c r="I39" s="392"/>
      <c r="J39" s="337"/>
      <c r="K39" s="337"/>
    </row>
    <row r="40" spans="2:14" ht="38.25" customHeight="1" x14ac:dyDescent="0.25">
      <c r="B40" s="531" t="s">
        <v>399</v>
      </c>
      <c r="C40" s="535"/>
      <c r="D40" s="786"/>
      <c r="E40" s="787"/>
      <c r="F40" s="787"/>
      <c r="G40" s="787"/>
      <c r="H40" s="788"/>
      <c r="I40" s="546" t="s">
        <v>400</v>
      </c>
      <c r="J40" s="337"/>
      <c r="K40" s="337"/>
    </row>
    <row r="41" spans="2:14" x14ac:dyDescent="0.25">
      <c r="B41" s="801"/>
      <c r="C41" s="802"/>
      <c r="D41" s="802"/>
      <c r="E41" s="802"/>
      <c r="F41" s="802"/>
      <c r="G41" s="802"/>
      <c r="H41" s="803"/>
      <c r="I41" s="392"/>
      <c r="J41" s="337"/>
      <c r="K41" s="337"/>
    </row>
    <row r="42" spans="2:14" ht="38.25" customHeight="1" x14ac:dyDescent="0.25">
      <c r="B42" s="531" t="s">
        <v>401</v>
      </c>
      <c r="C42" s="535"/>
      <c r="D42" s="786"/>
      <c r="E42" s="787"/>
      <c r="F42" s="787"/>
      <c r="G42" s="787"/>
      <c r="H42" s="788"/>
      <c r="I42" s="392" t="s">
        <v>402</v>
      </c>
      <c r="J42" s="337"/>
      <c r="K42" s="337"/>
    </row>
    <row r="43" spans="2:14" x14ac:dyDescent="0.25">
      <c r="B43" s="801"/>
      <c r="C43" s="802"/>
      <c r="D43" s="802"/>
      <c r="E43" s="802"/>
      <c r="F43" s="802"/>
      <c r="G43" s="802"/>
      <c r="H43" s="803"/>
      <c r="I43" s="392"/>
      <c r="J43" s="337"/>
      <c r="K43" s="337"/>
    </row>
    <row r="44" spans="2:14" ht="38.25" customHeight="1" x14ac:dyDescent="0.25">
      <c r="B44" s="531" t="s">
        <v>403</v>
      </c>
      <c r="C44" s="535"/>
      <c r="D44" s="786"/>
      <c r="E44" s="787"/>
      <c r="F44" s="787"/>
      <c r="G44" s="787"/>
      <c r="H44" s="788"/>
      <c r="I44" s="392" t="s">
        <v>404</v>
      </c>
      <c r="J44" s="337"/>
      <c r="K44" s="337"/>
    </row>
    <row r="45" spans="2:14" x14ac:dyDescent="0.25">
      <c r="B45" s="818"/>
      <c r="C45" s="819"/>
      <c r="D45" s="819"/>
      <c r="E45" s="819"/>
      <c r="F45" s="819"/>
      <c r="G45" s="819"/>
      <c r="H45" s="820"/>
      <c r="I45" s="336"/>
    </row>
    <row r="46" spans="2:14" ht="38.25" customHeight="1" x14ac:dyDescent="0.25">
      <c r="B46" s="531" t="s">
        <v>405</v>
      </c>
      <c r="C46" s="535"/>
      <c r="D46" s="786"/>
      <c r="E46" s="787"/>
      <c r="F46" s="787"/>
      <c r="G46" s="787"/>
      <c r="H46" s="788"/>
      <c r="I46" s="336"/>
    </row>
    <row r="47" spans="2:14" ht="18.5" x14ac:dyDescent="0.25">
      <c r="B47" s="326"/>
      <c r="E47" s="360"/>
      <c r="F47" s="360"/>
      <c r="G47" s="361"/>
      <c r="H47" s="362"/>
      <c r="I47" s="336"/>
      <c r="J47" s="359"/>
      <c r="K47" s="363">
        <v>2.2999999999999998</v>
      </c>
      <c r="L47" s="364" t="e">
        <f>#REF!</f>
        <v>#REF!</v>
      </c>
      <c r="M47" s="363"/>
      <c r="N47" s="359"/>
    </row>
    <row r="48" spans="2:14" ht="18.5" x14ac:dyDescent="0.25">
      <c r="B48" s="365"/>
      <c r="C48" s="366"/>
      <c r="D48" s="366"/>
      <c r="E48" s="367"/>
      <c r="F48" s="367"/>
      <c r="G48" s="368"/>
      <c r="H48" s="369"/>
      <c r="I48" s="336"/>
      <c r="J48" s="359"/>
      <c r="K48" s="363">
        <v>2.4</v>
      </c>
      <c r="L48" s="364" t="e">
        <f>#REF!</f>
        <v>#REF!</v>
      </c>
      <c r="M48" s="363"/>
      <c r="N48" s="359"/>
    </row>
    <row r="49" spans="2:14" x14ac:dyDescent="0.25">
      <c r="B49" s="821" t="s">
        <v>406</v>
      </c>
      <c r="C49" s="822"/>
      <c r="D49" s="823"/>
      <c r="E49" s="824"/>
      <c r="F49" s="824"/>
      <c r="G49" s="824"/>
      <c r="H49" s="825"/>
      <c r="I49" s="817" t="s">
        <v>407</v>
      </c>
      <c r="J49" s="359"/>
      <c r="K49" s="363">
        <v>2.5</v>
      </c>
      <c r="L49" s="364" t="e">
        <f>#REF!</f>
        <v>#REF!</v>
      </c>
      <c r="M49" s="363"/>
      <c r="N49" s="359"/>
    </row>
    <row r="50" spans="2:14" x14ac:dyDescent="0.25">
      <c r="B50" s="809"/>
      <c r="C50" s="810"/>
      <c r="D50" s="814"/>
      <c r="E50" s="815"/>
      <c r="F50" s="815"/>
      <c r="G50" s="815"/>
      <c r="H50" s="816"/>
      <c r="I50" s="817"/>
      <c r="J50" s="359"/>
      <c r="K50" s="363">
        <v>2.6</v>
      </c>
      <c r="L50" s="364" t="e">
        <f>#REF!</f>
        <v>#REF!</v>
      </c>
      <c r="M50" s="363"/>
      <c r="N50" s="359"/>
    </row>
    <row r="51" spans="2:14" ht="15.75" customHeight="1" x14ac:dyDescent="0.25">
      <c r="B51" s="370"/>
      <c r="C51" s="336"/>
      <c r="E51" s="360"/>
      <c r="F51" s="360"/>
      <c r="G51" s="361"/>
      <c r="H51" s="362"/>
      <c r="I51" s="336"/>
      <c r="J51" s="359"/>
      <c r="K51" s="363">
        <v>2.7</v>
      </c>
      <c r="L51" s="364" t="e">
        <f>#REF!</f>
        <v>#REF!</v>
      </c>
      <c r="M51" s="363"/>
      <c r="N51" s="359"/>
    </row>
    <row r="52" spans="2:14" x14ac:dyDescent="0.25">
      <c r="B52" s="809" t="s">
        <v>408</v>
      </c>
      <c r="C52" s="810"/>
      <c r="D52" s="811"/>
      <c r="E52" s="812"/>
      <c r="F52" s="812"/>
      <c r="G52" s="812"/>
      <c r="H52" s="813"/>
      <c r="I52" s="826" t="s">
        <v>409</v>
      </c>
      <c r="J52" s="359"/>
      <c r="K52" s="363">
        <v>3.1</v>
      </c>
      <c r="L52" s="364" t="e">
        <f>#REF!</f>
        <v>#REF!</v>
      </c>
      <c r="M52" s="363"/>
      <c r="N52" s="359"/>
    </row>
    <row r="53" spans="2:14" x14ac:dyDescent="0.25">
      <c r="B53" s="809"/>
      <c r="C53" s="810"/>
      <c r="D53" s="814"/>
      <c r="E53" s="815"/>
      <c r="F53" s="815"/>
      <c r="G53" s="815"/>
      <c r="H53" s="816"/>
      <c r="I53" s="826"/>
      <c r="J53" s="359"/>
      <c r="K53" s="363">
        <v>3.2</v>
      </c>
      <c r="L53" s="364" t="e">
        <f>#REF!</f>
        <v>#REF!</v>
      </c>
      <c r="M53" s="363"/>
      <c r="N53" s="359"/>
    </row>
    <row r="54" spans="2:14" x14ac:dyDescent="0.25">
      <c r="B54" s="371"/>
      <c r="C54" s="372"/>
      <c r="D54" s="373"/>
      <c r="E54" s="373"/>
      <c r="F54" s="373"/>
      <c r="G54" s="373"/>
      <c r="H54" s="374"/>
      <c r="I54" s="393"/>
      <c r="J54" s="359"/>
      <c r="K54" s="363">
        <v>3.3</v>
      </c>
      <c r="L54" s="364" t="e">
        <f>#REF!</f>
        <v>#REF!</v>
      </c>
      <c r="M54" s="363"/>
      <c r="N54" s="359"/>
    </row>
    <row r="55" spans="2:14" ht="31.5" customHeight="1" x14ac:dyDescent="0.25">
      <c r="B55" s="375" t="s">
        <v>410</v>
      </c>
      <c r="C55" s="376">
        <f>'Business Case'!G74</f>
        <v>0</v>
      </c>
      <c r="D55" s="827"/>
      <c r="E55" s="828"/>
      <c r="F55" s="828"/>
      <c r="G55" s="828"/>
      <c r="H55" s="829"/>
      <c r="I55" s="393" t="s">
        <v>411</v>
      </c>
      <c r="J55" s="359"/>
      <c r="K55" s="363">
        <v>3.4</v>
      </c>
      <c r="L55" s="364" t="e">
        <f>#REF!</f>
        <v>#REF!</v>
      </c>
      <c r="M55" s="363"/>
      <c r="N55" s="359"/>
    </row>
    <row r="56" spans="2:14" x14ac:dyDescent="0.25">
      <c r="B56" s="371"/>
      <c r="C56" s="372"/>
      <c r="D56" s="373"/>
      <c r="E56" s="373"/>
      <c r="F56" s="373"/>
      <c r="G56" s="373"/>
      <c r="H56" s="374"/>
      <c r="I56" s="393"/>
      <c r="J56" s="359"/>
      <c r="K56" s="359"/>
      <c r="L56" s="359"/>
      <c r="M56" s="359"/>
      <c r="N56" s="359"/>
    </row>
    <row r="57" spans="2:14" ht="31.5" customHeight="1" x14ac:dyDescent="0.25">
      <c r="B57" s="375" t="s">
        <v>412</v>
      </c>
      <c r="C57" s="376">
        <f>'Business Case'!G77</f>
        <v>0</v>
      </c>
      <c r="D57" s="827"/>
      <c r="E57" s="828"/>
      <c r="F57" s="828"/>
      <c r="G57" s="828"/>
      <c r="H57" s="829"/>
      <c r="I57" s="393" t="s">
        <v>413</v>
      </c>
      <c r="J57" s="359"/>
      <c r="M57" s="359"/>
      <c r="N57" s="359"/>
    </row>
    <row r="58" spans="2:14" ht="18.5" x14ac:dyDescent="0.25">
      <c r="B58" s="326"/>
      <c r="E58" s="360"/>
      <c r="F58" s="360"/>
      <c r="G58" s="361"/>
      <c r="H58" s="362"/>
      <c r="I58" s="336"/>
      <c r="J58" s="359"/>
      <c r="M58" s="359"/>
      <c r="N58" s="359"/>
    </row>
    <row r="59" spans="2:14" x14ac:dyDescent="0.25">
      <c r="B59" s="331" t="s">
        <v>414</v>
      </c>
      <c r="C59" s="377"/>
      <c r="D59" s="377"/>
      <c r="E59" s="377"/>
      <c r="F59" s="377"/>
      <c r="G59" s="377"/>
      <c r="H59" s="378"/>
      <c r="I59" s="336"/>
      <c r="K59" s="337"/>
    </row>
    <row r="60" spans="2:14" x14ac:dyDescent="0.25">
      <c r="B60" s="332"/>
      <c r="C60" s="377"/>
      <c r="D60" s="377"/>
      <c r="E60" s="377"/>
      <c r="F60" s="377"/>
      <c r="G60" s="377"/>
      <c r="H60" s="378"/>
      <c r="I60" s="336"/>
      <c r="K60" s="337"/>
    </row>
    <row r="61" spans="2:14" ht="45" customHeight="1" x14ac:dyDescent="0.25">
      <c r="B61" s="338" t="s">
        <v>415</v>
      </c>
      <c r="C61" s="544" t="str">
        <f>IF(E91=0,"",IF(E88&gt;0,"Red",IF(E89&gt;0,"Amber","Green")))</f>
        <v/>
      </c>
      <c r="D61" s="836" t="s">
        <v>416</v>
      </c>
      <c r="E61" s="836"/>
      <c r="F61" s="836"/>
      <c r="G61" s="836"/>
      <c r="H61" s="837"/>
      <c r="I61" s="392"/>
      <c r="J61" s="337"/>
    </row>
    <row r="62" spans="2:14" x14ac:dyDescent="0.25">
      <c r="B62" s="379"/>
      <c r="C62" s="380"/>
      <c r="D62" s="381"/>
      <c r="E62" s="381"/>
      <c r="F62" s="377"/>
      <c r="G62" s="377"/>
      <c r="H62" s="378"/>
      <c r="I62" s="392"/>
      <c r="J62" s="337"/>
    </row>
    <row r="63" spans="2:14" x14ac:dyDescent="0.25">
      <c r="B63" s="332"/>
      <c r="C63" s="377"/>
      <c r="D63" s="377"/>
      <c r="E63" s="377"/>
      <c r="F63" s="377"/>
      <c r="G63" s="377"/>
      <c r="H63" s="378"/>
      <c r="I63" s="336"/>
    </row>
    <row r="64" spans="2:14" x14ac:dyDescent="0.25">
      <c r="B64" s="331" t="s">
        <v>417</v>
      </c>
      <c r="C64" s="377"/>
      <c r="D64" s="377"/>
      <c r="E64" s="377"/>
      <c r="F64" s="377"/>
      <c r="G64" s="377"/>
      <c r="H64" s="378"/>
      <c r="I64" s="336"/>
    </row>
    <row r="65" spans="2:9" ht="157.5" customHeight="1" x14ac:dyDescent="0.25">
      <c r="B65" s="838"/>
      <c r="C65" s="839"/>
      <c r="D65" s="839"/>
      <c r="E65" s="839"/>
      <c r="F65" s="839"/>
      <c r="G65" s="839"/>
      <c r="H65" s="840"/>
      <c r="I65" s="392" t="s">
        <v>418</v>
      </c>
    </row>
    <row r="66" spans="2:9" x14ac:dyDescent="0.25">
      <c r="B66" s="326"/>
      <c r="H66" s="327"/>
      <c r="I66" s="336"/>
    </row>
    <row r="67" spans="2:9" x14ac:dyDescent="0.25">
      <c r="B67" s="331" t="s">
        <v>419</v>
      </c>
      <c r="C67" s="336"/>
      <c r="D67" s="336"/>
      <c r="E67" s="336"/>
      <c r="F67" s="336"/>
      <c r="G67" s="336"/>
      <c r="H67" s="345"/>
      <c r="I67" s="336"/>
    </row>
    <row r="68" spans="2:9" ht="157.5" customHeight="1" x14ac:dyDescent="0.25">
      <c r="B68" s="841"/>
      <c r="C68" s="842"/>
      <c r="D68" s="842"/>
      <c r="E68" s="842"/>
      <c r="F68" s="842"/>
      <c r="G68" s="842"/>
      <c r="H68" s="843"/>
      <c r="I68" s="392" t="s">
        <v>420</v>
      </c>
    </row>
    <row r="69" spans="2:9" x14ac:dyDescent="0.25">
      <c r="B69" s="335"/>
      <c r="C69" s="336"/>
      <c r="D69" s="336"/>
      <c r="E69" s="336"/>
      <c r="F69" s="336"/>
      <c r="G69" s="336"/>
      <c r="H69" s="345"/>
      <c r="I69" s="382"/>
    </row>
    <row r="70" spans="2:9" x14ac:dyDescent="0.25">
      <c r="B70" s="331" t="s">
        <v>421</v>
      </c>
      <c r="C70" s="336"/>
      <c r="D70" s="336"/>
      <c r="E70" s="336"/>
      <c r="F70" s="336"/>
      <c r="G70" s="336"/>
      <c r="H70" s="345"/>
      <c r="I70" s="382"/>
    </row>
    <row r="71" spans="2:9" ht="51" customHeight="1" x14ac:dyDescent="0.25">
      <c r="B71" s="844" t="s">
        <v>422</v>
      </c>
      <c r="C71" s="845"/>
      <c r="D71" s="845"/>
      <c r="E71" s="845"/>
      <c r="F71" s="845"/>
      <c r="G71" s="845"/>
      <c r="H71" s="846"/>
      <c r="I71" s="382"/>
    </row>
    <row r="72" spans="2:9" x14ac:dyDescent="0.25">
      <c r="B72" s="335"/>
      <c r="C72" s="336"/>
      <c r="D72" s="336"/>
      <c r="E72" s="336"/>
      <c r="F72" s="336"/>
      <c r="G72" s="336"/>
      <c r="H72" s="345"/>
      <c r="I72" s="383"/>
    </row>
    <row r="73" spans="2:9" x14ac:dyDescent="0.25">
      <c r="B73" s="331" t="s">
        <v>423</v>
      </c>
      <c r="C73" s="336"/>
      <c r="D73" s="336"/>
      <c r="E73" s="336"/>
      <c r="F73" s="336"/>
      <c r="G73" s="336"/>
      <c r="H73" s="345"/>
      <c r="I73" s="383"/>
    </row>
    <row r="74" spans="2:9" x14ac:dyDescent="0.25">
      <c r="B74" s="335"/>
      <c r="C74" s="336"/>
      <c r="D74" s="336"/>
      <c r="E74" s="336"/>
      <c r="F74" s="336"/>
      <c r="G74" s="336"/>
      <c r="H74" s="345"/>
      <c r="I74" s="383"/>
    </row>
    <row r="75" spans="2:9" x14ac:dyDescent="0.25">
      <c r="B75" s="335" t="s">
        <v>424</v>
      </c>
      <c r="C75" s="831"/>
      <c r="D75" s="833"/>
      <c r="E75" s="384"/>
      <c r="F75" s="384"/>
      <c r="G75" s="336"/>
      <c r="H75" s="345"/>
      <c r="I75" s="383"/>
    </row>
    <row r="76" spans="2:9" x14ac:dyDescent="0.25">
      <c r="B76" s="335" t="s">
        <v>425</v>
      </c>
      <c r="C76" s="830"/>
      <c r="D76" s="830"/>
      <c r="E76" s="385" t="s">
        <v>426</v>
      </c>
      <c r="F76" s="386"/>
      <c r="G76" s="336"/>
      <c r="H76" s="345"/>
      <c r="I76" s="383"/>
    </row>
    <row r="77" spans="2:9" x14ac:dyDescent="0.25">
      <c r="B77" s="335" t="s">
        <v>427</v>
      </c>
      <c r="C77" s="831"/>
      <c r="D77" s="832"/>
      <c r="E77" s="832"/>
      <c r="F77" s="833"/>
      <c r="G77" s="336"/>
      <c r="H77" s="345"/>
      <c r="I77" s="383"/>
    </row>
    <row r="78" spans="2:9" x14ac:dyDescent="0.25">
      <c r="B78" s="335"/>
      <c r="C78" s="336"/>
      <c r="D78" s="336"/>
      <c r="E78" s="336"/>
      <c r="F78" s="336"/>
      <c r="G78" s="336"/>
      <c r="H78" s="345"/>
      <c r="I78" s="383"/>
    </row>
    <row r="79" spans="2:9" x14ac:dyDescent="0.25">
      <c r="B79" s="335" t="s">
        <v>350</v>
      </c>
      <c r="C79" s="336"/>
      <c r="D79" s="336"/>
      <c r="E79" s="336"/>
      <c r="F79" s="336"/>
      <c r="G79" s="336"/>
      <c r="H79" s="345"/>
      <c r="I79" s="383"/>
    </row>
    <row r="80" spans="2:9" x14ac:dyDescent="0.25">
      <c r="B80" s="335"/>
      <c r="C80" s="336"/>
      <c r="D80" s="336"/>
      <c r="E80" s="336"/>
      <c r="F80" s="336"/>
      <c r="G80" s="336"/>
      <c r="H80" s="345"/>
      <c r="I80" s="383"/>
    </row>
    <row r="81" spans="2:9" x14ac:dyDescent="0.25">
      <c r="B81" s="335" t="s">
        <v>428</v>
      </c>
      <c r="C81" s="831"/>
      <c r="D81" s="832"/>
      <c r="E81" s="832"/>
      <c r="F81" s="833"/>
      <c r="G81" s="336"/>
      <c r="H81" s="345"/>
      <c r="I81" s="383"/>
    </row>
    <row r="82" spans="2:9" x14ac:dyDescent="0.25">
      <c r="B82" s="335" t="s">
        <v>323</v>
      </c>
      <c r="C82" s="834"/>
      <c r="D82" s="835"/>
      <c r="E82" s="336"/>
      <c r="F82" s="336"/>
      <c r="G82" s="336"/>
      <c r="H82" s="345"/>
      <c r="I82" s="383"/>
    </row>
    <row r="83" spans="2:9" ht="16" thickBot="1" x14ac:dyDescent="0.3">
      <c r="B83" s="326"/>
      <c r="H83" s="387" t="str">
        <f ca="1">"© Salix "&amp;YEAR(NOW())</f>
        <v>© Salix 2023</v>
      </c>
    </row>
    <row r="84" spans="2:9" ht="16" thickBot="1" x14ac:dyDescent="0.3">
      <c r="B84" s="388"/>
      <c r="C84" s="389"/>
      <c r="D84" s="389"/>
      <c r="E84" s="389"/>
      <c r="F84" s="389"/>
      <c r="G84" s="389"/>
      <c r="H84" s="390"/>
    </row>
    <row r="86" spans="2:9" ht="16" hidden="1" thickBot="1" x14ac:dyDescent="0.3"/>
    <row r="87" spans="2:9" ht="16" hidden="1" thickBot="1" x14ac:dyDescent="0.35">
      <c r="B87" s="536"/>
      <c r="C87" s="536" t="s">
        <v>429</v>
      </c>
      <c r="D87" s="536" t="s">
        <v>430</v>
      </c>
      <c r="E87" s="537" t="s">
        <v>431</v>
      </c>
    </row>
    <row r="88" spans="2:9" hidden="1" x14ac:dyDescent="0.3">
      <c r="B88" s="538" t="s">
        <v>432</v>
      </c>
      <c r="C88" s="538">
        <v>1</v>
      </c>
      <c r="D88" s="538">
        <f>COUNTIF($B$14:$H$46,"Red")</f>
        <v>0</v>
      </c>
      <c r="E88" s="539">
        <f>C88*D88</f>
        <v>0</v>
      </c>
    </row>
    <row r="89" spans="2:9" hidden="1" x14ac:dyDescent="0.3">
      <c r="B89" s="540" t="s">
        <v>433</v>
      </c>
      <c r="C89" s="540">
        <v>2</v>
      </c>
      <c r="D89" s="540">
        <f>COUNTIF($B$14:$H$46,"Amber")</f>
        <v>0</v>
      </c>
      <c r="E89" s="539">
        <f t="shared" ref="E89:E90" si="0">C89*D89</f>
        <v>0</v>
      </c>
    </row>
    <row r="90" spans="2:9" hidden="1" x14ac:dyDescent="0.3">
      <c r="B90" s="538" t="s">
        <v>434</v>
      </c>
      <c r="C90" s="538">
        <v>3</v>
      </c>
      <c r="D90" s="538">
        <f>COUNTIF($B$14:$H$46,"Green")</f>
        <v>0</v>
      </c>
      <c r="E90" s="539">
        <f t="shared" si="0"/>
        <v>0</v>
      </c>
    </row>
    <row r="91" spans="2:9" ht="16" hidden="1" thickBot="1" x14ac:dyDescent="0.3">
      <c r="B91" s="541"/>
      <c r="C91" s="541"/>
      <c r="D91" s="542" t="s">
        <v>435</v>
      </c>
      <c r="E91" s="543">
        <f>SUM(E88:E90)</f>
        <v>0</v>
      </c>
    </row>
  </sheetData>
  <sheetProtection algorithmName="SHA-512" hashValue="fiipKT+qqTPhRQfgrWr1GVTeD5w4utsl0W3BfbNmgFy0e/1bk1FDzdV24RMyIlJa5nl893c6FOXWjtCw0RJiLw==" saltValue="DLqE/gWtslUSLdi8aPYvMQ==" spinCount="100000" sheet="1" formatRows="0"/>
  <mergeCells count="51">
    <mergeCell ref="C82:D82"/>
    <mergeCell ref="D61:H61"/>
    <mergeCell ref="B65:H65"/>
    <mergeCell ref="B68:H68"/>
    <mergeCell ref="B71:H71"/>
    <mergeCell ref="C75:D75"/>
    <mergeCell ref="D55:H55"/>
    <mergeCell ref="C76:D76"/>
    <mergeCell ref="C77:F77"/>
    <mergeCell ref="C81:F81"/>
    <mergeCell ref="D57:H57"/>
    <mergeCell ref="B52:B53"/>
    <mergeCell ref="C52:C53"/>
    <mergeCell ref="D52:H53"/>
    <mergeCell ref="I49:I50"/>
    <mergeCell ref="B45:H45"/>
    <mergeCell ref="D46:H46"/>
    <mergeCell ref="B49:B50"/>
    <mergeCell ref="C49:C50"/>
    <mergeCell ref="D49:H50"/>
    <mergeCell ref="I52:I53"/>
    <mergeCell ref="D44:H44"/>
    <mergeCell ref="B39:H39"/>
    <mergeCell ref="B41:H41"/>
    <mergeCell ref="D42:H42"/>
    <mergeCell ref="B43:H43"/>
    <mergeCell ref="D30:H30"/>
    <mergeCell ref="B30:C30"/>
    <mergeCell ref="B31:H31"/>
    <mergeCell ref="D32:H32"/>
    <mergeCell ref="D40:H40"/>
    <mergeCell ref="B33:H33"/>
    <mergeCell ref="D34:H34"/>
    <mergeCell ref="B35:H35"/>
    <mergeCell ref="D36:H36"/>
    <mergeCell ref="I29:I30"/>
    <mergeCell ref="I20:I21"/>
    <mergeCell ref="B5:H5"/>
    <mergeCell ref="C8:H8"/>
    <mergeCell ref="I8:I10"/>
    <mergeCell ref="C10:H10"/>
    <mergeCell ref="D14:H14"/>
    <mergeCell ref="I13:I14"/>
    <mergeCell ref="D16:H16"/>
    <mergeCell ref="D18:H18"/>
    <mergeCell ref="D29:H29"/>
    <mergeCell ref="D20:H20"/>
    <mergeCell ref="D22:H22"/>
    <mergeCell ref="D26:H26"/>
    <mergeCell ref="D27:H27"/>
    <mergeCell ref="D28:H28"/>
  </mergeCells>
  <conditionalFormatting sqref="C14">
    <cfRule type="containsText" dxfId="41" priority="13" operator="containsText" text="Green">
      <formula>NOT(ISERROR(SEARCH("Green",C14)))</formula>
    </cfRule>
    <cfRule type="containsText" dxfId="40" priority="14" operator="containsText" text="Amber">
      <formula>NOT(ISERROR(SEARCH("Amber",C14)))</formula>
    </cfRule>
  </conditionalFormatting>
  <conditionalFormatting sqref="C16">
    <cfRule type="containsText" dxfId="38" priority="67" operator="containsText" text="Green">
      <formula>NOT(ISERROR(SEARCH("Green",C16)))</formula>
    </cfRule>
    <cfRule type="containsText" dxfId="37" priority="68" operator="containsText" text="Amber">
      <formula>NOT(ISERROR(SEARCH("Amber",C16)))</formula>
    </cfRule>
  </conditionalFormatting>
  <conditionalFormatting sqref="C18">
    <cfRule type="containsText" dxfId="35" priority="10" operator="containsText" text="Green">
      <formula>NOT(ISERROR(SEARCH("Green",C18)))</formula>
    </cfRule>
    <cfRule type="containsText" dxfId="34" priority="11" operator="containsText" text="Amber">
      <formula>NOT(ISERROR(SEARCH("Amber",C18)))</formula>
    </cfRule>
  </conditionalFormatting>
  <conditionalFormatting sqref="C20">
    <cfRule type="containsText" dxfId="32" priority="61" operator="containsText" text="Green">
      <formula>NOT(ISERROR(SEARCH("Green",C20)))</formula>
    </cfRule>
    <cfRule type="containsText" dxfId="31" priority="62" operator="containsText" text="Amber">
      <formula>NOT(ISERROR(SEARCH("Amber",C20)))</formula>
    </cfRule>
  </conditionalFormatting>
  <conditionalFormatting sqref="C22">
    <cfRule type="containsText" dxfId="29" priority="7" operator="containsText" text="Green">
      <formula>NOT(ISERROR(SEARCH("Green",C22)))</formula>
    </cfRule>
    <cfRule type="containsText" dxfId="28" priority="8" operator="containsText" text="Amber">
      <formula>NOT(ISERROR(SEARCH("Amber",C22)))</formula>
    </cfRule>
  </conditionalFormatting>
  <conditionalFormatting sqref="C26:C29">
    <cfRule type="containsText" dxfId="26" priority="1" operator="containsText" text="Green">
      <formula>NOT(ISERROR(SEARCH("Green",C26)))</formula>
    </cfRule>
    <cfRule type="containsText" dxfId="25" priority="2" operator="containsText" text="Amber">
      <formula>NOT(ISERROR(SEARCH("Amber",C26)))</formula>
    </cfRule>
  </conditionalFormatting>
  <conditionalFormatting sqref="C32">
    <cfRule type="containsText" dxfId="23" priority="43" operator="containsText" text="Green">
      <formula>NOT(ISERROR(SEARCH("Green",C32)))</formula>
    </cfRule>
    <cfRule type="containsText" dxfId="22" priority="44" operator="containsText" text="Amber">
      <formula>NOT(ISERROR(SEARCH("Amber",C32)))</formula>
    </cfRule>
  </conditionalFormatting>
  <conditionalFormatting sqref="C34">
    <cfRule type="containsText" dxfId="20" priority="40" operator="containsText" text="Green">
      <formula>NOT(ISERROR(SEARCH("Green",C34)))</formula>
    </cfRule>
    <cfRule type="containsText" dxfId="19" priority="41" operator="containsText" text="Amber">
      <formula>NOT(ISERROR(SEARCH("Amber",C34)))</formula>
    </cfRule>
  </conditionalFormatting>
  <conditionalFormatting sqref="C36">
    <cfRule type="containsText" dxfId="17" priority="37" operator="containsText" text="Green">
      <formula>NOT(ISERROR(SEARCH("Green",C36)))</formula>
    </cfRule>
    <cfRule type="containsText" dxfId="16" priority="38" operator="containsText" text="Amber">
      <formula>NOT(ISERROR(SEARCH("Amber",C36)))</formula>
    </cfRule>
  </conditionalFormatting>
  <conditionalFormatting sqref="C40">
    <cfRule type="containsText" dxfId="14" priority="34" operator="containsText" text="Green">
      <formula>NOT(ISERROR(SEARCH("Green",C40)))</formula>
    </cfRule>
    <cfRule type="containsText" dxfId="13" priority="35" operator="containsText" text="Amber">
      <formula>NOT(ISERROR(SEARCH("Amber",C40)))</formula>
    </cfRule>
  </conditionalFormatting>
  <conditionalFormatting sqref="C42">
    <cfRule type="containsText" dxfId="11" priority="31" operator="containsText" text="Green">
      <formula>NOT(ISERROR(SEARCH("Green",C42)))</formula>
    </cfRule>
    <cfRule type="containsText" dxfId="10" priority="32" operator="containsText" text="Amber">
      <formula>NOT(ISERROR(SEARCH("Amber",C42)))</formula>
    </cfRule>
  </conditionalFormatting>
  <conditionalFormatting sqref="C44">
    <cfRule type="containsText" dxfId="8" priority="28" operator="containsText" text="Green">
      <formula>NOT(ISERROR(SEARCH("Green",C44)))</formula>
    </cfRule>
    <cfRule type="containsText" dxfId="7" priority="29" operator="containsText" text="Amber">
      <formula>NOT(ISERROR(SEARCH("Amber",C44)))</formula>
    </cfRule>
  </conditionalFormatting>
  <conditionalFormatting sqref="C46">
    <cfRule type="containsText" dxfId="5" priority="25" operator="containsText" text="Green">
      <formula>NOT(ISERROR(SEARCH("Green",C46)))</formula>
    </cfRule>
    <cfRule type="containsText" dxfId="4" priority="26" operator="containsText" text="Amber">
      <formula>NOT(ISERROR(SEARCH("Amber",C46)))</formula>
    </cfRule>
  </conditionalFormatting>
  <conditionalFormatting sqref="C61:C62">
    <cfRule type="containsText" dxfId="2" priority="70" operator="containsText" text="Green">
      <formula>NOT(ISERROR(SEARCH("Green",C61)))</formula>
    </cfRule>
    <cfRule type="containsText" dxfId="1" priority="71" operator="containsText" text="Amber">
      <formula>NOT(ISERROR(SEARCH("Amber",C61)))</formula>
    </cfRule>
  </conditionalFormatting>
  <dataValidations count="5">
    <dataValidation type="whole" allowBlank="1" showInputMessage="1" showErrorMessage="1" errorTitle="Entry out of range" sqref="C15" xr:uid="{24C74605-14EC-4461-B15E-F5E3C375D70C}">
      <formula1>0</formula1>
      <formula2>15</formula2>
    </dataValidation>
    <dataValidation type="whole" allowBlank="1" showInputMessage="1" showErrorMessage="1" sqref="C17" xr:uid="{D20CA86E-FBC7-4838-9978-69595B04DB88}">
      <formula1>0</formula1>
      <formula2>15</formula2>
    </dataValidation>
    <dataValidation type="whole" allowBlank="1" showInputMessage="1" showErrorMessage="1" sqref="C19" xr:uid="{91721DC4-3212-4809-B696-EB558CECDD17}">
      <formula1>0</formula1>
      <formula2>10</formula2>
    </dataValidation>
    <dataValidation type="whole" allowBlank="1" showInputMessage="1" showErrorMessage="1" sqref="C21" xr:uid="{1987F63A-C2D7-4832-BBFA-222A775FF1BB}">
      <formula1>0</formula1>
      <formula2>25</formula2>
    </dataValidation>
    <dataValidation type="list" allowBlank="1" showInputMessage="1" showErrorMessage="1" errorTitle="Entry out of range" sqref="C14 C16 C18 C20 C22 C26:C29 C32 C34 C36 C40 C42 C44 C46" xr:uid="{7B4FD07D-3EAA-45E5-8148-FB79311337B0}">
      <formula1>$B$88:$B$90</formula1>
    </dataValidation>
  </dataValidations>
  <pageMargins left="0.7" right="0.7" top="0.75" bottom="0.75" header="0.3" footer="0.3"/>
  <pageSetup paperSize="9" scale="41" orientation="portrait" horizontalDpi="4294967294" r:id="rId1"/>
  <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23E102DF-B2AE-447B-96C0-2B189A152BA7}">
            <xm:f>NOT(ISERROR(SEARCH("Red",C14)))</xm:f>
            <xm:f>"Red"</xm:f>
            <x14:dxf>
              <font>
                <color rgb="FFFF0000"/>
              </font>
              <fill>
                <patternFill>
                  <bgColor rgb="FFFF0000"/>
                </patternFill>
              </fill>
            </x14:dxf>
          </x14:cfRule>
          <xm:sqref>C14</xm:sqref>
        </x14:conditionalFormatting>
        <x14:conditionalFormatting xmlns:xm="http://schemas.microsoft.com/office/excel/2006/main">
          <x14:cfRule type="containsText" priority="69" operator="containsText" id="{B348F277-7148-409A-A0E1-68E592A2B110}">
            <xm:f>NOT(ISERROR(SEARCH("Red",C16)))</xm:f>
            <xm:f>"Red"</xm:f>
            <x14:dxf>
              <font>
                <color rgb="FFFF0000"/>
              </font>
              <fill>
                <patternFill>
                  <bgColor rgb="FFFF0000"/>
                </patternFill>
              </fill>
            </x14:dxf>
          </x14:cfRule>
          <xm:sqref>C16</xm:sqref>
        </x14:conditionalFormatting>
        <x14:conditionalFormatting xmlns:xm="http://schemas.microsoft.com/office/excel/2006/main">
          <x14:cfRule type="containsText" priority="12" operator="containsText" id="{50AF4278-E78E-4C72-9BCA-2106AFAF2998}">
            <xm:f>NOT(ISERROR(SEARCH("Red",C18)))</xm:f>
            <xm:f>"Red"</xm:f>
            <x14:dxf>
              <font>
                <color rgb="FFFF0000"/>
              </font>
              <fill>
                <patternFill>
                  <bgColor rgb="FFFF0000"/>
                </patternFill>
              </fill>
            </x14:dxf>
          </x14:cfRule>
          <xm:sqref>C18</xm:sqref>
        </x14:conditionalFormatting>
        <x14:conditionalFormatting xmlns:xm="http://schemas.microsoft.com/office/excel/2006/main">
          <x14:cfRule type="containsText" priority="63" operator="containsText" id="{029BB3F4-68B3-46C7-AD31-0E5A230A06AE}">
            <xm:f>NOT(ISERROR(SEARCH("Red",C20)))</xm:f>
            <xm:f>"Red"</xm:f>
            <x14:dxf>
              <font>
                <color rgb="FFFF0000"/>
              </font>
              <fill>
                <patternFill>
                  <bgColor rgb="FFFF0000"/>
                </patternFill>
              </fill>
            </x14:dxf>
          </x14:cfRule>
          <xm:sqref>C20</xm:sqref>
        </x14:conditionalFormatting>
        <x14:conditionalFormatting xmlns:xm="http://schemas.microsoft.com/office/excel/2006/main">
          <x14:cfRule type="containsText" priority="9" operator="containsText" id="{F6176365-1AA6-4D02-8CFB-C55CFAA5D42E}">
            <xm:f>NOT(ISERROR(SEARCH("Red",C22)))</xm:f>
            <xm:f>"Red"</xm:f>
            <x14:dxf>
              <font>
                <color rgb="FFFF0000"/>
              </font>
              <fill>
                <patternFill>
                  <bgColor rgb="FFFF0000"/>
                </patternFill>
              </fill>
            </x14:dxf>
          </x14:cfRule>
          <xm:sqref>C22</xm:sqref>
        </x14:conditionalFormatting>
        <x14:conditionalFormatting xmlns:xm="http://schemas.microsoft.com/office/excel/2006/main">
          <x14:cfRule type="containsText" priority="3" operator="containsText" id="{5FC3F83D-8357-4B2E-BBAD-123ED4732D39}">
            <xm:f>NOT(ISERROR(SEARCH("Red",C26)))</xm:f>
            <xm:f>"Red"</xm:f>
            <x14:dxf>
              <font>
                <color rgb="FFFF0000"/>
              </font>
              <fill>
                <patternFill>
                  <bgColor rgb="FFFF0000"/>
                </patternFill>
              </fill>
            </x14:dxf>
          </x14:cfRule>
          <xm:sqref>C26:C29</xm:sqref>
        </x14:conditionalFormatting>
        <x14:conditionalFormatting xmlns:xm="http://schemas.microsoft.com/office/excel/2006/main">
          <x14:cfRule type="containsText" priority="45" operator="containsText" id="{CE72EB3D-E4F8-4C59-A084-85656058F900}">
            <xm:f>NOT(ISERROR(SEARCH("Red",C32)))</xm:f>
            <xm:f>"Red"</xm:f>
            <x14:dxf>
              <font>
                <color rgb="FFFF0000"/>
              </font>
              <fill>
                <patternFill>
                  <bgColor rgb="FFFF0000"/>
                </patternFill>
              </fill>
            </x14:dxf>
          </x14:cfRule>
          <xm:sqref>C32</xm:sqref>
        </x14:conditionalFormatting>
        <x14:conditionalFormatting xmlns:xm="http://schemas.microsoft.com/office/excel/2006/main">
          <x14:cfRule type="containsText" priority="42" operator="containsText" id="{99B645CC-3237-4AD8-937A-F21DDE67E8B8}">
            <xm:f>NOT(ISERROR(SEARCH("Red",C34)))</xm:f>
            <xm:f>"Red"</xm:f>
            <x14:dxf>
              <font>
                <color rgb="FFFF0000"/>
              </font>
              <fill>
                <patternFill>
                  <bgColor rgb="FFFF0000"/>
                </patternFill>
              </fill>
            </x14:dxf>
          </x14:cfRule>
          <xm:sqref>C34</xm:sqref>
        </x14:conditionalFormatting>
        <x14:conditionalFormatting xmlns:xm="http://schemas.microsoft.com/office/excel/2006/main">
          <x14:cfRule type="containsText" priority="39" operator="containsText" id="{8C135DCA-2E6C-465C-978C-5237CED52864}">
            <xm:f>NOT(ISERROR(SEARCH("Red",C36)))</xm:f>
            <xm:f>"Red"</xm:f>
            <x14:dxf>
              <font>
                <color rgb="FFFF0000"/>
              </font>
              <fill>
                <patternFill>
                  <bgColor rgb="FFFF0000"/>
                </patternFill>
              </fill>
            </x14:dxf>
          </x14:cfRule>
          <xm:sqref>C36</xm:sqref>
        </x14:conditionalFormatting>
        <x14:conditionalFormatting xmlns:xm="http://schemas.microsoft.com/office/excel/2006/main">
          <x14:cfRule type="containsText" priority="36" operator="containsText" id="{6DEEE6BE-921F-43FB-B6E5-8E84C9DEA3F6}">
            <xm:f>NOT(ISERROR(SEARCH("Red",C40)))</xm:f>
            <xm:f>"Red"</xm:f>
            <x14:dxf>
              <font>
                <color rgb="FFFF0000"/>
              </font>
              <fill>
                <patternFill>
                  <bgColor rgb="FFFF0000"/>
                </patternFill>
              </fill>
            </x14:dxf>
          </x14:cfRule>
          <xm:sqref>C40</xm:sqref>
        </x14:conditionalFormatting>
        <x14:conditionalFormatting xmlns:xm="http://schemas.microsoft.com/office/excel/2006/main">
          <x14:cfRule type="containsText" priority="33" operator="containsText" id="{54BC18A5-E6BD-423B-84F8-9591C320C662}">
            <xm:f>NOT(ISERROR(SEARCH("Red",C42)))</xm:f>
            <xm:f>"Red"</xm:f>
            <x14:dxf>
              <font>
                <color rgb="FFFF0000"/>
              </font>
              <fill>
                <patternFill>
                  <bgColor rgb="FFFF0000"/>
                </patternFill>
              </fill>
            </x14:dxf>
          </x14:cfRule>
          <xm:sqref>C42</xm:sqref>
        </x14:conditionalFormatting>
        <x14:conditionalFormatting xmlns:xm="http://schemas.microsoft.com/office/excel/2006/main">
          <x14:cfRule type="containsText" priority="30" operator="containsText" id="{1D940FAA-934C-4798-A89D-A692848342A3}">
            <xm:f>NOT(ISERROR(SEARCH("Red",C44)))</xm:f>
            <xm:f>"Red"</xm:f>
            <x14:dxf>
              <font>
                <color rgb="FFFF0000"/>
              </font>
              <fill>
                <patternFill>
                  <bgColor rgb="FFFF0000"/>
                </patternFill>
              </fill>
            </x14:dxf>
          </x14:cfRule>
          <xm:sqref>C44</xm:sqref>
        </x14:conditionalFormatting>
        <x14:conditionalFormatting xmlns:xm="http://schemas.microsoft.com/office/excel/2006/main">
          <x14:cfRule type="containsText" priority="27" operator="containsText" id="{E0370033-FD18-40BF-84ED-D0972F1592A9}">
            <xm:f>NOT(ISERROR(SEARCH("Red",C46)))</xm:f>
            <xm:f>"Red"</xm:f>
            <x14:dxf>
              <font>
                <color rgb="FFFF0000"/>
              </font>
              <fill>
                <patternFill>
                  <bgColor rgb="FFFF0000"/>
                </patternFill>
              </fill>
            </x14:dxf>
          </x14:cfRule>
          <xm:sqref>C46</xm:sqref>
        </x14:conditionalFormatting>
        <x14:conditionalFormatting xmlns:xm="http://schemas.microsoft.com/office/excel/2006/main">
          <x14:cfRule type="containsText" priority="72" operator="containsText" id="{6F1BF434-CA43-4FC2-B044-8E956DEE2FE1}">
            <xm:f>NOT(ISERROR(SEARCH("Red",C61)))</xm:f>
            <xm:f>"Red"</xm:f>
            <x14:dxf>
              <font>
                <color rgb="FFFF0000"/>
              </font>
              <fill>
                <patternFill>
                  <bgColor rgb="FFFF0000"/>
                </patternFill>
              </fill>
            </x14:dxf>
          </x14:cfRule>
          <xm:sqref>C61:C62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2DAE76"/>
    <pageSetUpPr fitToPage="1"/>
  </sheetPr>
  <dimension ref="B1:AR45"/>
  <sheetViews>
    <sheetView showGridLines="0" showRowColHeaders="0" zoomScale="115" zoomScaleNormal="115" workbookViewId="0">
      <selection activeCell="P32" sqref="P32"/>
    </sheetView>
  </sheetViews>
  <sheetFormatPr defaultColWidth="9.1796875" defaultRowHeight="16" x14ac:dyDescent="0.5"/>
  <cols>
    <col min="1" max="16384" width="9.1796875" style="3"/>
  </cols>
  <sheetData>
    <row r="1" spans="2:12" ht="16.5" thickBot="1" x14ac:dyDescent="0.55000000000000004"/>
    <row r="2" spans="2:12" ht="54.75" customHeight="1" thickBot="1" x14ac:dyDescent="0.55000000000000004">
      <c r="B2" s="316" t="s">
        <v>310</v>
      </c>
      <c r="C2" s="317"/>
      <c r="D2" s="317"/>
      <c r="E2" s="317"/>
      <c r="F2" s="317"/>
      <c r="G2" s="317"/>
      <c r="H2" s="317"/>
      <c r="I2" s="317"/>
      <c r="J2" s="317"/>
      <c r="K2" s="317"/>
      <c r="L2" s="318"/>
    </row>
    <row r="3" spans="2:12" ht="12.75" customHeight="1" x14ac:dyDescent="0.5">
      <c r="B3" s="847" t="s">
        <v>311</v>
      </c>
      <c r="C3" s="848"/>
      <c r="D3" s="848"/>
      <c r="E3" s="848"/>
      <c r="F3" s="848"/>
      <c r="G3" s="848"/>
      <c r="H3" s="848"/>
      <c r="I3" s="848"/>
      <c r="J3" s="848"/>
      <c r="K3" s="848"/>
      <c r="L3" s="849"/>
    </row>
    <row r="4" spans="2:12" x14ac:dyDescent="0.5">
      <c r="B4" s="847"/>
      <c r="C4" s="848"/>
      <c r="D4" s="848"/>
      <c r="E4" s="848"/>
      <c r="F4" s="848"/>
      <c r="G4" s="848"/>
      <c r="H4" s="848"/>
      <c r="I4" s="848"/>
      <c r="J4" s="848"/>
      <c r="K4" s="848"/>
      <c r="L4" s="849"/>
    </row>
    <row r="5" spans="2:12" x14ac:dyDescent="0.5">
      <c r="B5" s="847"/>
      <c r="C5" s="848"/>
      <c r="D5" s="848"/>
      <c r="E5" s="848"/>
      <c r="F5" s="848"/>
      <c r="G5" s="848"/>
      <c r="H5" s="848"/>
      <c r="I5" s="848"/>
      <c r="J5" s="848"/>
      <c r="K5" s="848"/>
      <c r="L5" s="849"/>
    </row>
    <row r="6" spans="2:12" ht="30.75" customHeight="1" x14ac:dyDescent="0.5">
      <c r="B6" s="847"/>
      <c r="C6" s="848"/>
      <c r="D6" s="848"/>
      <c r="E6" s="848"/>
      <c r="F6" s="848"/>
      <c r="G6" s="848"/>
      <c r="H6" s="848"/>
      <c r="I6" s="848"/>
      <c r="J6" s="848"/>
      <c r="K6" s="848"/>
      <c r="L6" s="849"/>
    </row>
    <row r="7" spans="2:12" ht="133.5" customHeight="1" thickBot="1" x14ac:dyDescent="0.55000000000000004">
      <c r="B7" s="850"/>
      <c r="C7" s="851"/>
      <c r="D7" s="851"/>
      <c r="E7" s="851"/>
      <c r="F7" s="851"/>
      <c r="G7" s="851"/>
      <c r="H7" s="851"/>
      <c r="I7" s="851"/>
      <c r="J7" s="851"/>
      <c r="K7" s="851"/>
      <c r="L7" s="852"/>
    </row>
    <row r="8" spans="2:12" s="4" customFormat="1" ht="13.5" customHeight="1" thickBot="1" x14ac:dyDescent="0.3">
      <c r="B8" s="853"/>
      <c r="C8" s="854"/>
      <c r="D8" s="854"/>
      <c r="E8" s="854"/>
      <c r="F8" s="854"/>
      <c r="G8" s="854"/>
      <c r="H8" s="854"/>
      <c r="I8" s="854"/>
      <c r="J8" s="854"/>
      <c r="K8" s="854"/>
      <c r="L8" s="855"/>
    </row>
    <row r="9" spans="2:12" x14ac:dyDescent="0.5">
      <c r="B9" s="252"/>
    </row>
    <row r="10" spans="2:12" s="4" customFormat="1" ht="13.5" customHeight="1" x14ac:dyDescent="0.25"/>
    <row r="11" spans="2:12" s="4" customFormat="1" ht="19.5" customHeight="1" x14ac:dyDescent="0.25">
      <c r="B11" s="248"/>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SrBnH3Nqd4cDNPPWCKFLrnmupi5jk2A4NmqTmHq5w3YQZiZWh1gMLZAZ+yVmTJ7KY/5dLI05dwSv8FbXK9Tr4g==" saltValue="lqY4CXSHaxqBfBwasoLX+Q==" spinCount="100000" sheet="1" selectLockedCells="1" selectUnlockedCells="1"/>
  <mergeCells count="2">
    <mergeCell ref="B3:L7"/>
    <mergeCell ref="B8:L8"/>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DAE76"/>
    <pageSetUpPr fitToPage="1"/>
  </sheetPr>
  <dimension ref="B1:AR45"/>
  <sheetViews>
    <sheetView showGridLines="0" showRowColHeaders="0" zoomScale="115" zoomScaleNormal="115" workbookViewId="0">
      <selection activeCell="N2" sqref="N2"/>
    </sheetView>
  </sheetViews>
  <sheetFormatPr defaultColWidth="9.1796875" defaultRowHeight="16" x14ac:dyDescent="0.5"/>
  <cols>
    <col min="1" max="1" width="3.81640625" style="3" customWidth="1"/>
    <col min="2" max="16384" width="9.1796875" style="3"/>
  </cols>
  <sheetData>
    <row r="1" spans="2:12" ht="16.5" thickBot="1" x14ac:dyDescent="0.55000000000000004"/>
    <row r="2" spans="2:12" ht="54.75" customHeight="1" thickBot="1" x14ac:dyDescent="0.55000000000000004">
      <c r="B2" s="319" t="s">
        <v>312</v>
      </c>
      <c r="C2" s="314"/>
      <c r="D2" s="314"/>
      <c r="E2" s="314"/>
      <c r="F2" s="314"/>
      <c r="G2" s="314"/>
      <c r="H2" s="314"/>
      <c r="I2" s="314"/>
      <c r="J2" s="314"/>
      <c r="K2" s="314"/>
      <c r="L2" s="315"/>
    </row>
    <row r="3" spans="2:12" ht="71.25" customHeight="1" x14ac:dyDescent="0.5">
      <c r="B3" s="856" t="s">
        <v>313</v>
      </c>
      <c r="C3" s="857"/>
      <c r="D3" s="848" t="s">
        <v>314</v>
      </c>
      <c r="E3" s="848"/>
      <c r="F3" s="848"/>
      <c r="G3" s="848"/>
      <c r="H3" s="848"/>
      <c r="I3" s="848"/>
      <c r="J3" s="848"/>
      <c r="K3" s="848"/>
      <c r="L3" s="849"/>
    </row>
    <row r="4" spans="2:12" ht="71.25" customHeight="1" x14ac:dyDescent="0.5">
      <c r="B4" s="858" t="s">
        <v>315</v>
      </c>
      <c r="C4" s="859"/>
      <c r="D4" s="860" t="s">
        <v>316</v>
      </c>
      <c r="E4" s="860"/>
      <c r="F4" s="860"/>
      <c r="G4" s="860"/>
      <c r="H4" s="860"/>
      <c r="I4" s="860"/>
      <c r="J4" s="860"/>
      <c r="K4" s="860"/>
      <c r="L4" s="861"/>
    </row>
    <row r="5" spans="2:12" ht="71.25" customHeight="1" x14ac:dyDescent="0.5">
      <c r="B5" s="858" t="s">
        <v>317</v>
      </c>
      <c r="C5" s="859"/>
      <c r="D5" s="860" t="s">
        <v>318</v>
      </c>
      <c r="E5" s="860"/>
      <c r="F5" s="860"/>
      <c r="G5" s="860"/>
      <c r="H5" s="860"/>
      <c r="I5" s="860"/>
      <c r="J5" s="860"/>
      <c r="K5" s="860"/>
      <c r="L5" s="861"/>
    </row>
    <row r="6" spans="2:12" ht="71.25" customHeight="1" x14ac:dyDescent="0.5">
      <c r="B6" s="858" t="s">
        <v>319</v>
      </c>
      <c r="C6" s="859"/>
      <c r="D6" s="860" t="s">
        <v>320</v>
      </c>
      <c r="E6" s="860"/>
      <c r="F6" s="860"/>
      <c r="G6" s="860"/>
      <c r="H6" s="860"/>
      <c r="I6" s="860"/>
      <c r="J6" s="860"/>
      <c r="K6" s="860"/>
      <c r="L6" s="861"/>
    </row>
    <row r="7" spans="2:12" ht="71.25" customHeight="1" thickBot="1" x14ac:dyDescent="0.55000000000000004">
      <c r="B7" s="862" t="s">
        <v>321</v>
      </c>
      <c r="C7" s="863"/>
      <c r="D7" s="851" t="s">
        <v>322</v>
      </c>
      <c r="E7" s="851"/>
      <c r="F7" s="851"/>
      <c r="G7" s="851"/>
      <c r="H7" s="851"/>
      <c r="I7" s="851"/>
      <c r="J7" s="851"/>
      <c r="K7" s="851"/>
      <c r="L7" s="852"/>
    </row>
    <row r="8" spans="2:12" s="4" customFormat="1" ht="13.5" customHeight="1" thickBot="1" x14ac:dyDescent="0.3">
      <c r="B8" s="249"/>
      <c r="C8" s="250"/>
      <c r="D8" s="250"/>
      <c r="E8" s="250"/>
      <c r="F8" s="250"/>
      <c r="G8" s="250"/>
      <c r="H8" s="250"/>
      <c r="I8" s="250"/>
      <c r="J8" s="250"/>
      <c r="K8" s="250"/>
      <c r="L8" s="251"/>
    </row>
    <row r="10" spans="2:12" s="4" customFormat="1" ht="13.5" customHeight="1" x14ac:dyDescent="0.25"/>
    <row r="11" spans="2:12" s="4" customFormat="1" ht="19.5" customHeight="1" x14ac:dyDescent="0.25">
      <c r="B11" s="248"/>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p9C/1C7kfUsXxaE74dYlC+uidx535EmjHG+2AbIeS1JSU/dxwOz85+VYaW4/zSlZpDVOAgmSn0t5bTMr2i9xng==" saltValue="dvgOUwqsedLZodOJY5Y/5w==" spinCount="100000" sheet="1" selectLockedCells="1" selectUnlockedCells="1"/>
  <mergeCells count="10">
    <mergeCell ref="D3:L3"/>
    <mergeCell ref="B3:C3"/>
    <mergeCell ref="B6:C6"/>
    <mergeCell ref="D6:L6"/>
    <mergeCell ref="B7:C7"/>
    <mergeCell ref="D7:L7"/>
    <mergeCell ref="B5:C5"/>
    <mergeCell ref="D5:L5"/>
    <mergeCell ref="B4:C4"/>
    <mergeCell ref="D4:L4"/>
  </mergeCells>
  <pageMargins left="0.70866141732283472" right="0.70866141732283472" top="0.74803149606299213" bottom="0.74803149606299213" header="0.31496062992125984" footer="0.31496062992125984"/>
  <pageSetup paperSize="9"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8" ma:contentTypeDescription="Create a new document." ma:contentTypeScope="" ma:versionID="180111ad0ecf692e3463bfef3335ed6d">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6f2b135cf1d4f0ffcb9ab331a08d1b5d"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95DF9-7D38-434A-BE17-31AE48FEAC77}">
  <ds:schemaRefs>
    <ds:schemaRef ds:uri="http://www.w3.org/XML/1998/namespace"/>
    <ds:schemaRef ds:uri="http://schemas.openxmlformats.org/package/2006/metadata/core-properties"/>
    <ds:schemaRef ds:uri="http://purl.org/dc/dcmitype/"/>
    <ds:schemaRef ds:uri="35b6a7de-9e1a-4b3d-8e58-e2a3da2946eb"/>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96adaec6-6188-43bf-aec5-291c802dcb1b"/>
    <ds:schemaRef ds:uri="8db9bdd8-629b-441c-9eb6-e46a2e9dae03"/>
  </ds:schemaRefs>
</ds:datastoreItem>
</file>

<file path=customXml/itemProps2.xml><?xml version="1.0" encoding="utf-8"?>
<ds:datastoreItem xmlns:ds="http://schemas.openxmlformats.org/officeDocument/2006/customXml" ds:itemID="{FAA57CAA-3A4F-47BC-983E-3393C2670588}">
  <ds:schemaRefs>
    <ds:schemaRef ds:uri="http://schemas.microsoft.com/sharepoint/v3/contenttype/forms"/>
  </ds:schemaRefs>
</ds:datastoreItem>
</file>

<file path=customXml/itemProps3.xml><?xml version="1.0" encoding="utf-8"?>
<ds:datastoreItem xmlns:ds="http://schemas.openxmlformats.org/officeDocument/2006/customXml" ds:itemID="{2DE9998D-E465-4B5F-B938-6FE8EA63B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47</vt:i4>
      </vt:variant>
    </vt:vector>
  </HeadingPairs>
  <TitlesOfParts>
    <vt:vector size="58" baseType="lpstr">
      <vt:lpstr>Terms and Conditions</vt:lpstr>
      <vt:lpstr>Guidance Notes</vt:lpstr>
      <vt:lpstr>Project Compliance Tool</vt:lpstr>
      <vt:lpstr>Business Case</vt:lpstr>
      <vt:lpstr>Eligible Technologies</vt:lpstr>
      <vt:lpstr>Assessment Form</vt:lpstr>
      <vt:lpstr>Additionality Criteria</vt:lpstr>
      <vt:lpstr>Definitions</vt:lpstr>
      <vt:lpstr>Revision History</vt:lpstr>
      <vt:lpstr>Extra look-up</vt:lpstr>
      <vt:lpstr>PETREAD</vt:lpstr>
      <vt:lpstr>Blank</vt:lpstr>
      <vt:lpstr>'Eligible Technologies'!BMS</vt:lpstr>
      <vt:lpstr>BMS</vt:lpstr>
      <vt:lpstr>CO2_factors</vt:lpstr>
      <vt:lpstr>Cooling</vt:lpstr>
      <vt:lpstr>EfW</vt:lpstr>
      <vt:lpstr>Emergency_Services</vt:lpstr>
      <vt:lpstr>Energy_Types</vt:lpstr>
      <vt:lpstr>Further_Education_Institute</vt:lpstr>
      <vt:lpstr>Heating</vt:lpstr>
      <vt:lpstr>Higher_Education_Institute</vt:lpstr>
      <vt:lpstr>Hot_water</vt:lpstr>
      <vt:lpstr>Insulation_building_fabric</vt:lpstr>
      <vt:lpstr>Insulation_draught_proofing</vt:lpstr>
      <vt:lpstr>Insulation_other</vt:lpstr>
      <vt:lpstr>Insulation_pipework</vt:lpstr>
      <vt:lpstr>LCH</vt:lpstr>
      <vt:lpstr>LEDs</vt:lpstr>
      <vt:lpstr>Lighting_controls</vt:lpstr>
      <vt:lpstr>Local_Authority</vt:lpstr>
      <vt:lpstr>Motor_controls</vt:lpstr>
      <vt:lpstr>Motor_replacement</vt:lpstr>
      <vt:lpstr>NHS</vt:lpstr>
      <vt:lpstr>Primary_School</vt:lpstr>
      <vt:lpstr>'Additionality Criteria'!Print_Area</vt:lpstr>
      <vt:lpstr>'Assessment Form'!Print_Area</vt:lpstr>
      <vt:lpstr>'Business Case'!Print_Area</vt:lpstr>
      <vt:lpstr>Definitions!Print_Area</vt:lpstr>
      <vt:lpstr>'Eligible Technologies'!Print_Area</vt:lpstr>
      <vt:lpstr>'Guidance Notes'!Print_Area</vt:lpstr>
      <vt:lpstr>'Revision History'!Print_Area</vt:lpstr>
      <vt:lpstr>'Terms and Conditions'!Print_Area</vt:lpstr>
      <vt:lpstr>Project_type</vt:lpstr>
      <vt:lpstr>Recycling_Fund_England</vt:lpstr>
      <vt:lpstr>Recycling_Fund_England_HEI</vt:lpstr>
      <vt:lpstr>Recycling_Fund_Scotland</vt:lpstr>
      <vt:lpstr>Recycling_Fund_Wales</vt:lpstr>
      <vt:lpstr>Renewables</vt:lpstr>
      <vt:lpstr>Salix_Decarbonisation_Fund</vt:lpstr>
      <vt:lpstr>Secondary_School</vt:lpstr>
      <vt:lpstr>SEELS_England</vt:lpstr>
      <vt:lpstr>SEELS_Schools</vt:lpstr>
      <vt:lpstr>SEELS_Scotland</vt:lpstr>
      <vt:lpstr>SEELS_Wales</vt:lpstr>
      <vt:lpstr>Time_switches</vt:lpstr>
      <vt:lpstr>Ventilation</vt:lpstr>
      <vt:lpstr>Work_types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dc:creator>
  <cp:keywords/>
  <dc:description/>
  <cp:lastModifiedBy>Sebastian Lunt</cp:lastModifiedBy>
  <cp:revision/>
  <dcterms:created xsi:type="dcterms:W3CDTF">2008-09-24T10:06:48Z</dcterms:created>
  <dcterms:modified xsi:type="dcterms:W3CDTF">2023-09-18T08:27:18Z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