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tables/table1.xml" ContentType="application/vnd.openxmlformats-officedocument.spreadsheetml.table+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7.xml" ContentType="application/vnd.openxmlformats-officedocument.drawing+xml"/>
  <Override PartName="/xl/printerSettings/printerSettings9.bin" ContentType="application/vnd.openxmlformats-officedocument.spreadsheetml.printerSettings"/>
  <Override PartName="/xl/drawings/drawing8.xml" ContentType="application/vnd.openxmlformats-officedocument.drawing+xml"/>
  <Override PartName="/xl/printerSettings/printerSettings10.bin" ContentType="application/vnd.openxmlformats-officedocument.spreadsheetml.printerSettings"/>
  <Override PartName="/xl/drawings/drawing9.xml" ContentType="application/vnd.openxmlformats-officedocument.drawing+xml"/>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salix365.sharepoint.com/Tec/Docs/ZE. Loan Schemes/K. Project Compliance tools &amp; Business case template/1. Project compliance tools/Wales V38/"/>
    </mc:Choice>
  </mc:AlternateContent>
  <xr:revisionPtr revIDLastSave="3" documentId="8_{433D6889-A33D-4A36-8E4F-8AD40AFA2A8E}" xr6:coauthVersionLast="47" xr6:coauthVersionMax="47" xr10:uidLastSave="{9756C783-B9A0-4D0E-81F6-2313CCC5A3B3}"/>
  <bookViews>
    <workbookView xWindow="-110" yWindow="-110" windowWidth="19420" windowHeight="10420" tabRatio="872" firstSheet="1" activeTab="1"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Loan Amortisation" sheetId="36" r:id="rId6"/>
    <sheet name="Eligible Technologies" sheetId="35" r:id="rId7"/>
    <sheet name="Extra look-up" sheetId="11" state="hidden" r:id="rId8"/>
    <sheet name="Assessment Form" sheetId="32" state="hidden" r:id="rId9"/>
    <sheet name="Additionality Criteria" sheetId="19" r:id="rId10"/>
    <sheet name="Definitions" sheetId="21" r:id="rId11"/>
    <sheet name="Revision History" sheetId="7" state="hidden" r:id="rId12"/>
    <sheet name="PETREAD" sheetId="23"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'Eligible Technologies'!$C$6:$G$69</definedName>
    <definedName name="_xlnm._FilterDatabase" localSheetId="12" hidden="1">PETREAD!$T$12:$U$22</definedName>
    <definedName name="Blank">'Extra look-up'!$B$30:$B$30</definedName>
    <definedName name="BMS" localSheetId="6">'Eligible Technologies'!$D$17:$D$18</definedName>
    <definedName name="BMS">'Eligible Technologies'!$D$17:$D$18</definedName>
    <definedName name="Boilers">#REF!</definedName>
    <definedName name="Building_Names" localSheetId="5">'Loan Amortisation'!#REF!:INDEX('Loan Amortisation'!#REF!,COUNTIF('Loan Amortisation'!#REF!,"?*"))</definedName>
    <definedName name="Building_Names">'[1]Backing Sheet - Buildings'!$E$2:INDEX('[1]Backing Sheet - Buildings'!$E$2:$E$101,COUNTIF('[1]Backing Sheet - Buildings'!$E$2:$E$101,"?*"))</definedName>
    <definedName name="Buildings" localSheetId="5">OFFSET('Loan Amortisation'!#REF!,0,0,COUNTA('Loan Amortisation'!#REF!),1)</definedName>
    <definedName name="Buildings">OFFSET('[1]Backing Sheet - Buildings'!A1,0,0,COUNTA('[1]Backing Sheet - Buildings'!$E$2:$E$101),1)</definedName>
    <definedName name="ChartXVals">OFFSET(INDEX(#REF!,MATCH("1",#REF!,0),1),0,0,COUNTIF(#REF!,"1"),1)</definedName>
    <definedName name="ChartYVals">OFFSET(INDEX(#REF!,MATCH("1",#REF!,0),3),0,0,COUNTIF(#REF!,"1"),1)</definedName>
    <definedName name="CHP">#REF!</definedName>
    <definedName name="CO2_factors">'Eligible Technologies'!$J$17:$K$26</definedName>
    <definedName name="Compressor">#REF!</definedName>
    <definedName name="Cooling">'Eligible Technologies'!$D$19:$D$23</definedName>
    <definedName name="Custom">#REF!</definedName>
    <definedName name="Data_Sheets">#REF!</definedName>
    <definedName name="DRange" localSheetId="6">'[2]Backing Sheet Buildings'!$D$2:INDEX('[2]Backing Sheet Buildings'!$D$2:$D$101,COUNTIF('[2]Backing Sheet Buildings'!$D$2:$D$101,"?*"))</definedName>
    <definedName name="DRange" localSheetId="5">'Loan Amortisation'!#REF!:INDEX('Loan Amortisation'!#REF!,COUNTIF('Loan Amortisation'!#REF!,"?*"))</definedName>
    <definedName name="DRange">'[1]Backing Sheet - Buildings'!$E$2:INDEX('[1]Backing Sheet - Buildings'!$E$2:$E$101,COUNTIF('[1]Backing Sheet - Buildings'!$E$2:$E$101,"?*"))</definedName>
    <definedName name="DRangeSystems" localSheetId="6">'[2]Backing Sheet Buildings'!$L$2:INDEX('[2]Backing Sheet Buildings'!$L$2:$L$101,COUNTIF('[2]Backing Sheet Buildings'!$L$2:$L$101,"?*"))</definedName>
    <definedName name="DRangeSystems" localSheetId="5">'Loan Amortisation'!#REF!:INDEX('Loan Amortisation'!#REF!,COUNTIF('Loan Amortisation'!#REF!,"?*"))</definedName>
    <definedName name="DRangeSystems">'[1]Backing Sheet - Buildings'!$M$2:INDEX('[1]Backing Sheet - Buildings'!$M$2:$M$101,COUNTIF('[1]Backing Sheet - Buildings'!$M$2:$M$101,"?*"))</definedName>
    <definedName name="EfW">'Eligible Technologies'!$D$24:$D$25</definedName>
    <definedName name="Emergency_Services">'Project Compliance Tool'!$AG$20:$AG$30</definedName>
    <definedName name="End_of_Life">#REF!</definedName>
    <definedName name="Energy_Savings_Calculations">#REF!</definedName>
    <definedName name="Energy_Types" localSheetId="5">#REF!</definedName>
    <definedName name="Energy_Types">'Eligible Technologies'!$J$17:$J$26</definedName>
    <definedName name="FPrice">'[3]Lookup Table'!$G$15:$G$87</definedName>
    <definedName name="FRange" localSheetId="6">'[2]Backing Sheet Buildings'!$K$2:INDEX('[2]Backing Sheet Buildings'!XFC1:XFC50,COUNTIF('[2]Backing Sheet Buildings'!$K$2:$K$51,"*?"))</definedName>
    <definedName name="FRange" localSheetId="5">'Loan Amortisation'!#REF!:INDEX('Loan Amortisation'!#REF!,COUNTIF('Loan Amortisation'!#REF!,"?*"))</definedName>
    <definedName name="FRange">'[1]Backing Sheet - Buildings'!$M$2:INDEX('[1]Backing Sheet - Buildings'!$M$2:$M$101,COUNTIF('[1]Backing Sheet - Buildings'!$M$2:$M$101,"?*"))</definedName>
    <definedName name="Fuel_type">'[4]Technology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'[5]Technology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[6]Dashboard!$D$28</definedName>
    <definedName name="Primary_School">'Project Compliance Tool'!$AL$20:$AL$30</definedName>
    <definedName name="_xlnm.Print_Area" localSheetId="9">'Additionality Criteria'!$A$2:$M$8</definedName>
    <definedName name="_xlnm.Print_Area" localSheetId="8">'Assessment Form'!$B$4:$H$84</definedName>
    <definedName name="_xlnm.Print_Area" localSheetId="4">'Business Case'!$C$2:$I$101</definedName>
    <definedName name="_xlnm.Print_Area" localSheetId="10">Definitions!$A$2:$M$8</definedName>
    <definedName name="_xlnm.Print_Area" localSheetId="6">'Eligible Technologies'!$C$3:$G$69</definedName>
    <definedName name="_xlnm.Print_Area" localSheetId="2">'Guidance Notes'!$A$1:$S$50</definedName>
    <definedName name="_xlnm.Print_Area" localSheetId="5">#REF!</definedName>
    <definedName name="_xlnm.Print_Area" localSheetId="11">'Revision History'!$B$1:$E$29</definedName>
    <definedName name="_xlnm.Print_Area" localSheetId="1">'Terms and Conditions'!$B$1:$B$12</definedName>
    <definedName name="_xlnm.Print_Area">#REF!</definedName>
    <definedName name="Project_Programme">#REF!</definedName>
    <definedName name="Project_type" localSheetId="6">'[2]Extra look-up'!$A$3:$A$19</definedName>
    <definedName name="Project_type">'Extra look-up'!#REF!</definedName>
    <definedName name="Project_typee">#REF!</definedName>
    <definedName name="Recycling_Fund_England">'Extra look-up'!$G$81:$G$86</definedName>
    <definedName name="Recycling_Fund_England_HEI">'Extra look-up'!$G$80</definedName>
    <definedName name="Recycling_Fund_Scotland">'Extra look-up'!$G$94:$G$97</definedName>
    <definedName name="Recycling_Fund_Wales">'Extra look-up'!$G$103:$G$106</definedName>
    <definedName name="Renewables">'Eligible Technologies'!$D$60:$D$62</definedName>
    <definedName name="Risk_Register">#REF!</definedName>
    <definedName name="Salix_Decarbonisation_Fund">'Extra look-up'!$G$114:$G$119</definedName>
    <definedName name="Secondary_School">'Project Compliance Tool'!$AM$20:$AM$30</definedName>
    <definedName name="SEELS_England">'Extra look-up'!$G$87:$G$91</definedName>
    <definedName name="SEELS_Schools">'Extra look-up'!$G$92:$G$93</definedName>
    <definedName name="SEELS_Scotland">'Extra look-up'!$G$98:$G$102</definedName>
    <definedName name="SEELS_Wales">'Extra look-up'!$G$107:$G$113</definedName>
    <definedName name="Site_consumption">[7]Example!$C$19</definedName>
    <definedName name="Street_lighting">#REF!</definedName>
    <definedName name="Support_Tool_Building_List" localSheetId="5">'Loan Amortisation'!#REF!:INDEX('Loan Amortisation'!#REF!,COUNTIF('Loan Amortisation'!#REF!,"?*"))</definedName>
    <definedName name="Support_Tool_Building_List">'[1]Backing Sheet - Buildings'!$Y$2:INDEX('[1]Backing Sheet - Buildings'!$Y$2:$Y$101,COUNTIF('[1]Backing Sheet - Buildings'!$Y$2:$Y$101,"?*"))</definedName>
    <definedName name="Swimming">#REF!</definedName>
    <definedName name="Time_switches">'Eligible Technologies'!$D$63</definedName>
    <definedName name="Traffic_lights">#REF!</definedName>
    <definedName name="Transformers">'Eligible Technologies'!#REF!</definedName>
    <definedName name="Unit_cost">[6]Dashboard!$D$27</definedName>
    <definedName name="Ventilation">'Eligible Technologies'!$D$64:$D$69</definedName>
    <definedName name="Voltage_reduction">'[8]Lookup Table'!#REF!</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4" i="36" l="1"/>
  <c r="E67" i="36" l="1"/>
  <c r="G56" i="36"/>
  <c r="O15" i="36"/>
  <c r="L9" i="2"/>
  <c r="D49" i="36"/>
  <c r="N18" i="36" s="1"/>
  <c r="AP41" i="36"/>
  <c r="AP42" i="36"/>
  <c r="AO8" i="36"/>
  <c r="AO49" i="36" s="1"/>
  <c r="AO44" i="36" l="1"/>
  <c r="AO48" i="36"/>
  <c r="AO41" i="36"/>
  <c r="AO42" i="36"/>
  <c r="AO43" i="36"/>
  <c r="AO45" i="36"/>
  <c r="AO46" i="36"/>
  <c r="AO47" i="36"/>
  <c r="AB70" i="36"/>
  <c r="D52" i="36" l="1"/>
  <c r="AQ15" i="36" s="1"/>
  <c r="AO7" i="36"/>
  <c r="D51" i="36" l="1"/>
  <c r="M31" i="36" s="1"/>
  <c r="AP48" i="36"/>
  <c r="AP49" i="36"/>
  <c r="AP47" i="36"/>
  <c r="AP46" i="36"/>
  <c r="D53" i="36" s="1"/>
  <c r="AP45" i="36"/>
  <c r="AP44" i="36"/>
  <c r="AP43" i="36"/>
  <c r="AS15" i="36" l="1"/>
  <c r="AO15" i="36"/>
  <c r="AO27" i="36" s="1"/>
  <c r="AN27" i="36" s="1"/>
  <c r="AO28" i="36" l="1"/>
  <c r="AO10" i="36"/>
  <c r="D54" i="36" l="1"/>
  <c r="AO22" i="36" s="1"/>
  <c r="AJ12" i="2"/>
  <c r="F122" i="11"/>
  <c r="G122" i="11" s="1"/>
  <c r="F80" i="11"/>
  <c r="E6" i="11"/>
  <c r="F6" i="11" s="1"/>
  <c r="F76" i="11"/>
  <c r="O4" i="2" s="1"/>
  <c r="D11" i="26"/>
  <c r="I28" i="26"/>
  <c r="H93" i="36"/>
  <c r="I93" i="36" s="1"/>
  <c r="O93" i="36" s="1"/>
  <c r="H92" i="36"/>
  <c r="I92" i="36" s="1"/>
  <c r="H91" i="36"/>
  <c r="I91" i="36" s="1"/>
  <c r="H90" i="36"/>
  <c r="H89" i="36"/>
  <c r="I89" i="36" s="1"/>
  <c r="H88" i="36"/>
  <c r="I88" i="36" s="1"/>
  <c r="H87" i="36"/>
  <c r="I87" i="36" s="1"/>
  <c r="H86" i="36"/>
  <c r="I86" i="36" s="1"/>
  <c r="H85" i="36"/>
  <c r="I85" i="36" s="1"/>
  <c r="H84" i="36"/>
  <c r="H83" i="36"/>
  <c r="I83" i="36" s="1"/>
  <c r="H82" i="36"/>
  <c r="I82" i="36" s="1"/>
  <c r="H81" i="36"/>
  <c r="I81" i="36" s="1"/>
  <c r="H80" i="36"/>
  <c r="I80" i="36" s="1"/>
  <c r="H79" i="36"/>
  <c r="I79" i="36" s="1"/>
  <c r="H78" i="36"/>
  <c r="H77" i="36"/>
  <c r="I77" i="36" s="1"/>
  <c r="H76" i="36"/>
  <c r="I76" i="36" s="1"/>
  <c r="H75" i="36"/>
  <c r="H74" i="36"/>
  <c r="I74" i="36" s="1"/>
  <c r="H73" i="36"/>
  <c r="I73" i="36" s="1"/>
  <c r="H72" i="36"/>
  <c r="I72" i="36" s="1"/>
  <c r="H71" i="36"/>
  <c r="I71" i="36" s="1"/>
  <c r="H70" i="36"/>
  <c r="I70" i="36" s="1"/>
  <c r="G57" i="36"/>
  <c r="O65" i="2" l="1"/>
  <c r="D48" i="36" s="1"/>
  <c r="K71" i="36"/>
  <c r="K70" i="36"/>
  <c r="K76" i="36"/>
  <c r="N34" i="36"/>
  <c r="AO25" i="36"/>
  <c r="AO26" i="36" s="1"/>
  <c r="AO23" i="36"/>
  <c r="AO24" i="36" s="1"/>
  <c r="I75" i="36"/>
  <c r="I90" i="36"/>
  <c r="K93" i="36"/>
  <c r="K91" i="36"/>
  <c r="K89" i="36"/>
  <c r="K87" i="36"/>
  <c r="K85" i="36"/>
  <c r="K83" i="36"/>
  <c r="K81" i="36"/>
  <c r="K79" i="36"/>
  <c r="K77" i="36"/>
  <c r="K74" i="36"/>
  <c r="K82" i="36"/>
  <c r="K92" i="36"/>
  <c r="K84" i="36"/>
  <c r="K86" i="36"/>
  <c r="N63" i="36"/>
  <c r="K88" i="36"/>
  <c r="K78" i="36"/>
  <c r="K90" i="36"/>
  <c r="K75" i="36"/>
  <c r="K72" i="36"/>
  <c r="K80" i="36"/>
  <c r="K73" i="36"/>
  <c r="I78" i="36"/>
  <c r="I84" i="36"/>
  <c r="N66" i="36"/>
  <c r="AO30" i="36" s="1"/>
  <c r="AH128" i="2"/>
  <c r="AH129" i="2"/>
  <c r="AH130" i="2"/>
  <c r="AH131" i="2"/>
  <c r="AH132" i="2"/>
  <c r="AH133" i="2"/>
  <c r="AH134" i="2"/>
  <c r="AH135" i="2"/>
  <c r="AH136" i="2"/>
  <c r="AH137" i="2"/>
  <c r="AH138" i="2"/>
  <c r="AH139" i="2"/>
  <c r="AH140"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01" i="2"/>
  <c r="K17" i="35"/>
  <c r="A7" i="23"/>
  <c r="W14" i="2"/>
  <c r="AC14" i="2" s="1"/>
  <c r="AD14" i="2"/>
  <c r="L70" i="36" l="1"/>
  <c r="AO16" i="36"/>
  <c r="AO29" i="36"/>
  <c r="G76" i="11"/>
  <c r="AB71" i="36" l="1"/>
  <c r="E70" i="36"/>
  <c r="AA70" i="36" s="1"/>
  <c r="N62" i="36"/>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M49" i="2"/>
  <c r="M50" i="2"/>
  <c r="M51" i="2"/>
  <c r="M52" i="2"/>
  <c r="N52" i="2" s="1"/>
  <c r="M53" i="2"/>
  <c r="P53" i="2" s="1"/>
  <c r="Q53" i="2" s="1"/>
  <c r="X53" i="2" s="1"/>
  <c r="G53" i="2" s="1"/>
  <c r="M54" i="2"/>
  <c r="P54" i="2" s="1"/>
  <c r="Q54" i="2" s="1"/>
  <c r="X54" i="2" s="1"/>
  <c r="G54" i="2" s="1"/>
  <c r="M55" i="2"/>
  <c r="P55" i="2" s="1"/>
  <c r="Q55" i="2" s="1"/>
  <c r="X55" i="2" s="1"/>
  <c r="G55" i="2" s="1"/>
  <c r="M56" i="2"/>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AD39" i="2"/>
  <c r="AD42" i="2"/>
  <c r="AD41" i="2"/>
  <c r="AD31" i="2"/>
  <c r="AD34" i="2"/>
  <c r="AD57" i="2"/>
  <c r="AD40" i="2"/>
  <c r="AD21" i="2"/>
  <c r="AD56" i="2"/>
  <c r="AD52" i="2"/>
  <c r="AD30" i="2"/>
  <c r="AD29" i="2"/>
  <c r="AD44" i="2"/>
  <c r="AD51" i="2"/>
  <c r="AD61" i="2"/>
  <c r="AD27" i="2"/>
  <c r="AD22" i="2"/>
  <c r="AD35" i="2"/>
  <c r="AD28" i="2"/>
  <c r="AD32" i="2"/>
  <c r="AD45" i="2"/>
  <c r="AD12" i="2"/>
  <c r="AD58" i="2"/>
  <c r="AD47" i="2"/>
  <c r="AD55" i="2"/>
  <c r="AD59" i="2"/>
  <c r="AD60" i="2"/>
  <c r="AD25" i="2"/>
  <c r="AD38" i="2"/>
  <c r="AD54" i="2"/>
  <c r="AD24" i="2"/>
  <c r="AD49" i="2"/>
  <c r="AD50" i="2"/>
  <c r="AD53" i="2"/>
  <c r="AD43" i="2"/>
  <c r="AD46" i="2"/>
  <c r="AD23" i="2"/>
  <c r="AD36" i="2"/>
  <c r="AD48" i="2"/>
  <c r="AD37" i="2"/>
  <c r="AD26" i="2"/>
  <c r="AD33" i="2"/>
  <c r="O70" i="36" l="1"/>
  <c r="H15" i="11"/>
  <c r="V21" i="2" s="1"/>
  <c r="E71" i="36"/>
  <c r="H55" i="11"/>
  <c r="I55" i="11" s="1"/>
  <c r="H31" i="11"/>
  <c r="V37" i="2" s="1"/>
  <c r="H47" i="11"/>
  <c r="V53" i="2" s="1"/>
  <c r="H23" i="11"/>
  <c r="V29" i="2" s="1"/>
  <c r="H39" i="11"/>
  <c r="V45" i="2" s="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N43" i="2"/>
  <c r="P44" i="2"/>
  <c r="Q44" i="2" s="1"/>
  <c r="X44" i="2" s="1"/>
  <c r="G44" i="2" s="1"/>
  <c r="Z50" i="2"/>
  <c r="P60" i="2"/>
  <c r="Q60" i="2" s="1"/>
  <c r="X60" i="2" s="1"/>
  <c r="G60" i="2" s="1"/>
  <c r="P52" i="2"/>
  <c r="Q52" i="2" s="1"/>
  <c r="X52" i="2" s="1"/>
  <c r="G52" i="2" s="1"/>
  <c r="Z42" i="2"/>
  <c r="N59" i="2"/>
  <c r="P36" i="2"/>
  <c r="Q36" i="2" s="1"/>
  <c r="X36" i="2" s="1"/>
  <c r="G36" i="2" s="1"/>
  <c r="Z34" i="2"/>
  <c r="N51" i="2"/>
  <c r="P28" i="2"/>
  <c r="Q28" i="2" s="1"/>
  <c r="X28" i="2" s="1"/>
  <c r="G28" i="2" s="1"/>
  <c r="Z59" i="2"/>
  <c r="Z27" i="2"/>
  <c r="Z58" i="2"/>
  <c r="Z26" i="2"/>
  <c r="N35" i="2"/>
  <c r="Z51" i="2"/>
  <c r="Z61" i="2"/>
  <c r="Z53" i="2"/>
  <c r="Z45" i="2"/>
  <c r="Z37" i="2"/>
  <c r="Z29" i="2"/>
  <c r="Z21" i="2"/>
  <c r="Z60" i="2"/>
  <c r="Z52" i="2"/>
  <c r="Z44" i="2"/>
  <c r="Z36" i="2"/>
  <c r="Z28" i="2"/>
  <c r="Z56" i="2"/>
  <c r="Z48" i="2"/>
  <c r="Z40" i="2"/>
  <c r="Z32" i="2"/>
  <c r="Z24" i="2"/>
  <c r="Z54" i="2"/>
  <c r="Z46" i="2"/>
  <c r="Z38" i="2"/>
  <c r="Z30" i="2"/>
  <c r="Z22" i="2"/>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N54" i="2"/>
  <c r="N46" i="2"/>
  <c r="N38" i="2"/>
  <c r="N30" i="2"/>
  <c r="N22" i="2"/>
  <c r="N61" i="2"/>
  <c r="N53" i="2"/>
  <c r="N45" i="2"/>
  <c r="N37" i="2"/>
  <c r="N29" i="2"/>
  <c r="N21" i="2"/>
  <c r="H38" i="11"/>
  <c r="V44" i="2" s="1"/>
  <c r="H29" i="11"/>
  <c r="V35" i="2" s="1"/>
  <c r="H50" i="11"/>
  <c r="V56" i="2" s="1"/>
  <c r="H16" i="11"/>
  <c r="V22" i="2" s="1"/>
  <c r="H49" i="11"/>
  <c r="V55" i="2" s="1"/>
  <c r="H30" i="11"/>
  <c r="V36" i="2" s="1"/>
  <c r="H21" i="11"/>
  <c r="V27" i="2" s="1"/>
  <c r="H42" i="11"/>
  <c r="V48" i="2" s="1"/>
  <c r="H41" i="11"/>
  <c r="V47" i="2" s="1"/>
  <c r="H46" i="11"/>
  <c r="V52" i="2" s="1"/>
  <c r="H20" i="11"/>
  <c r="V26" i="2" s="1"/>
  <c r="H37" i="11"/>
  <c r="V43" i="2" s="1"/>
  <c r="H22" i="11"/>
  <c r="V28" i="2" s="1"/>
  <c r="H34" i="11"/>
  <c r="V40" i="2" s="1"/>
  <c r="H51" i="11"/>
  <c r="H33" i="11"/>
  <c r="V39" i="2" s="1"/>
  <c r="H25" i="11"/>
  <c r="V31" i="2" s="1"/>
  <c r="H52" i="11"/>
  <c r="V58" i="2" s="1"/>
  <c r="H26" i="11"/>
  <c r="V32" i="2" s="1"/>
  <c r="H43" i="11"/>
  <c r="V49" i="2" s="1"/>
  <c r="H44" i="11"/>
  <c r="V50" i="2" s="1"/>
  <c r="H18" i="11"/>
  <c r="V24" i="2" s="1"/>
  <c r="H48" i="11"/>
  <c r="V54" i="2" s="1"/>
  <c r="H35" i="11"/>
  <c r="V41" i="2" s="1"/>
  <c r="H17" i="11"/>
  <c r="V23" i="2" s="1"/>
  <c r="H24" i="11"/>
  <c r="V30" i="2" s="1"/>
  <c r="H36" i="11"/>
  <c r="V42" i="2" s="1"/>
  <c r="H53" i="11"/>
  <c r="V59" i="2" s="1"/>
  <c r="H40" i="11"/>
  <c r="V46" i="2" s="1"/>
  <c r="H27" i="11"/>
  <c r="V33" i="2" s="1"/>
  <c r="H54" i="11"/>
  <c r="V60" i="2" s="1"/>
  <c r="H28" i="11"/>
  <c r="V34" i="2" s="1"/>
  <c r="H45" i="11"/>
  <c r="V51" i="2" s="1"/>
  <c r="H32" i="11"/>
  <c r="V38" i="2" s="1"/>
  <c r="H19" i="11"/>
  <c r="V25" i="2" s="1"/>
  <c r="V57" i="2" l="1"/>
  <c r="Y57" i="2" s="1"/>
  <c r="AA21" i="2"/>
  <c r="I15" i="11"/>
  <c r="AA71" i="36"/>
  <c r="E72" i="36"/>
  <c r="AA61" i="2"/>
  <c r="AB37" i="2"/>
  <c r="Y59" i="2"/>
  <c r="Y56" i="2"/>
  <c r="Y43" i="2"/>
  <c r="Y51" i="2"/>
  <c r="Y50" i="2"/>
  <c r="AB49" i="2"/>
  <c r="Y48" i="2"/>
  <c r="I31" i="11"/>
  <c r="AA53" i="2"/>
  <c r="AB53" i="2"/>
  <c r="AA37" i="2"/>
  <c r="Y29" i="2"/>
  <c r="I39" i="11"/>
  <c r="AB45" i="2"/>
  <c r="I47" i="11"/>
  <c r="AA29" i="2"/>
  <c r="I23" i="11"/>
  <c r="AA45"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Y27" i="2"/>
  <c r="AA36" i="2"/>
  <c r="I16" i="11"/>
  <c r="I50" i="11"/>
  <c r="Y35" i="2"/>
  <c r="I38" i="11"/>
  <c r="AB28" i="2"/>
  <c r="I30" i="11"/>
  <c r="AB36" i="2"/>
  <c r="AA52" i="2"/>
  <c r="AB42" i="2"/>
  <c r="I22" i="11"/>
  <c r="AA60" i="2"/>
  <c r="AA44" i="2"/>
  <c r="AA42" i="2"/>
  <c r="I28" i="11"/>
  <c r="AB26" i="2"/>
  <c r="I20" i="11"/>
  <c r="AA50" i="2"/>
  <c r="AB34" i="2"/>
  <c r="AA58" i="2"/>
  <c r="I34" i="11"/>
  <c r="AB38" i="2"/>
  <c r="AA27" i="2"/>
  <c r="I26" i="11"/>
  <c r="AB41" i="2"/>
  <c r="AA59" i="2"/>
  <c r="I35" i="11"/>
  <c r="AA43" i="2"/>
  <c r="AA51" i="2"/>
  <c r="AB24" i="2"/>
  <c r="I18" i="11"/>
  <c r="AB32" i="2"/>
  <c r="AA54" i="2"/>
  <c r="AA22" i="2"/>
  <c r="AB22" i="2"/>
  <c r="I24" i="11"/>
  <c r="I21" i="11"/>
  <c r="AA38" i="2"/>
  <c r="AB40" i="2"/>
  <c r="AA48" i="2"/>
  <c r="AA56" i="2"/>
  <c r="AB30" i="2"/>
  <c r="I29" i="11"/>
  <c r="Y44" i="2"/>
  <c r="AB44" i="2"/>
  <c r="Y54" i="2"/>
  <c r="AB54" i="2"/>
  <c r="Y52" i="2"/>
  <c r="AB52" i="2"/>
  <c r="Y60" i="2"/>
  <c r="AB60" i="2"/>
  <c r="Y61" i="2"/>
  <c r="AB61" i="2"/>
  <c r="Y45" i="2"/>
  <c r="Y53" i="2"/>
  <c r="Y46" i="2"/>
  <c r="AB46" i="2"/>
  <c r="AA46" i="2"/>
  <c r="AA35" i="2"/>
  <c r="Y47" i="2"/>
  <c r="AB47" i="2"/>
  <c r="Y55" i="2"/>
  <c r="AB55" i="2"/>
  <c r="AA57" i="2"/>
  <c r="AA49" i="2"/>
  <c r="AB33" i="2"/>
  <c r="I27" i="11"/>
  <c r="AB23" i="2"/>
  <c r="I17" i="11"/>
  <c r="AB25" i="2"/>
  <c r="I19" i="11"/>
  <c r="AB39" i="2"/>
  <c r="I49" i="11"/>
  <c r="AA55" i="2"/>
  <c r="I33" i="11"/>
  <c r="I41" i="11"/>
  <c r="AA47" i="2"/>
  <c r="AB31" i="2"/>
  <c r="I25" i="11"/>
  <c r="AB57" i="2" l="1"/>
  <c r="AA72" i="36"/>
  <c r="E73" i="36"/>
  <c r="AB51" i="2"/>
  <c r="AB50" i="2"/>
  <c r="AB43" i="2"/>
  <c r="Y49" i="2"/>
  <c r="Y37" i="2"/>
  <c r="AB56" i="2"/>
  <c r="AB59" i="2"/>
  <c r="AB48" i="2"/>
  <c r="AB29" i="2"/>
  <c r="AB27" i="2"/>
  <c r="AB35" i="2"/>
  <c r="Y28" i="2"/>
  <c r="Y36" i="2"/>
  <c r="Y42" i="2"/>
  <c r="Y26" i="2"/>
  <c r="Y34" i="2"/>
  <c r="Y38" i="2"/>
  <c r="Y41" i="2"/>
  <c r="Y40" i="2"/>
  <c r="Y33" i="2"/>
  <c r="Y24" i="2"/>
  <c r="Y32" i="2"/>
  <c r="Y22" i="2"/>
  <c r="Y23" i="2"/>
  <c r="Y30" i="2"/>
  <c r="Y25" i="2"/>
  <c r="Y39" i="2"/>
  <c r="Y31" i="2"/>
  <c r="AA73" i="36" l="1"/>
  <c r="E74" i="36"/>
  <c r="M12" i="2"/>
  <c r="AA74" i="36" l="1"/>
  <c r="E75" i="36"/>
  <c r="S12" i="2"/>
  <c r="T12" i="2" s="1"/>
  <c r="U12" i="2" s="1"/>
  <c r="N12" i="2"/>
  <c r="J5" i="2"/>
  <c r="E76" i="36" l="1"/>
  <c r="AA75" i="36"/>
  <c r="W20" i="2"/>
  <c r="AC20" i="2" s="1"/>
  <c r="W19" i="2"/>
  <c r="AC19" i="2" s="1"/>
  <c r="W18" i="2"/>
  <c r="AC18" i="2" s="1"/>
  <c r="W17" i="2"/>
  <c r="AC17" i="2" s="1"/>
  <c r="W16" i="2"/>
  <c r="AC16" i="2" s="1"/>
  <c r="W15" i="2"/>
  <c r="AC15" i="2" s="1"/>
  <c r="W13" i="2"/>
  <c r="AC13" i="2" s="1"/>
  <c r="AD15" i="2"/>
  <c r="AD17" i="2"/>
  <c r="AD13" i="2"/>
  <c r="AD16" i="2"/>
  <c r="AD20" i="2"/>
  <c r="AD19" i="2"/>
  <c r="AD18" i="2"/>
  <c r="E77" i="36" l="1"/>
  <c r="AA76" i="36"/>
  <c r="R14" i="2"/>
  <c r="R13" i="2"/>
  <c r="R15" i="2"/>
  <c r="R18" i="2"/>
  <c r="R19" i="2"/>
  <c r="R17" i="2"/>
  <c r="R16" i="2"/>
  <c r="R20" i="2"/>
  <c r="C57" i="32"/>
  <c r="E78" i="36" l="1"/>
  <c r="AA77" i="36"/>
  <c r="O5" i="2"/>
  <c r="E79" i="36" l="1"/>
  <c r="AA78" i="36"/>
  <c r="D7" i="23"/>
  <c r="E80" i="36" l="1"/>
  <c r="AA79" i="36"/>
  <c r="E81" i="36" l="1"/>
  <c r="AA80" i="36"/>
  <c r="H122" i="11"/>
  <c r="D122" i="11"/>
  <c r="E122" i="11" s="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3" i="32"/>
  <c r="C55" i="32"/>
  <c r="C10" i="32"/>
  <c r="C8" i="32"/>
  <c r="H100" i="26"/>
  <c r="G91" i="26"/>
  <c r="M22" i="23"/>
  <c r="K22" i="23"/>
  <c r="M21" i="23"/>
  <c r="M20" i="2"/>
  <c r="P20" i="2" s="1"/>
  <c r="M20" i="23"/>
  <c r="M19" i="2"/>
  <c r="P19" i="2" s="1"/>
  <c r="M19" i="23"/>
  <c r="M18" i="2"/>
  <c r="P18" i="2" s="1"/>
  <c r="M18" i="23"/>
  <c r="M17" i="2"/>
  <c r="K18" i="23" s="1"/>
  <c r="M17" i="23"/>
  <c r="M16" i="2"/>
  <c r="P16" i="2" s="1"/>
  <c r="Q16" i="2" s="1"/>
  <c r="M16" i="23"/>
  <c r="M15" i="2"/>
  <c r="P15" i="2" s="1"/>
  <c r="M15" i="23"/>
  <c r="M14" i="2"/>
  <c r="P14" i="2" s="1"/>
  <c r="M14" i="23"/>
  <c r="M13" i="2"/>
  <c r="P13" i="2" s="1"/>
  <c r="AK12" i="2"/>
  <c r="M13" i="23"/>
  <c r="N6" i="2"/>
  <c r="R5" i="2"/>
  <c r="R4" i="2"/>
  <c r="R3" i="2"/>
  <c r="B4" i="28"/>
  <c r="AA81" i="36" l="1"/>
  <c r="E82" i="36"/>
  <c r="AO20" i="2"/>
  <c r="Z20" i="2"/>
  <c r="K13" i="23"/>
  <c r="P12" i="2"/>
  <c r="Z12" i="2"/>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K17" i="23"/>
  <c r="V18" i="23"/>
  <c r="K21" i="23"/>
  <c r="V22" i="23"/>
  <c r="S19" i="2"/>
  <c r="T19" i="2" s="1"/>
  <c r="S20" i="2"/>
  <c r="T20" i="2" s="1"/>
  <c r="U20" i="2" s="1"/>
  <c r="K14" i="23"/>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AB21" i="2"/>
  <c r="H14" i="11"/>
  <c r="V20" i="2" s="1"/>
  <c r="H13" i="11"/>
  <c r="V19" i="2" s="1"/>
  <c r="H12" i="11"/>
  <c r="V18" i="2" s="1"/>
  <c r="H11" i="11"/>
  <c r="V17" i="2" s="1"/>
  <c r="H9" i="11"/>
  <c r="V15" i="2" s="1"/>
  <c r="H8" i="11"/>
  <c r="V14" i="2" s="1"/>
  <c r="E83" i="36" l="1"/>
  <c r="AA82" i="36"/>
  <c r="P65" i="2"/>
  <c r="N11" i="36" s="1"/>
  <c r="K7" i="23"/>
  <c r="O7" i="23"/>
  <c r="AA14" i="2"/>
  <c r="AA17" i="2"/>
  <c r="AA15" i="2"/>
  <c r="AA20" i="2"/>
  <c r="AA18" i="2"/>
  <c r="AA19" i="2"/>
  <c r="Y21" i="2"/>
  <c r="G7" i="23"/>
  <c r="H7" i="23"/>
  <c r="O18" i="23"/>
  <c r="P16" i="23"/>
  <c r="P22" i="23"/>
  <c r="O14" i="23"/>
  <c r="T18" i="2"/>
  <c r="U18" i="2" s="1"/>
  <c r="O16" i="23"/>
  <c r="I14" i="11"/>
  <c r="I13" i="11"/>
  <c r="AB18" i="2"/>
  <c r="I11" i="11"/>
  <c r="AB17" i="2"/>
  <c r="I9" i="11"/>
  <c r="I8" i="11"/>
  <c r="O21" i="23"/>
  <c r="P21" i="23"/>
  <c r="O20" i="23"/>
  <c r="O17" i="23"/>
  <c r="T14" i="2"/>
  <c r="U14" i="2" s="1"/>
  <c r="AB14" i="2"/>
  <c r="AB20" i="2"/>
  <c r="AB15" i="2"/>
  <c r="I12" i="11"/>
  <c r="AB19" i="2"/>
  <c r="Q7" i="23"/>
  <c r="L7" i="23"/>
  <c r="P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V16" i="2" s="1"/>
  <c r="H7" i="11"/>
  <c r="V13" i="2" s="1"/>
  <c r="H6" i="11"/>
  <c r="V12" i="2" l="1"/>
  <c r="AB12" i="2" s="1"/>
  <c r="AA83" i="36"/>
  <c r="E84" i="36"/>
  <c r="Q65" i="2"/>
  <c r="N12" i="36" s="1"/>
  <c r="X19" i="2"/>
  <c r="AA16" i="2"/>
  <c r="AB13" i="2"/>
  <c r="Y15" i="2"/>
  <c r="Y17" i="2"/>
  <c r="Y18" i="2"/>
  <c r="Y20" i="2"/>
  <c r="Y19" i="2"/>
  <c r="Y14" i="2"/>
  <c r="I7" i="23"/>
  <c r="AA12" i="2"/>
  <c r="I6" i="11"/>
  <c r="I10" i="11"/>
  <c r="AB16" i="2"/>
  <c r="I7" i="11"/>
  <c r="AA13" i="2"/>
  <c r="P19" i="23"/>
  <c r="S7" i="23"/>
  <c r="X15" i="2"/>
  <c r="G15" i="2" s="1"/>
  <c r="F16" i="23" s="1"/>
  <c r="T7" i="23"/>
  <c r="O23" i="23"/>
  <c r="P15" i="23"/>
  <c r="N23" i="23"/>
  <c r="Q13" i="23"/>
  <c r="Q23" i="23" s="1"/>
  <c r="AA7" i="23" s="1"/>
  <c r="X12" i="2" l="1"/>
  <c r="AA84" i="36"/>
  <c r="E85" i="36"/>
  <c r="R65" i="2"/>
  <c r="S65" i="2" s="1"/>
  <c r="T65" i="2" s="1"/>
  <c r="U65" i="2" s="1"/>
  <c r="Y16" i="2"/>
  <c r="Y13" i="2"/>
  <c r="U7" i="23"/>
  <c r="G24" i="2"/>
  <c r="G25" i="2"/>
  <c r="G18" i="2"/>
  <c r="F19" i="23" s="1"/>
  <c r="X17" i="2"/>
  <c r="G17" i="2" s="1"/>
  <c r="F18" i="23" s="1"/>
  <c r="X13" i="2"/>
  <c r="G13" i="2" s="1"/>
  <c r="F14" i="23" s="1"/>
  <c r="G20" i="2"/>
  <c r="F21" i="23" s="1"/>
  <c r="X16" i="2"/>
  <c r="G16" i="2" s="1"/>
  <c r="F17" i="23" s="1"/>
  <c r="X14" i="2"/>
  <c r="G14" i="2" s="1"/>
  <c r="F15" i="23" s="1"/>
  <c r="G19" i="2"/>
  <c r="F20" i="23" s="1"/>
  <c r="Y12" i="2"/>
  <c r="F75" i="11"/>
  <c r="F77" i="11" s="1"/>
  <c r="P23" i="23"/>
  <c r="AA85" i="36" l="1"/>
  <c r="E86" i="36"/>
  <c r="V7" i="23"/>
  <c r="W70" i="36"/>
  <c r="M70" i="36" s="1"/>
  <c r="M64" i="36"/>
  <c r="M62" i="36"/>
  <c r="F22" i="23"/>
  <c r="G21" i="2"/>
  <c r="G12" i="2"/>
  <c r="F13" i="23" s="1"/>
  <c r="M7" i="23" s="1"/>
  <c r="AA86" i="36" l="1"/>
  <c r="E87" i="36"/>
  <c r="J70" i="36"/>
  <c r="X70" i="36"/>
  <c r="F70" i="36"/>
  <c r="F71" i="36" s="1"/>
  <c r="F72" i="36" s="1"/>
  <c r="F73" i="36" s="1"/>
  <c r="F74" i="36" s="1"/>
  <c r="F75" i="36" s="1"/>
  <c r="F76" i="36" s="1"/>
  <c r="F77" i="36" s="1"/>
  <c r="F78" i="36" s="1"/>
  <c r="F79" i="36" s="1"/>
  <c r="F80" i="36" s="1"/>
  <c r="F81" i="36" s="1"/>
  <c r="F82" i="36" s="1"/>
  <c r="F83" i="36" s="1"/>
  <c r="F84" i="36" s="1"/>
  <c r="F85" i="36" s="1"/>
  <c r="F86" i="36" s="1"/>
  <c r="F87" i="36" s="1"/>
  <c r="F88" i="36" s="1"/>
  <c r="F89" i="36" s="1"/>
  <c r="F90" i="36" s="1"/>
  <c r="F91" i="36" s="1"/>
  <c r="F92" i="36" s="1"/>
  <c r="F93" i="36" s="1"/>
  <c r="AO34" i="36"/>
  <c r="AO35" i="36"/>
  <c r="W7" i="23"/>
  <c r="Y7" i="23"/>
  <c r="AA87" i="36" l="1"/>
  <c r="E88" i="36"/>
  <c r="AO14" i="36"/>
  <c r="J72" i="36"/>
  <c r="J77" i="36"/>
  <c r="J92" i="36"/>
  <c r="J90" i="36"/>
  <c r="J71" i="36"/>
  <c r="J78" i="36"/>
  <c r="J86" i="36"/>
  <c r="J74" i="36"/>
  <c r="J88" i="36"/>
  <c r="J83" i="36"/>
  <c r="J73" i="36"/>
  <c r="J85" i="36"/>
  <c r="J76" i="36"/>
  <c r="J75" i="36"/>
  <c r="J87" i="36"/>
  <c r="J89" i="36"/>
  <c r="J84" i="36"/>
  <c r="J91" i="36"/>
  <c r="J79" i="36"/>
  <c r="J93" i="36"/>
  <c r="J82" i="36"/>
  <c r="J80" i="36"/>
  <c r="J81" i="36"/>
  <c r="G75" i="11"/>
  <c r="G77" i="11" s="1"/>
  <c r="H77" i="11" s="1"/>
  <c r="Z7" i="23"/>
  <c r="G48" i="36" l="1"/>
  <c r="G50" i="36"/>
  <c r="G49" i="36" s="1"/>
  <c r="N70" i="36" s="1"/>
  <c r="AC70" i="36" s="1"/>
  <c r="AA88" i="36"/>
  <c r="E89" i="36"/>
  <c r="AQ14" i="36"/>
  <c r="AQ17" i="36" s="1"/>
  <c r="AQ16" i="36" s="1"/>
  <c r="E88" i="32"/>
  <c r="E89" i="32"/>
  <c r="E90" i="32"/>
  <c r="AO18" i="36" l="1"/>
  <c r="E90" i="36"/>
  <c r="AA89" i="36"/>
  <c r="AS14" i="36"/>
  <c r="AS17" i="36" s="1"/>
  <c r="Y58" i="2"/>
  <c r="Y62" i="2" s="1"/>
  <c r="AB58" i="2"/>
  <c r="AB62" i="2" s="1"/>
  <c r="E91" i="32"/>
  <c r="C61" i="32" s="1"/>
  <c r="V65" i="2" l="1"/>
  <c r="AB7" i="23" s="1"/>
  <c r="AD70" i="36"/>
  <c r="E91" i="36"/>
  <c r="AA90" i="36"/>
  <c r="V70" i="36"/>
  <c r="AS16" i="36"/>
  <c r="AS18" i="36" s="1"/>
  <c r="AS19" i="36"/>
  <c r="P70" i="36" l="1"/>
  <c r="R70" i="36" s="1"/>
  <c r="E92" i="36"/>
  <c r="AA91" i="36"/>
  <c r="AS20" i="36"/>
  <c r="T70" i="36" l="1"/>
  <c r="U70" i="36"/>
  <c r="Y70" i="36" s="1"/>
  <c r="S70" i="36"/>
  <c r="AA92" i="36"/>
  <c r="E93" i="36"/>
  <c r="AA93" i="36" s="1"/>
  <c r="Z70" i="36" l="1"/>
  <c r="L71" i="36"/>
  <c r="AB72" i="36" s="1"/>
  <c r="W71" i="36"/>
  <c r="X71" i="36" s="1"/>
  <c r="AQ18" i="36"/>
  <c r="AQ19" i="36"/>
  <c r="AQ20" i="36" l="1"/>
  <c r="N71" i="36" s="1"/>
  <c r="AC71" i="36" l="1"/>
  <c r="V71" i="36"/>
  <c r="M71" i="36"/>
  <c r="O71" i="36" s="1"/>
  <c r="P71" i="36" l="1"/>
  <c r="R71" i="36" s="1"/>
  <c r="U71" i="36" s="1"/>
  <c r="AD71" i="36"/>
  <c r="S71" i="36" l="1"/>
  <c r="T71" i="36"/>
  <c r="L72" i="36" s="1"/>
  <c r="Y71" i="36"/>
  <c r="AB73" i="36" l="1"/>
  <c r="N72" i="36"/>
  <c r="Z71" i="36"/>
  <c r="W72" i="36"/>
  <c r="X72" i="36" s="1"/>
  <c r="AC72" i="36" l="1"/>
  <c r="V72" i="36"/>
  <c r="M72" i="36"/>
  <c r="O72" i="36" s="1"/>
  <c r="P72" i="36" s="1"/>
  <c r="R72" i="36" s="1"/>
  <c r="U72" i="36" s="1"/>
  <c r="S72" i="36" l="1"/>
  <c r="AD72" i="36"/>
  <c r="T72" i="36"/>
  <c r="L73" i="36" s="1"/>
  <c r="Y72" i="36"/>
  <c r="Z72" i="36" l="1"/>
  <c r="W73" i="36"/>
  <c r="X73" i="36" s="1"/>
  <c r="AB74" i="36" l="1"/>
  <c r="N73" i="36"/>
  <c r="AC73" i="36" l="1"/>
  <c r="V73" i="36"/>
  <c r="M73" i="36"/>
  <c r="O73" i="36" s="1"/>
  <c r="P73" i="36" l="1"/>
  <c r="R73" i="36" s="1"/>
  <c r="U73" i="36" s="1"/>
  <c r="AD73" i="36"/>
  <c r="S73" i="36" l="1"/>
  <c r="T73" i="36"/>
  <c r="L74" i="36" s="1"/>
  <c r="Y73" i="36"/>
  <c r="W74" i="36" l="1"/>
  <c r="X74" i="36" s="1"/>
  <c r="Z73" i="36"/>
  <c r="AB75" i="36" l="1"/>
  <c r="N74" i="36"/>
  <c r="AC74" i="36" l="1"/>
  <c r="V74" i="36"/>
  <c r="M74" i="36"/>
  <c r="AC75" i="36"/>
  <c r="O74" i="36"/>
  <c r="AD74" i="36" l="1"/>
  <c r="P74" i="36"/>
  <c r="R74" i="36" s="1"/>
  <c r="U74" i="36" s="1"/>
  <c r="S74" i="36" l="1"/>
  <c r="T74" i="36"/>
  <c r="L75" i="36" s="1"/>
  <c r="N75" i="36" s="1"/>
  <c r="Y74" i="36"/>
  <c r="Z74" i="36" l="1"/>
  <c r="W75" i="36"/>
  <c r="X75" i="36" s="1"/>
  <c r="AB76" i="36" l="1"/>
  <c r="V75" i="36" l="1"/>
  <c r="M75" i="36"/>
  <c r="O75" i="36"/>
  <c r="AC76" i="36"/>
  <c r="P75" i="36" l="1"/>
  <c r="R75" i="36" s="1"/>
  <c r="U75" i="36" s="1"/>
  <c r="AD75" i="36"/>
  <c r="S75" i="36" l="1"/>
  <c r="T75" i="36"/>
  <c r="L76" i="36" s="1"/>
  <c r="Y75" i="36"/>
  <c r="Z75" i="36" l="1"/>
  <c r="W76" i="36"/>
  <c r="X76" i="36" s="1"/>
  <c r="AB77" i="36" l="1"/>
  <c r="N76" i="36"/>
  <c r="V76" i="36" l="1"/>
  <c r="M76" i="36"/>
  <c r="O76" i="36"/>
  <c r="AC77" i="36"/>
  <c r="AD76" i="36" l="1"/>
  <c r="P76" i="36"/>
  <c r="R76" i="36" s="1"/>
  <c r="U76" i="36" s="1"/>
  <c r="S76" i="36" l="1"/>
  <c r="T76" i="36"/>
  <c r="L77" i="36" s="1"/>
  <c r="AB78" i="36" s="1"/>
  <c r="Y76" i="36"/>
  <c r="W77" i="36" l="1"/>
  <c r="X77" i="36" s="1"/>
  <c r="Z76" i="36"/>
  <c r="N77" i="36" l="1"/>
  <c r="V77" i="36" l="1"/>
  <c r="M77" i="36"/>
  <c r="O77" i="36"/>
  <c r="AC78" i="36"/>
  <c r="AD77" i="36" l="1"/>
  <c r="P77" i="36"/>
  <c r="R77" i="36" s="1"/>
  <c r="U77" i="36" s="1"/>
  <c r="S77" i="36" l="1"/>
  <c r="T77" i="36"/>
  <c r="L78" i="36" s="1"/>
  <c r="Y77" i="36"/>
  <c r="Z77" i="36" l="1"/>
  <c r="W78" i="36"/>
  <c r="X78" i="36" s="1"/>
  <c r="AB79" i="36" l="1"/>
  <c r="N78" i="36"/>
  <c r="V78" i="36" l="1"/>
  <c r="M78" i="36"/>
  <c r="AC79" i="36"/>
  <c r="O78" i="36"/>
  <c r="AD78" i="36" l="1"/>
  <c r="P78" i="36"/>
  <c r="R78" i="36" s="1"/>
  <c r="U78" i="36" s="1"/>
  <c r="S78" i="36" l="1"/>
  <c r="Y78" i="36"/>
  <c r="T78" i="36"/>
  <c r="L79" i="36" s="1"/>
  <c r="W79" i="36" l="1"/>
  <c r="X79" i="36" s="1"/>
  <c r="Z78" i="36"/>
  <c r="AB80" i="36" l="1"/>
  <c r="N79" i="36"/>
  <c r="V79" i="36" l="1"/>
  <c r="M79" i="36"/>
  <c r="O79" i="36"/>
  <c r="AC80" i="36"/>
  <c r="AD79" i="36" l="1"/>
  <c r="P79" i="36"/>
  <c r="R79" i="36" s="1"/>
  <c r="U79" i="36" s="1"/>
  <c r="S79" i="36" l="1"/>
  <c r="T79" i="36"/>
  <c r="L80" i="36" s="1"/>
  <c r="Y79" i="36"/>
  <c r="Z79" i="36" l="1"/>
  <c r="W80" i="36"/>
  <c r="X80" i="36" s="1"/>
  <c r="AB81" i="36" l="1"/>
  <c r="N80" i="36"/>
  <c r="V80" i="36" l="1"/>
  <c r="M80" i="36"/>
  <c r="O80" i="36"/>
  <c r="AC81" i="36"/>
  <c r="P80" i="36" l="1"/>
  <c r="S80" i="36" s="1"/>
  <c r="AD80" i="36"/>
  <c r="R80" i="36" l="1"/>
  <c r="T80" i="36" l="1"/>
  <c r="L81" i="36" s="1"/>
  <c r="U80" i="36"/>
  <c r="W81" i="36" l="1"/>
  <c r="X81" i="36" s="1"/>
  <c r="Z80" i="36"/>
  <c r="Y80" i="36"/>
  <c r="AB82" i="36"/>
  <c r="N81" i="36"/>
  <c r="V81" i="36" l="1"/>
  <c r="M81" i="36"/>
  <c r="O81" i="36"/>
  <c r="AC82" i="36"/>
  <c r="AD81" i="36" l="1"/>
  <c r="P81" i="36"/>
  <c r="R81" i="36" l="1"/>
  <c r="U81" i="36" s="1"/>
  <c r="S81" i="36"/>
  <c r="T81" i="36" l="1"/>
  <c r="L82" i="36" s="1"/>
  <c r="Y81" i="36"/>
  <c r="Z81" i="36" l="1"/>
  <c r="W82" i="36"/>
  <c r="X82" i="36" s="1"/>
  <c r="AB83" i="36" l="1"/>
  <c r="N82" i="36"/>
  <c r="V82" i="36" l="1"/>
  <c r="M82" i="36"/>
  <c r="O82" i="36"/>
  <c r="AD82" i="36" s="1"/>
  <c r="AC83" i="36"/>
  <c r="P82" i="36" l="1"/>
  <c r="R82" i="36" s="1"/>
  <c r="U82" i="36" s="1"/>
  <c r="S82" i="36"/>
  <c r="T82" i="36" l="1"/>
  <c r="L83" i="36" s="1"/>
  <c r="Z82" i="36"/>
  <c r="W83" i="36"/>
  <c r="X83" i="36" s="1"/>
  <c r="Y82" i="36"/>
  <c r="AB84" i="36" l="1"/>
  <c r="N83" i="36"/>
  <c r="O83" i="36" l="1"/>
  <c r="AC84" i="36"/>
  <c r="V83" i="36"/>
  <c r="M83" i="36"/>
  <c r="P83" i="36" l="1"/>
  <c r="R83" i="36" s="1"/>
  <c r="AD83" i="36"/>
  <c r="T83" i="36" l="1"/>
  <c r="U83" i="36"/>
  <c r="S83" i="36"/>
  <c r="Y83" i="36" l="1"/>
  <c r="Z83" i="36"/>
  <c r="L84" i="36"/>
  <c r="W84" i="36"/>
  <c r="X84" i="36" s="1"/>
  <c r="AB85" i="36" l="1"/>
  <c r="N84" i="36"/>
  <c r="O84" i="36" l="1"/>
  <c r="AC85" i="36"/>
  <c r="V84" i="36"/>
  <c r="M84" i="36"/>
  <c r="P84" i="36" l="1"/>
  <c r="R84" i="36" s="1"/>
  <c r="AD84" i="36"/>
  <c r="S84" i="36" l="1"/>
  <c r="T84" i="36"/>
  <c r="U84" i="36"/>
  <c r="Y84" i="36" l="1"/>
  <c r="W85" i="36"/>
  <c r="X85" i="36" s="1"/>
  <c r="L85" i="36"/>
  <c r="Z84" i="36"/>
  <c r="AB86" i="36" l="1"/>
  <c r="N85" i="36"/>
  <c r="AC86" i="36" l="1"/>
  <c r="O85" i="36"/>
  <c r="V85" i="36"/>
  <c r="M85" i="36"/>
  <c r="P85" i="36" l="1"/>
  <c r="R85" i="36" s="1"/>
  <c r="AD85" i="36"/>
  <c r="T85" i="36" l="1"/>
  <c r="U85" i="36"/>
  <c r="S85" i="36"/>
  <c r="Y85" i="36" l="1"/>
  <c r="L86" i="36"/>
  <c r="Z85" i="36"/>
  <c r="W86" i="36"/>
  <c r="X86" i="36" s="1"/>
  <c r="AB87" i="36" l="1"/>
  <c r="N86" i="36"/>
  <c r="O86" i="36" l="1"/>
  <c r="AC87" i="36"/>
  <c r="V86" i="36"/>
  <c r="M86" i="36"/>
  <c r="P86" i="36" l="1"/>
  <c r="S86" i="36" s="1"/>
  <c r="AD86" i="36"/>
  <c r="R86" i="36" l="1"/>
  <c r="T86" i="36" s="1"/>
  <c r="U86" i="36" l="1"/>
  <c r="Y86" i="36" s="1"/>
  <c r="L87" i="36"/>
  <c r="W87" i="36"/>
  <c r="X87" i="36" s="1"/>
  <c r="Z86" i="36"/>
  <c r="AB88" i="36" l="1"/>
  <c r="N87" i="36"/>
  <c r="O87" i="36" l="1"/>
  <c r="AC88" i="36"/>
  <c r="V87" i="36"/>
  <c r="M87" i="36"/>
  <c r="AD87" i="36" l="1"/>
  <c r="P87" i="36"/>
  <c r="R87" i="36" s="1"/>
  <c r="T87" i="36" l="1"/>
  <c r="U87" i="36"/>
  <c r="S87" i="36"/>
  <c r="Y87" i="36" l="1"/>
  <c r="L88" i="36"/>
  <c r="Z87" i="36"/>
  <c r="W88" i="36"/>
  <c r="X88" i="36" s="1"/>
  <c r="AB89" i="36" l="1"/>
  <c r="N88" i="36"/>
  <c r="O88" i="36" l="1"/>
  <c r="AC89" i="36"/>
  <c r="V88" i="36"/>
  <c r="M88" i="36"/>
  <c r="P88" i="36" l="1"/>
  <c r="S88" i="36" s="1"/>
  <c r="AD88" i="36"/>
  <c r="R88" i="36" l="1"/>
  <c r="T88" i="36" s="1"/>
  <c r="U88" i="36" l="1"/>
  <c r="Y88" i="36" s="1"/>
  <c r="L89" i="36"/>
  <c r="W89" i="36"/>
  <c r="X89" i="36" s="1"/>
  <c r="Z88" i="36"/>
  <c r="AB90" i="36" l="1"/>
  <c r="N89" i="36"/>
  <c r="O89" i="36" l="1"/>
  <c r="AC90" i="36"/>
  <c r="V89" i="36"/>
  <c r="M89" i="36"/>
  <c r="AD89" i="36" l="1"/>
  <c r="P89" i="36"/>
  <c r="R89" i="36" s="1"/>
  <c r="S89" i="36" l="1"/>
  <c r="T89" i="36"/>
  <c r="U89" i="36"/>
  <c r="Y89" i="36" l="1"/>
  <c r="L90" i="36"/>
  <c r="W90" i="36"/>
  <c r="X90" i="36" s="1"/>
  <c r="Z89" i="36"/>
  <c r="AB91" i="36" l="1"/>
  <c r="N90" i="36"/>
  <c r="O90" i="36" l="1"/>
  <c r="AC91" i="36"/>
  <c r="V90" i="36"/>
  <c r="M90" i="36"/>
  <c r="AD90" i="36" l="1"/>
  <c r="P90" i="36"/>
  <c r="R90" i="36" s="1"/>
  <c r="T90" i="36" l="1"/>
  <c r="U90" i="36"/>
  <c r="S90" i="36"/>
  <c r="Y90" i="36" l="1"/>
  <c r="L91" i="36"/>
  <c r="Z90" i="36"/>
  <c r="W91" i="36"/>
  <c r="X91" i="36" s="1"/>
  <c r="AB92" i="36" l="1"/>
  <c r="N91" i="36"/>
  <c r="O91" i="36" l="1"/>
  <c r="AC92" i="36"/>
  <c r="V91" i="36"/>
  <c r="M91" i="36"/>
  <c r="P91" i="36" l="1"/>
  <c r="R91" i="36" s="1"/>
  <c r="AD91" i="36"/>
  <c r="S91" i="36" l="1"/>
  <c r="T91" i="36"/>
  <c r="U91" i="36"/>
  <c r="Y91" i="36" l="1"/>
  <c r="W92" i="36"/>
  <c r="X92" i="36" s="1"/>
  <c r="Z91" i="36"/>
  <c r="L92" i="36"/>
  <c r="AB93" i="36" l="1"/>
  <c r="N92" i="36"/>
  <c r="AC93" i="36" l="1"/>
  <c r="G51" i="36" s="1"/>
  <c r="O92" i="36"/>
  <c r="V92" i="36"/>
  <c r="M92" i="36"/>
  <c r="P92" i="36" l="1"/>
  <c r="R92" i="36" s="1"/>
  <c r="AD92" i="36"/>
  <c r="S92" i="36" l="1"/>
  <c r="T92" i="36"/>
  <c r="U92" i="36"/>
  <c r="Y92" i="36" l="1"/>
  <c r="W93" i="36"/>
  <c r="L93" i="36"/>
  <c r="N93" i="36" s="1"/>
  <c r="M93" i="36" s="1"/>
  <c r="Z92" i="36"/>
  <c r="V93" i="36" l="1"/>
  <c r="X93" i="36"/>
  <c r="AO11" i="36" s="1"/>
  <c r="P93" i="36" l="1"/>
  <c r="R93" i="36" s="1"/>
  <c r="AD93" i="36"/>
  <c r="AO20" i="36"/>
  <c r="AO19" i="36" s="1"/>
  <c r="AO37" i="36"/>
  <c r="S93" i="36" l="1"/>
  <c r="D55" i="36"/>
  <c r="G58" i="36"/>
  <c r="M60" i="36"/>
  <c r="T93" i="36"/>
  <c r="Z93" i="36" s="1"/>
  <c r="U93" i="36"/>
  <c r="Y93" i="36" s="1"/>
  <c r="AO21" i="36" l="1"/>
  <c r="M61" i="36"/>
</calcChain>
</file>

<file path=xl/sharedStrings.xml><?xml version="1.0" encoding="utf-8"?>
<sst xmlns="http://schemas.openxmlformats.org/spreadsheetml/2006/main" count="1043" uniqueCount="725">
  <si>
    <t>&lt;CrystalAddin Version="1" country="GB" lang="en"/&gt;</t>
  </si>
  <si>
    <t>Salix Finance: Telerau ac Amodau ar gyfer Offer Cydymffurfio Salix</t>
  </si>
  <si>
    <t>Telerau ac amodau defnydd</t>
  </si>
  <si>
    <t>Peidio â datgelu</t>
  </si>
  <si>
    <t xml:space="preserve">Mae Salix a/neu'r defnyddiwr yn cydnabod y gallant dderbyn gwybodaeth gyfrinachol sy'n ymwneud â'r parti arall neu ddod yn ymwybodol o wybodaeth gyfrinachol o'r fath. Ac eithrio i'r graddau y caiff datgelu ei ganiatáu'n benodol, neu y cytunir arno fel arall yn ysgrifenedig rhwng y partïon, bydd pob parti yn trin yr wybodaeth gyfrinachol a ddarperir gan y parti arall yn gyfrinachol ac yn ei diogelu'n unol â hynny ac ni fydd yn datgelu'r wybodaeth gyfrinachol a ddarperir gan y parti arall i unrhyw berson arall (heblaw am ei gyflogeion, asiantau a chynghorwyr proffesiynol y mae angen datgelu'r wybodaeth iddynt ac i'r graddau y mae angen datgelu'r wybodaeth at ddibenion ystyried cymhwysedd ar gyfer cyllid Salix ac yn amodol ar sicrhau bod y cyfryw bersonau yn ymwybodol  o'r rhwymedigaethau cyfrinachedd hyn ac y byddant yn cydymffurfio â nhw. </t>
  </si>
  <si>
    <t>Hawliau eiddo deallusol</t>
  </si>
  <si>
    <t xml:space="preserve">Salix yw perchennog neu drwyddai'r holl hawliau eiddo deallusol yn ein hoffer, ac yn y deunydd a geir ynddynt. Mae offer Salix ar gael i'w defnyddio am ddim o dan drwydded. Mae'r edrychiad a'r teimlad, y data cyfannol, y cyfrifiadau a'r algorithmau sydd wedi'u mewblannu, a'r canllawiau cydymffurfio canlyniadol wedi cael eu creu gan Salix Finance sy'n berchen ar yr holl Eiddo Deallusol sydd wedi'i gynnwys ynddynt at ddefnydd cleientiaid presennol a darpar gleientiaid yn unig. 
Cedwir pob hawl. Ni chaniateir atgynhyrchu, dosbarthu na throsglwyddo unrhyw ran o'r offer ar unrhyw ffurf neu drwy unrhyw fodd, gan gynnwys llungopïo, recordio, neu ddulliau electronig neu fecanyddol eraill, heb ganiatâd ysgrifenedig Salix ymlaen llaw, ac eithrio yn achos rhai defnyddiau anfasnachol a ganiateir gan gyfraith hawlfraint. Ar gyfer ceisiadau am ganiatâd, ysgrifennwch i Salix Finance Ltd at 10 South Colonnade, Canary Wharf, London, E14 4PU.
</t>
  </si>
  <si>
    <t>Salix Finance - Offeryn Cydymffurfio</t>
  </si>
  <si>
    <t>Nodiadau Canllaw</t>
  </si>
  <si>
    <t>Bydd yr Offeryn SEELS Cymru newydd hwn yn dod i rym o fis Gorffennaf 2024. 
Mae'r adran ganlynol wedi'i chynllunio i roi canllawiau clir ar sut i gwblhau'r tab 'Offeryn Cydymffurfiaeth Prosiect' er mwyn i chi allu asesu cydymffurfiaeth prosiect. Cwblhewch yr adran Achos Busnes yn y tab ar wahân hefyd. Mae'r tab Amorteiddio Benthyciad yn nodwedd newydd ar gyfer SEELS Cymru, a gellir ei ddefnyddio i asesu ad-daliadau benthyciad mynegol gyda llog. Mae canllawiau ar wahân ar gyfer yr Achos Busnes, y gellir gwneud cais amdanynt o:</t>
  </si>
  <si>
    <t>technical@salixfinance.co.uk</t>
  </si>
  <si>
    <t>Gellid dod o hyd i Nodiadau Gwneud Cais ar gyfer canllawiau penodol ar ein gwefan</t>
  </si>
  <si>
    <t xml:space="preserve">Ar gyfer canllawiau ar gyfrifo'r ynni a ragwelir, gweler isod. </t>
  </si>
  <si>
    <t>Nodwch fanylion y prosiect fel y dangosir yn yr enghraifft isod:</t>
  </si>
  <si>
    <t xml:space="preserve">Nodwch wybodaeth ar gyfer pob math o waith sydd ei angen ar gyfer y prosiect. Gellir nodi hyd at 10 math o waith yma, er y gellir gofyn am fersiwn estynedig o'r ffurflen. </t>
  </si>
  <si>
    <t xml:space="preserve">Mae'r celloedd i'r dde yn dangos y gwerthoedd a gyfrifwyd ar gyfer pob math o waith. </t>
  </si>
  <si>
    <t xml:space="preserve">Bydd gwybodaeth sydd ar goll ar gyfer y math o waith yn cael ei dangos yn y golofn 'Gwirio'r Data a Nodwyd'. Ni ellir cwblhau'r gwiriad cydymffurfiaeth nes bod yr holl wybodaeth wedi'i nodi. </t>
  </si>
  <si>
    <t xml:space="preserve">Unwaith y bydd yr holl wybodaeth sydd ei hangen wedi'i nodi'n gywir, bydd y celloedd ar y gwaelod yn dangos ffigurau terfynol y prosiect a ph'un a yw'r prosiect yn cydymffurfio ai peidio. </t>
  </si>
  <si>
    <t>Os oes gennych chi dechnoleg sy'n effeithio ar fwy nag un tanwydd, nodwch bob tanwydd mewn llinell ar wahân yn yr Offeryn Cydymffurfio:</t>
  </si>
  <si>
    <r>
      <rPr>
        <sz val="16"/>
        <color theme="1"/>
        <rFont val="Verdana"/>
        <family val="2"/>
      </rPr>
      <t xml:space="preserve">Cyfrifo Cost Ynni a Ragwelir:
</t>
    </r>
    <r>
      <rPr>
        <sz val="12"/>
        <color theme="1"/>
        <rFont val="Calibri"/>
        <family val="2"/>
        <scheme val="minor"/>
      </rPr>
      <t xml:space="preserve">
</t>
    </r>
    <r>
      <rPr>
        <sz val="12"/>
        <color theme="1"/>
        <rFont val="Verdana"/>
        <family val="2"/>
      </rPr>
      <t xml:space="preserve"> </t>
    </r>
    <r>
      <rPr>
        <u/>
        <sz val="12"/>
        <color theme="1"/>
        <rFont val="Verdana"/>
        <family val="2"/>
      </rPr>
      <t>Blwyddyn 0 + Blwyddyn 5</t>
    </r>
    <r>
      <rPr>
        <sz val="12"/>
        <color theme="1"/>
        <rFont val="Verdana"/>
        <family val="2"/>
      </rPr>
      <t xml:space="preserve">      =  Cost Ynni a Ragwelir (c/kWh)
            2
</t>
    </r>
    <r>
      <rPr>
        <sz val="11"/>
        <color theme="1"/>
        <rFont val="Verdana"/>
        <family val="2"/>
      </rPr>
      <t xml:space="preserve">
</t>
    </r>
    <r>
      <rPr>
        <sz val="10"/>
        <color theme="1"/>
        <rFont val="Verdana"/>
        <family val="2"/>
      </rPr>
      <t>Bydd y flwyddyn olaf yn dibynnu ar feini prawf cydymffurfiaeth y rhaglen. Gwiriwch raglen benodol i gadarnhau sawl blwyddyn yr oedd angen eu cyfrifo</t>
    </r>
    <r>
      <rPr>
        <sz val="11"/>
        <color theme="1"/>
        <rFont val="Verdana"/>
        <family val="2"/>
      </rPr>
      <t xml:space="preserve">
                                   </t>
    </r>
    <r>
      <rPr>
        <sz val="10"/>
        <color theme="1"/>
        <rFont val="Verdana"/>
        <family val="2"/>
      </rPr>
      <t xml:space="preserve">
</t>
    </r>
    <r>
      <rPr>
        <b/>
        <sz val="10"/>
        <color theme="1"/>
        <rFont val="Verdana"/>
        <family val="2"/>
      </rPr>
      <t>I gyfrifo Blwyddyn 5:</t>
    </r>
    <r>
      <rPr>
        <sz val="10"/>
        <color theme="1"/>
        <rFont val="Verdana"/>
        <family val="2"/>
      </rPr>
      <t xml:space="preserve">
               Blwyddyn 0 x 1.02^5 = Blwyddyn 5
</t>
    </r>
    <r>
      <rPr>
        <b/>
        <sz val="10"/>
        <color theme="1"/>
        <rFont val="Verdana"/>
        <family val="2"/>
      </rPr>
      <t xml:space="preserve">Er enghraifft: </t>
    </r>
    <r>
      <rPr>
        <sz val="10"/>
        <color theme="1"/>
        <rFont val="Verdana"/>
        <family val="2"/>
      </rPr>
      <t xml:space="preserve">
Ar gyfer benthyciad SEELS Lloegr (cyfnod ad-dalu o 5 mlynedd), cost trydan o 12c/kWh ar hyn o bryd gyda chyfradd chwyddiant flynyddol o 2%, byddai'r gost a ragwelir yn: 
</t>
    </r>
    <r>
      <rPr>
        <b/>
        <sz val="10"/>
        <color theme="1"/>
        <rFont val="Verdana"/>
        <family val="2"/>
      </rPr>
      <t xml:space="preserve">Cam 1
</t>
    </r>
    <r>
      <rPr>
        <sz val="10"/>
        <color theme="1"/>
        <rFont val="Verdana"/>
        <family val="2"/>
      </rPr>
      <t xml:space="preserve">
	  12 x 1.02^5 = 13.25c
</t>
    </r>
    <r>
      <rPr>
        <b/>
        <sz val="10"/>
        <color theme="1"/>
        <rFont val="Verdana"/>
        <family val="2"/>
      </rPr>
      <t xml:space="preserve">Cam 2
</t>
    </r>
    <r>
      <rPr>
        <sz val="10"/>
        <color theme="1"/>
        <rFont val="Verdana"/>
        <family val="2"/>
      </rPr>
      <t xml:space="preserve">
            </t>
    </r>
    <r>
      <rPr>
        <u/>
        <sz val="10"/>
        <color theme="1"/>
        <rFont val="Verdana"/>
        <family val="2"/>
      </rPr>
      <t>12 + 13.25</t>
    </r>
    <r>
      <rPr>
        <sz val="10"/>
        <color theme="1"/>
        <rFont val="Verdana"/>
        <family val="2"/>
      </rPr>
      <t xml:space="preserve"> = 12.63c
                   2
</t>
    </r>
    <r>
      <rPr>
        <b/>
        <sz val="10"/>
        <color theme="1"/>
        <rFont val="Verdana"/>
        <family val="2"/>
      </rPr>
      <t>Cost ynni a ragwelir = 12.63c/kWh</t>
    </r>
  </si>
  <si>
    <t>**hidden*</t>
  </si>
  <si>
    <t>*hidden*</t>
  </si>
  <si>
    <t>Hide Here</t>
  </si>
  <si>
    <t>Sefydliad:</t>
  </si>
  <si>
    <t>Salix Finance:</t>
  </si>
  <si>
    <t>Meini Prawf Cydymffurfio:</t>
  </si>
  <si>
    <t>Rhaglen:</t>
  </si>
  <si>
    <t>SEELS Cymru</t>
  </si>
  <si>
    <t>Recycling Fund England</t>
  </si>
  <si>
    <t>Offeryn Cydymffurfio Cymru F38.0</t>
  </si>
  <si>
    <t>Ad-daliad</t>
  </si>
  <si>
    <r>
      <t>£/tCO</t>
    </r>
    <r>
      <rPr>
        <b/>
        <vertAlign val="subscript"/>
        <sz val="10"/>
        <color theme="1"/>
        <rFont val="Verdana"/>
        <family val="2"/>
      </rPr>
      <t>2</t>
    </r>
    <r>
      <rPr>
        <b/>
        <sz val="10"/>
        <color theme="1"/>
        <rFont val="Verdana"/>
        <family val="2"/>
      </rPr>
      <t>e LT</t>
    </r>
  </si>
  <si>
    <t>Prosiectau Gwresogi Ardal yn Unig: Ffactor Carbon Pwrpasol kg/kWh</t>
  </si>
  <si>
    <t>Dyddiad Dechrau</t>
  </si>
  <si>
    <t>Dyddiad Cwblhau</t>
  </si>
  <si>
    <t>Enw'r Safle</t>
  </si>
  <si>
    <t>Oes sy'n Weddill y Safle (blynyddoedd)</t>
  </si>
  <si>
    <t>Disgrifiad o'r Prosiect</t>
  </si>
  <si>
    <t>Gwirio'r Data a Nodwyd</t>
  </si>
  <si>
    <t>Disgrifiad o'r Gwaith</t>
  </si>
  <si>
    <t>Dyddiad Cwblhau'r Prosiect</t>
  </si>
  <si>
    <t>Math o Ynni</t>
  </si>
  <si>
    <t>c/kWh cyfredol</t>
  </si>
  <si>
    <t>c/kWh a ragwelir</t>
  </si>
  <si>
    <t>Newid % a Ragwelir</t>
  </si>
  <si>
    <t>Math o Brosiect</t>
  </si>
  <si>
    <t>Technoleg - Math o Waith</t>
  </si>
  <si>
    <t>kWhrs Blynyddol cyn y Prosiect</t>
  </si>
  <si>
    <t>kWhrs Blynyddol ar ôl y Prosiect</t>
  </si>
  <si>
    <t xml:space="preserve">Arbedion blynyddol - kWh </t>
  </si>
  <si>
    <t>% arbedion - kWh</t>
  </si>
  <si>
    <t>Gwerth y Prosiect</t>
  </si>
  <si>
    <t>Arbedion Ariannol Blynyddol</t>
  </si>
  <si>
    <t>Cyfnod Ad-dalu mewn Blynyddoedd</t>
  </si>
  <si>
    <t>kgCO2/kWh</t>
  </si>
  <si>
    <r>
      <t>tCO</t>
    </r>
    <r>
      <rPr>
        <b/>
        <vertAlign val="subscript"/>
        <sz val="10"/>
        <color theme="0"/>
        <rFont val="Verdana"/>
        <family val="2"/>
      </rPr>
      <t>2</t>
    </r>
    <r>
      <rPr>
        <b/>
        <sz val="10"/>
        <color theme="0"/>
        <rFont val="Verdana"/>
        <family val="2"/>
      </rPr>
      <t>e y flwyddyn</t>
    </r>
  </si>
  <si>
    <r>
      <t>tCO</t>
    </r>
    <r>
      <rPr>
        <b/>
        <vertAlign val="subscript"/>
        <sz val="10"/>
        <color theme="0"/>
        <rFont val="Verdana"/>
        <family val="2"/>
      </rPr>
      <t>2</t>
    </r>
    <r>
      <rPr>
        <b/>
        <sz val="10"/>
        <color theme="0"/>
        <rFont val="Verdana"/>
        <family val="2"/>
      </rPr>
      <t>e LT</t>
    </r>
  </si>
  <si>
    <t>£/tCO2e LT</t>
  </si>
  <si>
    <t>PF</t>
  </si>
  <si>
    <t>Payback</t>
  </si>
  <si>
    <t>Data Entry</t>
  </si>
  <si>
    <t>OK</t>
  </si>
  <si>
    <t>PF Round plus cell value 100</t>
  </si>
  <si>
    <t>Electiricty Carbon Factor</t>
  </si>
  <si>
    <t>£/tCO2</t>
  </si>
  <si>
    <t>Trydan</t>
  </si>
  <si>
    <t xml:space="preserve">Goleuadau LED </t>
  </si>
  <si>
    <t>LED - gosodiad newydd</t>
  </si>
  <si>
    <t>Solar PV</t>
  </si>
  <si>
    <t>Heating - zone control valves</t>
  </si>
  <si>
    <t>Wind turbine</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</si>
  <si>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</si>
  <si>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</si>
  <si>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</si>
  <si>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</si>
  <si>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</si>
  <si>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</si>
  <si>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</si>
  <si>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</si>
  <si>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</si>
  <si>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</si>
  <si>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</si>
  <si>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</si>
  <si>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</si>
  <si>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</si>
  <si>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</si>
  <si>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</si>
  <si>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</si>
  <si>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</si>
  <si>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</si>
  <si>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</si>
  <si>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</si>
  <si>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</si>
  <si>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</si>
  <si>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</si>
  <si>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</si>
  <si>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</si>
  <si>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</si>
  <si>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</si>
  <si>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</si>
  <si>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</si>
  <si>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</si>
  <si>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</si>
  <si>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</si>
  <si>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</si>
  <si>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</si>
  <si>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</si>
  <si>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</si>
  <si>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</si>
  <si>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</si>
  <si>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</si>
  <si>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</si>
  <si>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</si>
  <si>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</si>
  <si>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</si>
  <si>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</si>
  <si>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</si>
  <si>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</si>
  <si>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</si>
  <si>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</si>
  <si>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</si>
  <si>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Cyfanswm Cyllid Salix y Gofynnir Amdano</t>
  </si>
  <si>
    <t>Cyfanswm Gwerth y Prosiect</t>
  </si>
  <si>
    <t>Cyfanswm Arbedion Ariannol</t>
  </si>
  <si>
    <t>Total
kg/kWh</t>
  </si>
  <si>
    <r>
      <t>Cyfanswm
tCO</t>
    </r>
    <r>
      <rPr>
        <b/>
        <vertAlign val="subscript"/>
        <sz val="10"/>
        <color theme="0"/>
        <rFont val="Verdana"/>
        <family val="2"/>
      </rPr>
      <t>2</t>
    </r>
    <r>
      <rPr>
        <b/>
        <sz val="10"/>
        <color theme="0"/>
        <rFont val="Verdana"/>
        <family val="2"/>
      </rPr>
      <t>e y flwyddyn</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</si>
  <si>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</si>
  <si>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</si>
  <si>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Cydymffurfiaeth</t>
  </si>
  <si>
    <t>Camau Gwneud Cais</t>
  </si>
  <si>
    <t>Dyma Gam 1 o broses gwneud cais 3 cham. Cwblhewch yr Offeryn Cydymffurfiaeth Prosiect ar gyfer pob prosiect rydych yn ceisio cyllid Salix ar ei gyfer.</t>
  </si>
  <si>
    <t xml:space="preserve">Os oes gennych mwy na 10 prosiect yr hoffech wneud cais ar eu cyfer, cysylltwch â: technical@salixfinance.co.uk
Unwaith y byddwch wedi cwblhau Cam 1, mae Cam 2 yn cynnwys darparu'r wybodaeth ganlynol i ategu eich cais:
i. Achos busnes Salix wedi'i gwblhau (yn y tab nesaf);
ii. Gwybodaeth ategol ar ffurf cyfrifiadau o arbedion, tystiolaeth o gostau prosiect/tanwydd; manylebau technegol ayyb.
Cam 3 o'r broses gwneud cais yw cwblhau'r tab Amorteiddio Benthyciad. </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</si>
  <si>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</si>
  <si>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</si>
  <si>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</si>
  <si>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</si>
  <si>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</si>
  <si>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</si>
  <si>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</si>
  <si>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</si>
  <si>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</si>
  <si>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</si>
  <si>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</si>
  <si>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</si>
  <si>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Templed Achos Busnes Salix</t>
  </si>
  <si>
    <t>Manylion y Rhaglen</t>
  </si>
  <si>
    <t>Teitl y Prosiect:</t>
  </si>
  <si>
    <t>Enw'r sefydliad:</t>
  </si>
  <si>
    <t>Dyddiad cyflwyno:</t>
  </si>
  <si>
    <t>Dyddiad Cwblhau Amcangyfrifedig:</t>
  </si>
  <si>
    <t>Prif Gyswllt ar gyfer y Prosiect:</t>
  </si>
  <si>
    <t>Dadansoddiad o Gostau'r Prosiect</t>
  </si>
  <si>
    <t>Enw</t>
  </si>
  <si>
    <t>Prif gostau cyfalaf cyfarpar (£)</t>
  </si>
  <si>
    <t>Teitl swydd</t>
  </si>
  <si>
    <t>Llinell cyfeiriad 1</t>
  </si>
  <si>
    <t>Costau gosod (£)</t>
  </si>
  <si>
    <t>Llinell cyfeiriad 2</t>
  </si>
  <si>
    <t>Dinas</t>
  </si>
  <si>
    <t>Costau rheoli prosiect (£)</t>
  </si>
  <si>
    <t>Cod post</t>
  </si>
  <si>
    <t>Ffôn</t>
  </si>
  <si>
    <t>Costau wrth gefn (£)</t>
  </si>
  <si>
    <t>E-bost</t>
  </si>
  <si>
    <t>Costau eraill y prosiect (£)</t>
  </si>
  <si>
    <t>Cyfanswm costau'r prosiect</t>
  </si>
  <si>
    <t>1. Dadansoddiad o'r Costau</t>
  </si>
  <si>
    <t>Dadansoddiad  o gostau'r prosiect - Rhowch sylwadau ar ddadansoddiad o gostau'r prosiect.</t>
  </si>
  <si>
    <t>•   Sut yr amcangyfrifwyd costau'r prosiect?
•   A yw costau'r prosiect yn rhoi cyfrif am gostau gweithredu/cynnal a chadw?</t>
  </si>
  <si>
    <t>2. Manylion y Prosiect</t>
  </si>
  <si>
    <t>Cefndir y prosiect - Rhowch gefndir y prosiect gan gynnwys yr holl fanteision posibl.</t>
  </si>
  <si>
    <t>•  Os oes gennych sawl prosiect &gt;£100,000, rhowch fanylion pob un ohonynt isod.
•  Sut y nodwyd y prosiect?
•  Pwy sydd wedi bod yn gysylltiedig â'r gwaith o ddatblygu'r prosiect? 
•  Sut y bydd y prosiect yn cyfrannu tuag at fynd i'r afael â materion presennol sy'n gysylltiedig â'r defnydd o ynni a charbon?</t>
  </si>
  <si>
    <t>3. Manylion Dogfennaeth Ategol</t>
  </si>
  <si>
    <t xml:space="preserve">• Rhestrwch deitl pob un o'r dogfennau gwybodaeth ategol yn y blwch isod.
• Dylai pob cais ddarparu cyfrifiadau o arbedion ynni, cyfrifiadau/tystiolaeth o gostau, taflenni data, a chynllun monitro ynni a charbon
• Ar gyfer ceisiadau sy'n werth dros £500,000, darparwch gofrestr risg fewnol a rhaglen y prosiect. </t>
  </si>
  <si>
    <t>4. Manylion Cyfrifiadau Arbed Ynni'r Prosiect</t>
  </si>
  <si>
    <t>•  Disgrifiwch sut mae arbedion ynni a charbon y prosiect wedi'u cyfrifo, gan nodi manylion unrhyw ragdybiaethau.
•  Dylai cyfrifiadau gael eu cyflwyno gyda'ch ffurflen gais. .
•  Disgrifiwch y fethodoleg a ddefnyddiwyd i gyfrifo'r costau tanwydd a ragwelir.</t>
  </si>
  <si>
    <t>5. Cynllun Monitro Ynni a Charbon ar ôl Cwblhau'r Prosiect</t>
  </si>
  <si>
    <t>Mae Salix yn argymell bod y defnydd o ynni a charbon yn cael ei fonitro cyn y prosiect ac ar ôl i'r prosiect gael ei gwblhau.
•    Beth yw'r trefniadau ar gyfer monitro a rheoli'r rhaglen ar ôl iddi gael ei chwblhau?
•    Beth yw'r cynlluniau o ran gwerthuso?</t>
  </si>
  <si>
    <t>6. Rheoli'r Prosiect</t>
  </si>
  <si>
    <t xml:space="preserve">Diffiniwch dîm y prosiect a'u rolau wrth gyflawni'r prosiect (e.e. ymgynghorwyr, contractwyr, uwch-reolwyr ayyb).
•    Amlinellwch strwythur y sefydliad o ran pwy sydd â'r awdurdod i gymeradwyo'r prosiect ac unrhyw newidiadau.
•    A oes Cynllun Gweithredu Prosiect wedi'i lunio i nodi'n union sut y caiff y prosiect ei reoli?
•    Ar gyfer prosiectau sy'n werth dros £500,000, atodwch gopi o'ch cynllun prosiect mewnol. </t>
  </si>
  <si>
    <t>7. Profiad Blaenorol</t>
  </si>
  <si>
    <t>Disgrifiwch unrhyw brofiad blaenorol a all fod gennych mewn perthynas â'r mesur effeithlonrwydd ynni arfaethedig. 
•    Amlinellwch hefyd y profiad sydd gan aelodau o dîm y prosiect o ran rheoli prosiectau o faint tebyg, gan gynnwys unrhyw gymorth trydydd parti.</t>
  </si>
  <si>
    <t>8. Risgiau a Mesurau Lliniaru'r Prosiect</t>
  </si>
  <si>
    <t xml:space="preserve">Disgrifiwch unrhyw risgiau i'r prosiect a rhowch fanylion mesurau sydd wedi'u cynllunio i'w lliniaru neu eu hosgoi. Dylai hyn gwmpasu:
•   Unrhyw beth y mae'r prosiect yn dibynnu arno, megis prosiectau eraill yn cael eu cwblhau ar amser neu gydgysylltu o ran materion sefydliadol (e.e. cyfnodau arholiadau a thymor gwresogi). 
•   Risgiau i gyflawni'r prosiect a manylion y strwythurau rheoli sydd ar waith i fonitro.  
•   Nodi materion eraill y mae angen eu datrys cyn y gall y prosiect fynd rhagddo (e.e. gwneud penderfyniad terfynol ynghylch maint offer neu gyfathrebu â rhanddeiliaid).
•   Y risgiau sy'n gysylltiedig â methiant y prosiect i gyflawni'r arbedion. 
•   Atodwch gopi o'ch cofrestr risg fewnol. </t>
  </si>
  <si>
    <t>Disgrifiad o'r Risg</t>
  </si>
  <si>
    <t>Lefel y Risg</t>
  </si>
  <si>
    <t>Sut y caiff y risg ei rheoli a/neu ei lliniaru?</t>
  </si>
  <si>
    <t>9. Amserlenni</t>
  </si>
  <si>
    <t xml:space="preserve">Rhowch fanylion y llwybr critigol ar gyfer cyflawni'r prosiect ar amser gan gynnwys:
•  Dyddiadau ar gyfer cerrig milltir cyflawni allweddol. Atodwch unrhyw rhaglen waith ar gyfer y prosiect.
•  Pa fesurau ar gyfer llithriant posibl y rhaglen sydd wedi'u cynnwys yn yr amserlen gyflawni.  
Darparwch fanylion ar gyfer archebu a darparu eitemau allweddol o gyfarpar ar gyfer y prosiect ac amseroedd arwain arwyddocaol cysylltiedig, gan gynnwys manylion trafodaethau/cytundebau â chyflenwyr/contractwyr. </t>
  </si>
  <si>
    <t>10. Cerrig Milltir Allweddol y Prosiect</t>
  </si>
  <si>
    <t>Camau a gymerwyd / camau i'w cymryd</t>
  </si>
  <si>
    <t>Proses</t>
  </si>
  <si>
    <t>Dyddiad dechrau</t>
  </si>
  <si>
    <t>Dyddiad gorffen</t>
  </si>
  <si>
    <t>Cynhwyswch nifer y diwrnodau wrth gefn</t>
  </si>
  <si>
    <t>A yw hyn wedi'i gwblhau?</t>
  </si>
  <si>
    <t>Cymeradwyo'r Prosiect</t>
  </si>
  <si>
    <t>Cymeradwyaeth ystadau/cyllid</t>
  </si>
  <si>
    <t>Cymeradwyaeth y Bwrdd/cynghorwyr</t>
  </si>
  <si>
    <t>Tendr</t>
  </si>
  <si>
    <t>Amser dylunio'r prosiect</t>
  </si>
  <si>
    <t>Rhoi'r prosiect allan i dendr</t>
  </si>
  <si>
    <t>Dyfarnu'r contract</t>
  </si>
  <si>
    <t>Cyfnod ailystyried</t>
  </si>
  <si>
    <t>Cytundeb PFI (os yw'n berthnasol)</t>
  </si>
  <si>
    <t>Llofnodi'r Weithred Amrywio</t>
  </si>
  <si>
    <t>Archebu</t>
  </si>
  <si>
    <t>Gosod Archeb</t>
  </si>
  <si>
    <t>Darparu</t>
  </si>
  <si>
    <t>Darparu'r Cyfarpar</t>
  </si>
  <si>
    <t>Prosiect ar y safle</t>
  </si>
  <si>
    <t>Dechrau gosod y prosiect</t>
  </si>
  <si>
    <t>Prosiect wedi'i gwblhau</t>
  </si>
  <si>
    <t>Cwblhau'r prosiect ar y safle</t>
  </si>
  <si>
    <t>Comisiynu</t>
  </si>
  <si>
    <t>Anfonebu</t>
  </si>
  <si>
    <t>Anfon tystysgrif cwblhau i Salix</t>
  </si>
  <si>
    <t>Dychwelyd y cytundeb benthyciad i Salix</t>
  </si>
  <si>
    <t>11. Deddf Llesiant Cenedlaethau'r Dyfodol (Cymru) 2015</t>
  </si>
  <si>
    <t xml:space="preserve">•   Disgrifiwch sut y bydd y prosiect hwn yn sicrhau bod y sefydliad yn gwneud y cyfraniad mwyaf posibl i un neu fwy o'r saith nod llesiant yn y Ddeddf a sut mae'r prosiect hwn yn cyd-fynd â'r Egwyddorion Datblygu Cynaliadwy. 
•   Ceir rhagor o wybodaeth am y Ddeddf a'r Ddeddfwriaeth yn https://www.futuregenerations.wales/
</t>
  </si>
  <si>
    <t>Achos Busnes Enghreifftiol Salix - Rhan 3</t>
  </si>
  <si>
    <t xml:space="preserve">Cam olaf y broses o wneud cais yw cwblhau'r tab Amorteiddio Benthyciad (gweler y tab nesaf). </t>
  </si>
  <si>
    <t>Ar gyfer cwestiynau ynghylch sut i gwblhau'r ffurflen hon neu pa wybodaeth i'w chynnwys yn eich cais, mae croeso i chi gysylltu ag aelod o'r Tîm Technegol Ynni a Charbon: technical@salixfinance.co.uk</t>
  </si>
  <si>
    <t>Amorteiddio Benthyciad</t>
  </si>
  <si>
    <t xml:space="preserve">Mae'r ddogfen amorteiddio benthyciad hon yn darparu amserlen ad-dalu benthyciad fynegol a manylion amorteiddio eich benthyciad. Mae'r amserlen yn seiliedig ar y costau, yr arbedion ariannol blynyddol, yr ad-daliad technegol, a'r dyddiad cwblhau a nodwyd yn yr Offeryn Cydymffurfiaeth Prosiect. 
Mae'r amserlen yn cyfrifo'n awtomatig yr isafswm gwerth ad-dalu gofynnol bob blwyddyn er mwyn sicrhau bod yr holl arian yn cael ei ddychwelyd erbyn diwedd y cyfnod ad-dalu. Bydd y broses o ad-dalu'r cyfalaf yn dechrau ar ôl i'r prosiect gael ei gwblhau. Yn unol â thelerau SEELS Cymru, bydd yr ad-daliadau llog cyntaf yn ddyledus ym mis Chwefror ar ôl tynnu'r cyfalaf i lawr. Bydd y gwerth sy'n ddyledus yn dibynnu ar y dyddiad y caiff eich benthyciad ei dynnu i lawr. 
Mae'r dyddiad tynnu i lawr wedi''i bennu chwe wythnos o ddyddiad eich cais at ddibenion yr amserlen ad-dalu fynegol hon. Gall hyn newid a chaiff ei ailgadarnhau gan Salix ar ran Llywodraeth Cymru a chi'ch hun yn ddiweddarach yn y broses ar ôl i'ch cais gael ei asesu. 
Gallwch ddewis ad-dalu rhan o'ch balans cyfalaf yn gynnar naill ai cyn i'r prosiect gael ei gwblhau neu drwy gydol y cyfnod ad-dalu drwy nodi gwerth yn y golofn ad-daliadau cyfalaf cynnar. Bydd y tabl yn diweddaru'r holl werthoedd eraill yn unol â hynny i ddangos yr effaith ar y cyfnod ad-dalu a'r llog rydych yn ei dalu.
Bydd Salix yn adolygu'r tabl amorteiddio benthyciad er mwyn sicrhau ei fod yn bodloni gofynion y dyddiad cau ar gyfer ad-dalu'r benthyciad, ac yn ystyried unrhyw ad-daliadau cynnar. Os bydd eich cais yn llwyddiannus, bydd yr amserlen amorteiddio benthyciad yn cael ei chadarnhau ar y cam galwad cyflawnadwyedd ac yn cael ei chytuno rhyngoch chi, Salix a Llywodraeth Cymru cyn rhoi'r cytundeb benthyciad.   
Noder, mae Salix yn cadw'r hawl, ar ran Llywodraeth Cymru, i rannu manylion eich cais gan gynnwys yr amserlen amorteiddio benthyciad fynegol a'r amserlen amorteiddio benthyciad wedi'i chadarnhau gyda Llywodraeth Cymru a phartneriaid ariannu. </t>
  </si>
  <si>
    <t>Date</t>
  </si>
  <si>
    <t>Year</t>
  </si>
  <si>
    <t>1. Cynllun Ad-dalu Arfaethedig</t>
  </si>
  <si>
    <t>Submission Date</t>
  </si>
  <si>
    <t>Arbedion ariannol blynyddol amcangyfrifedig eich prosiect</t>
  </si>
  <si>
    <t>Final Year Capital Repayment:</t>
  </si>
  <si>
    <r>
      <t xml:space="preserve">Cyfnod ad-dalu technegol eich prosiect - </t>
    </r>
    <r>
      <rPr>
        <sz val="11"/>
        <color rgb="FF382573"/>
        <rFont val="Verdana"/>
        <family val="2"/>
      </rPr>
      <t xml:space="preserve">dyma'r uchafswm cyfnod ad-dalu benthyciad y gallwch ei ddewis. </t>
    </r>
  </si>
  <si>
    <t>Drawdown Month</t>
  </si>
  <si>
    <t>Drawdown Year</t>
  </si>
  <si>
    <t>Year 1 interest due:</t>
  </si>
  <si>
    <t>Y2 Interest due</t>
  </si>
  <si>
    <t>Y3 Interest due</t>
  </si>
  <si>
    <t xml:space="preserve">1a. Sawl blwyddyn ydych chi'n bwriadu ei gymryd i ad-dalu eich benthyciad?
</t>
  </si>
  <si>
    <t>Drawdown Date 1</t>
  </si>
  <si>
    <t>Drawdown 2</t>
  </si>
  <si>
    <t>Drawdown 3</t>
  </si>
  <si>
    <t>Os ydych yn rhagweld y byddwch yn ad-dalu'r benthyciad mewn blwyddyn, gallwch anwybyddu'r tabl amorteiddio yn Adran 3.</t>
  </si>
  <si>
    <t>First Full Interest Payment FY:</t>
  </si>
  <si>
    <t>Months before drawdown</t>
  </si>
  <si>
    <t>Months after drawdown</t>
  </si>
  <si>
    <t>Isafswm gwerth ad-dalu gofynnol (y flwyddyn)</t>
  </si>
  <si>
    <t>First Year Interest Payment accrued from Drawdown Date</t>
  </si>
  <si>
    <t>Interest 1</t>
  </si>
  <si>
    <t xml:space="preserve">Bydd y gwerth hwn yn cael ei ddosrannu i gyfalaf a llog fel y dangosir yn y tabl amorteiddio isod. </t>
  </si>
  <si>
    <t>Interest Payments after first year:</t>
  </si>
  <si>
    <t>Interest 2</t>
  </si>
  <si>
    <t>Total Interest Payments</t>
  </si>
  <si>
    <t>Total Interest</t>
  </si>
  <si>
    <t>Capital Repayments minus Final Year:</t>
  </si>
  <si>
    <t>1b. Ydych chi'n rhagweld y byddwch chi'n gwneud unrhyw ad-daliadau cynnar o ran y benthyciad?</t>
  </si>
  <si>
    <t>Ydy</t>
  </si>
  <si>
    <t>Project complete FY</t>
  </si>
  <si>
    <t xml:space="preserve">Os ydych, nodwch y rhain yn y golofn 'Ad-daliadau Cyfalaf Cynnar' ar gyfer y blynyddoedd priodol yn y tabl amorteiddio benthyciad yn Adran 3. </t>
  </si>
  <si>
    <t>Gweler yr amserlen Amorteiddio Benthyciad fynegol yn Adran 3 isod er gwybodaeth.</t>
  </si>
  <si>
    <t>Maximum payback length</t>
  </si>
  <si>
    <t>Capital year</t>
  </si>
  <si>
    <t>Capital year trim</t>
  </si>
  <si>
    <t>1c. Ydych chi'n bwriadu tynnu'r holl arian i lawr yn y flwyddyn gyntaf?</t>
  </si>
  <si>
    <t>Drawdown month</t>
  </si>
  <si>
    <t>Os nad ydych, cwblhewch y tabl canlynol</t>
  </si>
  <si>
    <t>Capital payment year</t>
  </si>
  <si>
    <t>Ydych chi'n bwriadu tynnu i lawr yn y blynyddoedd canlynol?</t>
  </si>
  <si>
    <t>Pryd ydych chi'n bwriadu tynnu i lawr?</t>
  </si>
  <si>
    <t>Swm i'w dynnu i lawr</t>
  </si>
  <si>
    <t>Capital payment month</t>
  </si>
  <si>
    <t>Blwyddyn 1</t>
  </si>
  <si>
    <t>for formula</t>
  </si>
  <si>
    <t>28/</t>
  </si>
  <si>
    <t>Blwyddyn 2</t>
  </si>
  <si>
    <t>Blwyddyn 3</t>
  </si>
  <si>
    <t>02/</t>
  </si>
  <si>
    <t>Drawdown year minus 1</t>
  </si>
  <si>
    <t xml:space="preserve">1c. Rhowch sylwadau i gefnogi'r cynllun ad-dalu arfaethedig isod. </t>
  </si>
  <si>
    <t>Drawdown year plus 1</t>
  </si>
  <si>
    <t xml:space="preserve">• Ystyriwch sut y caiff yr arbedion ariannol a gynhyrchir o'r prosiect a ddangosir uchod eu defnyddio i gyfrannu at werthoedd ad-dalu blynyddol. 
• Lle defnyddir ad-daliadau cyfalaf cynnar a rhagorir ar yr isafswm gwerth ad-dalu blynyddol gofynnol, rhowch sylwadau i egluro sut y cyfrifwyd gwerth ad-daliadau cynnar, a'r rhesymau am hyn. </t>
  </si>
  <si>
    <t>/</t>
  </si>
  <si>
    <t>Next FY</t>
  </si>
  <si>
    <t>2. Amserlen Ad-dalu Fynegol; sicrhewch fod yr holl Gamau blaenorol wedi'u cwblhau.</t>
  </si>
  <si>
    <t>Crynodeb o'r benthyciad</t>
  </si>
  <si>
    <t>Crynodeb o'r Llog</t>
  </si>
  <si>
    <t>Cyfanswm gwerth y prosiect</t>
  </si>
  <si>
    <t>Taliad llog blwyddyn 1 yn ddyledus</t>
  </si>
  <si>
    <t>Cyfanswm y benthyciad y gofynnir amdano</t>
  </si>
  <si>
    <t>Taliad Llog Llawn Cyntaf:</t>
  </si>
  <si>
    <t>Drawdown 4</t>
  </si>
  <si>
    <t>Cyfradd llog flynyddol</t>
  </si>
  <si>
    <t>Cyfnod llog blwyddyn gyntaf (mis):</t>
  </si>
  <si>
    <t xml:space="preserve">Dyddiad tynnu i lawr cyntaf amcangyfrifedig </t>
  </si>
  <si>
    <t>Cyfanswm Taliadau Llog</t>
  </si>
  <si>
    <t>Ail ddyddiad tynnu i lawr amcangyfrifedig</t>
  </si>
  <si>
    <t>Trydydd dyddiad tynnu i lawr amcangyfrifedig</t>
  </si>
  <si>
    <t>Dyddiad amcangyfrifedig cwblhau'r prosiect</t>
  </si>
  <si>
    <t>Total Capital Repayments</t>
  </si>
  <si>
    <t>Crynodeb o'r Ad-daliad Cyfalaf</t>
  </si>
  <si>
    <t>A yw'r ymgeisydd yn gwneud unrhyw ad-daliadau cynnar?</t>
  </si>
  <si>
    <t>Cyfanswm Ad-daliadau Cynnar</t>
  </si>
  <si>
    <t>Cyfanswn Ad-daliadau Cyfalaf</t>
  </si>
  <si>
    <t>Total Capital Repayments:</t>
  </si>
  <si>
    <t>April</t>
  </si>
  <si>
    <t>Total</t>
  </si>
  <si>
    <t>October</t>
  </si>
  <si>
    <t>Annual capital repayment</t>
  </si>
  <si>
    <t>Trim capital payment year</t>
  </si>
  <si>
    <t>Trim total loan requested</t>
  </si>
  <si>
    <t>Leave blank</t>
  </si>
  <si>
    <t>Project completion month</t>
  </si>
  <si>
    <t>3. Tabl Amorteiddio Benthyciad;</t>
  </si>
  <si>
    <t>Dechrau'r Flwyddyn</t>
  </si>
  <si>
    <t>Diwedd y Flwyddyn</t>
  </si>
  <si>
    <t>Rhif Talu Ad-daliad Cyfalaf</t>
  </si>
  <si>
    <t>Rhif Ad-dalu Llog</t>
  </si>
  <si>
    <t>Blwyddyn Ariannol y Taliad</t>
  </si>
  <si>
    <t>Cuddio Colofn, BT Gyntaf</t>
  </si>
  <si>
    <t>Cuddio Colofn</t>
  </si>
  <si>
    <t>Cuddio Colofn Blwyddyn Ariannol</t>
  </si>
  <si>
    <t>Cuddio - Taliad Benthyciad Cychwynnol</t>
  </si>
  <si>
    <t>Balans Cyfalaf Cychwynnol</t>
  </si>
  <si>
    <t>Taliad Llog</t>
  </si>
  <si>
    <t>Ad-daliad Cyfalaf</t>
  </si>
  <si>
    <t xml:space="preserve">Hide - </t>
  </si>
  <si>
    <t>Ad-daliad Cyfalaf Cynnar</t>
  </si>
  <si>
    <t>Cyfanswm Ad-daliad (heb gynnwys taliadau llog)</t>
  </si>
  <si>
    <t>Hide - All payments</t>
  </si>
  <si>
    <t>Balans Cyfalaf ar y Diwedd</t>
  </si>
  <si>
    <t>Taliadau Cyfalaf Cronnol</t>
  </si>
  <si>
    <t>Taliadau Llog Cronnol</t>
  </si>
  <si>
    <t>Prawf Balans ar y Diwedd - mae'n dangos beth ddylai'r taliad terfynol fod</t>
  </si>
  <si>
    <t>Hide</t>
  </si>
  <si>
    <t>Hide 3</t>
  </si>
  <si>
    <t>Os yw'r cyfalaf ar y diwedd yn fenthyciad</t>
  </si>
  <si>
    <t>Hide 4</t>
  </si>
  <si>
    <t>Statws Ad-dalu</t>
  </si>
  <si>
    <t>For interest (hide)</t>
  </si>
  <si>
    <t>Ar gyfer ad-daliadau cyfalaf (cuddio)</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</si>
  <si>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</si>
  <si>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</si>
  <si>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</si>
  <si>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</si>
  <si>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</si>
  <si>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</si>
  <si>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</si>
  <si>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</si>
  <si>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</si>
  <si>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</si>
  <si>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</si>
  <si>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</si>
  <si>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</si>
  <si>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</si>
  <si>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</si>
  <si>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</si>
  <si>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</si>
  <si>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</si>
  <si>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</si>
  <si>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</si>
  <si>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</si>
  <si>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</si>
  <si>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</si>
  <si>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</si>
  <si>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Enghreifftiau o Dechnolegau Cymwys</t>
  </si>
  <si>
    <t xml:space="preserve">Mae'r rhestr ganlynol yn cynnwys enghreifftiau o dechnolegau cymwys ar gyfer y Gronfa Ailgylchu a Chynlluniau SEELS. Os ydych yn bwriadu cynnwys technolegau nad ydynt yn ymddangos ar y rhestr hon yn eich cais, trafodwch nhw â Salix cyn cyflwyno'r cais. </t>
  </si>
  <si>
    <t>Math o Waith</t>
  </si>
  <si>
    <t>Arbedion carbon uniongyrchol</t>
  </si>
  <si>
    <t>Arbedion carbon anuniongyrchol</t>
  </si>
  <si>
    <t>Oes</t>
  </si>
  <si>
    <t>Diffiniadau o Oes a Ffactor Dyfalrwydd</t>
  </si>
  <si>
    <t>Gwresogi carbon isel</t>
  </si>
  <si>
    <t>Pwmp gwres ffynhonnell aer (aer i ddŵr)</t>
  </si>
  <si>
    <t>x</t>
  </si>
  <si>
    <r>
      <rPr>
        <sz val="14"/>
        <rFont val="Verdana"/>
        <family val="2"/>
      </rPr>
      <t>Oes</t>
    </r>
    <r>
      <rPr>
        <sz val="11"/>
        <rFont val="Verdana"/>
        <family val="2"/>
      </rPr>
      <t xml:space="preserve">: Dyma'r oes a ragwelir ar gyfer technoleg gwresogi carbon isel a ddefnyddir i gyfrifo arbedion oes. Defnyddir yr oes i gyfrifo cost arbed tunnell o CO2e dros oes cais ar gyfer mesurau gwresogi carbon isel (£/tCO2eLT). 
</t>
    </r>
    <r>
      <rPr>
        <sz val="14"/>
        <rFont val="Verdana"/>
        <family val="2"/>
      </rPr>
      <t>Ffactor dyfalrwydd</t>
    </r>
    <r>
      <rPr>
        <sz val="11"/>
        <rFont val="Verdana"/>
        <family val="2"/>
      </rPr>
      <t xml:space="preserve">: Ffactor dyfalrwydd (PF) yw oes technoleg effeithlonrwydd ynni wedi'i gyfartaleddu i ystyried dirywiad. Mae'r Ffactorau Dyfalrwydd ar gyfer technolegau unigol a ddefnyddir gan Salix yn seiliedig ar y rhai a nodwyd gan yr Ymddiriedolaeth Garbon, ac yn gyson â nhw. Caiff y PF ei ddefnyddio wrth gyfrifo cost arbed tunnell o CO2e dros oes cais ar gyfer mesurau effeithlonrwydd ynni (£/tCO2eLT). 
</t>
    </r>
  </si>
  <si>
    <t>Pwmp gwres ffynhonnell aer (aer i aer)</t>
  </si>
  <si>
    <t>Pwmp gwres ffynhonnell daear</t>
  </si>
  <si>
    <t>Pwmp gwres ffynhonnell dŵr</t>
  </si>
  <si>
    <t>Cysylltu â'r system gwresogi ardal bresennol</t>
  </si>
  <si>
    <t>Gwresogi - gwresogi trydan</t>
  </si>
  <si>
    <t>Dŵr poeth - gwresogyddion man defnyddio trydan</t>
  </si>
  <si>
    <t>Solar thermol</t>
  </si>
  <si>
    <t>Biomas</t>
  </si>
  <si>
    <t>Ffactorau Trosi Carbon</t>
  </si>
  <si>
    <t>Ffactor dyfalrwydd</t>
  </si>
  <si>
    <t>Ffynhonnell Ynni</t>
  </si>
  <si>
    <r>
      <t xml:space="preserve"> kg CO</t>
    </r>
    <r>
      <rPr>
        <b/>
        <vertAlign val="subscript"/>
        <sz val="9"/>
        <color theme="0"/>
        <rFont val="Verdana"/>
        <family val="2"/>
      </rPr>
      <t>2</t>
    </r>
    <r>
      <rPr>
        <b/>
        <sz val="9"/>
        <color theme="0"/>
        <rFont val="Verdana"/>
        <family val="2"/>
      </rPr>
      <t>e/kWh</t>
    </r>
  </si>
  <si>
    <t>Notes</t>
  </si>
  <si>
    <t>Previous Values</t>
  </si>
  <si>
    <t>Systemau rheoli ynni adeiladau (BEMS)</t>
  </si>
  <si>
    <t>BEMS - heb eu rheoli o bell</t>
  </si>
  <si>
    <t>Cwmpas 2 a Chwmpas 3  (Colledion Trosglwyddo a Dosbarthu yn unig)</t>
  </si>
  <si>
    <t>E</t>
  </si>
  <si>
    <t>BEMS - wedi'u rheoli o bell</t>
  </si>
  <si>
    <t>Nwy</t>
  </si>
  <si>
    <t>Cwmpas 1 yn unig</t>
  </si>
  <si>
    <t>G</t>
  </si>
  <si>
    <t>Oeri</t>
  </si>
  <si>
    <t>Oeri - system reoli</t>
  </si>
  <si>
    <t>Olew nwy</t>
  </si>
  <si>
    <t>GO</t>
  </si>
  <si>
    <t>Oeri - ailosod peiriannau/uwchraddio</t>
  </si>
  <si>
    <t>Olew tanwydd</t>
  </si>
  <si>
    <t>Olew gwresogi ar wahân i olew nwy neu olew llosgi</t>
  </si>
  <si>
    <t>FO</t>
  </si>
  <si>
    <t>Oeryddion effeithlon o ran ynni</t>
  </si>
  <si>
    <t>Olew llosgi</t>
  </si>
  <si>
    <t>Gelwir hefyd yn gerosîn neu baraffin a ddefnyddir ar gyfer systemau gwresogi</t>
  </si>
  <si>
    <t>BO</t>
  </si>
  <si>
    <t>Oeri rhydd</t>
  </si>
  <si>
    <t>Glo</t>
  </si>
  <si>
    <t>C</t>
  </si>
  <si>
    <t>Amnewid aerdymheru gydag oeri anweddol</t>
  </si>
  <si>
    <t>L</t>
  </si>
  <si>
    <t>Ynni o wastraff</t>
  </si>
  <si>
    <t>Treulio anaerobig</t>
  </si>
  <si>
    <t>Peledi coed</t>
  </si>
  <si>
    <t>WP</t>
  </si>
  <si>
    <t>Llosgi</t>
  </si>
  <si>
    <t xml:space="preserve">Sglodion coed
</t>
  </si>
  <si>
    <t>WC</t>
  </si>
  <si>
    <t>Gwresogi</t>
  </si>
  <si>
    <t>Adfer gwres</t>
  </si>
  <si>
    <t>Bio-nwy</t>
  </si>
  <si>
    <t>BG</t>
  </si>
  <si>
    <t>Gwresogi - rheolyddion ar wahân</t>
  </si>
  <si>
    <t xml:space="preserve">Ffynhonnell:
</t>
  </si>
  <si>
    <t>DESNZ: Ffactorau trosi nwyon tŷ gwydr cyfredol - diweddarwyd Mehefin 2023</t>
  </si>
  <si>
    <t>Gwresogi - gwelliannau i bibellau dosbarthu</t>
  </si>
  <si>
    <t>Gwresogi - falfiau rheoli parth</t>
  </si>
  <si>
    <t>Amnewid tanc dŵr poeth stêm gyda phlât cyfnewid gwres</t>
  </si>
  <si>
    <t>Amnewid trap stêm</t>
  </si>
  <si>
    <t>Storfeydd thermol</t>
  </si>
  <si>
    <t>Dŵr poeth</t>
  </si>
  <si>
    <t>Cyfyngu llif</t>
  </si>
  <si>
    <t>Dŵr poeth - gwelliannau dosbarthu</t>
  </si>
  <si>
    <t>Dŵr poeth - tapiau effeithlon</t>
  </si>
  <si>
    <t>Inswleiddio - adeiladwaith</t>
  </si>
  <si>
    <t>Inswleiddio waliau ceudod</t>
  </si>
  <si>
    <t>Gwydr dwbl gyda fframiau metel neu blastig</t>
  </si>
  <si>
    <t>Leinin wal sych</t>
  </si>
  <si>
    <t>Inswleiddio'r atig</t>
  </si>
  <si>
    <t>Inswleiddio llawr - llawr pren crog</t>
  </si>
  <si>
    <t>Inswleiddio llawr - llawr solet neu fath arall</t>
  </si>
  <si>
    <t>Inswleiddio to</t>
  </si>
  <si>
    <t>Gwydr eilaidd</t>
  </si>
  <si>
    <t>Inswleiddio - atal drafftiau</t>
  </si>
  <si>
    <t>Inswleiddio - arall</t>
  </si>
  <si>
    <t>Drysau cyflymder awtomatig</t>
  </si>
  <si>
    <t>Drysau awtomatig/troi</t>
  </si>
  <si>
    <t>Lobi drafft (allanol)</t>
  </si>
  <si>
    <t>Lobi drafft (mewnol)</t>
  </si>
  <si>
    <t>Ffoil adlewyrchol ar reiddiaduron (waliau allanol)</t>
  </si>
  <si>
    <t>Inswleiddio - pibellau</t>
  </si>
  <si>
    <t>Inswleiddio pibellau gwresogi (allanol)</t>
  </si>
  <si>
    <t>Inswleiddio pibellau gwresogi (mewnol)</t>
  </si>
  <si>
    <t>LED - yr un gosodiad</t>
  </si>
  <si>
    <t>Rheolyddion golau</t>
  </si>
  <si>
    <t>Goleuadau - rheolyddion ar wahân</t>
  </si>
  <si>
    <t>System rheoli goleuadau ganolog</t>
  </si>
  <si>
    <t>Rheolyddion modur</t>
  </si>
  <si>
    <t>Rheolyddion modur cyflymder sefydlog</t>
  </si>
  <si>
    <t>Moduron - gyriannau gwregys gwastad</t>
  </si>
  <si>
    <t>Gyriannau cyflymder amrywiol</t>
  </si>
  <si>
    <t>Amnewid moduron</t>
  </si>
  <si>
    <t>Moduron - effeithlonrwydd uchel</t>
  </si>
  <si>
    <t>Ynni adnewyddadwy</t>
  </si>
  <si>
    <t>Ynni dŵr bach</t>
  </si>
  <si>
    <t>Solar ffotofoltaig</t>
  </si>
  <si>
    <t>Tyrbin gwynt</t>
  </si>
  <si>
    <t>Switsys amser</t>
  </si>
  <si>
    <t>Awyru</t>
  </si>
  <si>
    <t>Ffaniau - uned trin aer</t>
  </si>
  <si>
    <t>Ffaniau - effeithlonrwydd uchel</t>
  </si>
  <si>
    <t>Deunydd newid cam</t>
  </si>
  <si>
    <t>Lleithyddion uwchsain</t>
  </si>
  <si>
    <t>Awyru - dosbarthu</t>
  </si>
  <si>
    <t>Awyru - rheolyddion presenoldeb</t>
  </si>
  <si>
    <t>Project Type</t>
  </si>
  <si>
    <t>Work-type list name</t>
  </si>
  <si>
    <t xml:space="preserve">Client type </t>
  </si>
  <si>
    <t xml:space="preserve">Client-type list name </t>
  </si>
  <si>
    <t>Client Type Selected</t>
  </si>
  <si>
    <t>Client-type list name</t>
  </si>
  <si>
    <t>system rheoli adeiladau</t>
  </si>
  <si>
    <t>BMS</t>
  </si>
  <si>
    <t xml:space="preserve">Emergency_Services </t>
  </si>
  <si>
    <t>Cooling</t>
  </si>
  <si>
    <t xml:space="preserve">Further Education Institution </t>
  </si>
  <si>
    <t xml:space="preserve">Further_Education_Institution </t>
  </si>
  <si>
    <t>Egni o wastraff </t>
  </si>
  <si>
    <t>EfW</t>
  </si>
  <si>
    <t>Project Row</t>
  </si>
  <si>
    <t>Project Type Selected</t>
  </si>
  <si>
    <t>Work type selected</t>
  </si>
  <si>
    <t>Consistency check</t>
  </si>
  <si>
    <t>Check that all cells are ok</t>
  </si>
  <si>
    <t xml:space="preserve">Higher Education Institution </t>
  </si>
  <si>
    <t xml:space="preserve">Higher_Education_Institution </t>
  </si>
  <si>
    <t xml:space="preserve">Gwresogi </t>
  </si>
  <si>
    <t>Heating</t>
  </si>
  <si>
    <t>Local_Authority</t>
  </si>
  <si>
    <t>Hot_water</t>
  </si>
  <si>
    <t>Inswleiddio - ffabrig adeiladu</t>
  </si>
  <si>
    <t>Insulation_building_fabric</t>
  </si>
  <si>
    <t>Primary_School</t>
  </si>
  <si>
    <t xml:space="preserve">Inswleiddio – atal drafftiau </t>
  </si>
  <si>
    <t>Insulation_draught_proofing</t>
  </si>
  <si>
    <t>Secondary_School</t>
  </si>
  <si>
    <t>Insulation_other</t>
  </si>
  <si>
    <t>Insulation_pipework</t>
  </si>
  <si>
    <t>LCH</t>
  </si>
  <si>
    <t>LEDs</t>
  </si>
  <si>
    <t>rheolyddion goleuo</t>
  </si>
  <si>
    <t>Lighting_controls</t>
  </si>
  <si>
    <t>rheolyddion Moduron</t>
  </si>
  <si>
    <t>Motor_controls</t>
  </si>
  <si>
    <t xml:space="preserve">Amnewid Moduron </t>
  </si>
  <si>
    <t>Motor_replacement</t>
  </si>
  <si>
    <t>Egni adnewyddadwy</t>
  </si>
  <si>
    <t>Renewables</t>
  </si>
  <si>
    <t>Switsys amser </t>
  </si>
  <si>
    <t>Time_switches</t>
  </si>
  <si>
    <t>trawsnewidyddion</t>
  </si>
  <si>
    <t>Transformers</t>
  </si>
  <si>
    <t>Ventilation</t>
  </si>
  <si>
    <t>Enter Project Type first</t>
  </si>
  <si>
    <t>Programme</t>
  </si>
  <si>
    <t>PB</t>
  </si>
  <si>
    <t>£/tCO2e</t>
  </si>
  <si>
    <t>Cronfa Ailgylchu Cymru</t>
  </si>
  <si>
    <t>Overall project</t>
  </si>
  <si>
    <t>Criteria</t>
  </si>
  <si>
    <t>Compliancy</t>
  </si>
  <si>
    <t>SEELS_Wales</t>
  </si>
  <si>
    <t>Higher_Education_Institute</t>
  </si>
  <si>
    <t>Recycling_Fund_England_HEI</t>
  </si>
  <si>
    <t>Recycling_Fund_Wales</t>
  </si>
  <si>
    <t>Further_Education_Institute</t>
  </si>
  <si>
    <t>Recycling_Fund_England</t>
  </si>
  <si>
    <t>Emergency Services</t>
  </si>
  <si>
    <t>Emergency_Services</t>
  </si>
  <si>
    <t xml:space="preserve">Primary School </t>
  </si>
  <si>
    <t xml:space="preserve">Primary_School </t>
  </si>
  <si>
    <t>SEELS_England</t>
  </si>
  <si>
    <t>SEELS_Schools</t>
  </si>
  <si>
    <t>Recycling_Fund_Scotland</t>
  </si>
  <si>
    <t>Primary School (Local Authority)</t>
  </si>
  <si>
    <t>Secondary School (Local Authority)</t>
  </si>
  <si>
    <t>SEELS_Scotland</t>
  </si>
  <si>
    <t>Salix_Decarbonisation_Fund</t>
  </si>
  <si>
    <t>Programme Selected</t>
  </si>
  <si>
    <t>vlookup</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</si>
  <si>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</si>
  <si>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</si>
  <si>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</si>
  <si>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</si>
  <si>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</si>
  <si>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</si>
  <si>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</si>
  <si>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</si>
  <si>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</si>
  <si>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</si>
  <si>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</si>
  <si>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</si>
  <si>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</si>
  <si>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</si>
  <si>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</si>
  <si>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</si>
  <si>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</si>
  <si>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</si>
  <si>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</si>
  <si>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</si>
  <si>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</si>
  <si>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</si>
  <si>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</si>
  <si>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</si>
  <si>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</si>
  <si>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</si>
  <si>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</si>
  <si>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</si>
  <si>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</si>
  <si>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</si>
  <si>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</si>
  <si>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</si>
  <si>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</si>
  <si>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</si>
  <si>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</si>
  <si>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</si>
  <si>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</si>
  <si>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</si>
  <si>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</si>
  <si>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</si>
  <si>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</si>
  <si>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</si>
  <si>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</si>
  <si>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</si>
  <si>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</si>
  <si>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</si>
  <si>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</si>
  <si>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</si>
  <si>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</si>
  <si>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</si>
  <si>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</si>
  <si>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</si>
  <si>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</si>
  <si>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</si>
  <si>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</si>
  <si>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</si>
  <si>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</si>
  <si>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</si>
  <si>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</si>
  <si>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</si>
  <si>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</si>
  <si>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</si>
  <si>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</si>
  <si>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</si>
  <si>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</si>
  <si>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</si>
  <si>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 xml:space="preserve">Scoring </t>
  </si>
  <si>
    <t>Number of score</t>
  </si>
  <si>
    <t>Column2</t>
  </si>
  <si>
    <t>Red</t>
  </si>
  <si>
    <t>Amber</t>
  </si>
  <si>
    <t>Green</t>
  </si>
  <si>
    <t>Total ranking</t>
  </si>
  <si>
    <t>Meini Prawf Ychwanegedd:</t>
  </si>
  <si>
    <t xml:space="preserve">Rhaid i brosiectau fod yn "ychwanegol" hefyd – h.y. ni fyddent wedi digwydd heb y cyllid. Ar gyfer prosiectau sydd eisoes yn rhan o'r rhaglen cynnal a chadw y cytunwyd arni ac a ariannwyd, dim ond y buddsoddiad ychwanegol sydd ei angen i ddewis opsiwn arbed ynni drutach y gall y gronfa ei gefnogi. Nid yw hyn yn atal prosiectau sydd wedi'u nodi a'u costio rhag gwneud cais, ar yr amod nad yw arian wedi cael ei ddyrannu. Mae nifer o feini prawf a ddefnyddir i asesu a yw prosiect yn "ychwanegol", gan gynnwys: 
    • A yw'r prosiect yn ofynnol yn unol â deddfwriaeth? Os ydy, "nid yw'n ychwanegol". 
    • A yw Rheoliadau Adeiladu neu swyddogion cynllunio yn nodi ei fod yn ofynnol (e.e. gofyniad i ganran o'r galw am drydan mewn adeiladau newydd gael ei fodloni gan ynni adnewyddadwy ar y safle)? Os ydyn, "nid yw'n ychwanegol".
    • A yw wedi dechrau yn barod neu a yw cyllid wedi'i gytuno eisoes? Os ydy, "nid yw'n ychwanegol".
Os mai NA yw'r ateb i'r holl gwestiynau uchod, yna gall y prosiect gael ei ariannu o dan y Cynllun. </t>
  </si>
  <si>
    <t>Diffiniadau:</t>
  </si>
  <si>
    <t>Model Ffactor Dyfalrwydd:</t>
  </si>
  <si>
    <t>Mae'r Ffactorau Dyfalrwydd ar gyfer technolegau unigol a ddefnyddir gan Salix yn seiliedig ar y rhai a nodwyd gan yr Ymddiriedolaeth Garbon, ac yn gyson â nhw. Ar ddechrau 2009/10, cynhaliodd yr Ymddiriedolaeth Garbon adolygiad o'r Fethodoleg Ffactorau Dyfalrwydd bresennol. Yn dilyn ymgynghoriad ar ddechrau 2010, mae model diwygiedig wedi cael ei fabwysiadu.</t>
  </si>
  <si>
    <t xml:space="preserve">Oes: </t>
  </si>
  <si>
    <t xml:space="preserve">Dyma'r oes a ragwelir ar gyfer technoleg gwresogi carbon isel a ddefnyddir i gyfrifo arbedion oes. Defnyddir yr oes i gyfrifo cost arbed tunnell o CO2e dros oes cais. </t>
  </si>
  <si>
    <t>% kWh a arbedwyd:</t>
  </si>
  <si>
    <t xml:space="preserve">Dylai cleientiaid gynnwys % kWh y rhagwelir y byddant yn ei harbed. </t>
  </si>
  <si>
    <t>tCO2e y flwyddyn:</t>
  </si>
  <si>
    <r>
      <t>Tunelli o CO</t>
    </r>
    <r>
      <rPr>
        <vertAlign val="subscript"/>
        <sz val="10"/>
        <color theme="1"/>
        <rFont val="Verdana"/>
        <family val="2"/>
      </rPr>
      <t>2</t>
    </r>
    <r>
      <rPr>
        <sz val="10"/>
        <color theme="1"/>
        <rFont val="Verdana"/>
        <family val="2"/>
      </rPr>
      <t>e a arbedir y flwyddyn</t>
    </r>
  </si>
  <si>
    <t>£/tCO2e LT:</t>
  </si>
  <si>
    <r>
      <t>Cost (£) fesul tunnell CO</t>
    </r>
    <r>
      <rPr>
        <vertAlign val="subscript"/>
        <sz val="10"/>
        <rFont val="Verdana"/>
        <family val="2"/>
      </rPr>
      <t>2</t>
    </r>
    <r>
      <rPr>
        <sz val="10"/>
        <rFont val="Verdana"/>
        <family val="2"/>
      </rPr>
      <t>e a arbedir - oes</t>
    </r>
  </si>
  <si>
    <t>Ver</t>
  </si>
  <si>
    <t>Change</t>
  </si>
  <si>
    <t>By</t>
  </si>
  <si>
    <t>Jul-24</t>
  </si>
  <si>
    <t>Application form SEELS Wales specific.
Changes to design to bring in line with other Salix schemes.
Addition of loan amortisation tab.</t>
  </si>
  <si>
    <t>CS</t>
  </si>
  <si>
    <t>Nov-23</t>
  </si>
  <si>
    <t>Updated carbon factors for electricity</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</si>
  <si>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</si>
  <si>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</si>
  <si>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</si>
  <si>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</si>
  <si>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</si>
  <si>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</si>
  <si>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</si>
  <si>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</si>
  <si>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</si>
  <si>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</si>
  <si>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</si>
  <si>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</si>
  <si>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</si>
  <si>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</si>
  <si>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</si>
  <si>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</si>
  <si>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</si>
  <si>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</si>
  <si>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</si>
  <si>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</si>
  <si>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</si>
  <si>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</si>
  <si>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</si>
  <si>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</si>
  <si>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</si>
  <si>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</si>
  <si>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</si>
  <si>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</si>
  <si>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</si>
  <si>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</si>
  <si>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</si>
  <si>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</si>
  <si>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</si>
  <si>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</si>
  <si>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</si>
  <si>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</si>
  <si>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</si>
  <si>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</si>
  <si>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</si>
  <si>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</si>
  <si>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</si>
  <si>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</si>
  <si>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</si>
  <si>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</si>
  <si>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</si>
  <si>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</si>
  <si>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</si>
  <si>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</si>
  <si>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</si>
  <si>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</si>
  <si>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</si>
  <si>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Forecast p/kWh</t>
  </si>
  <si>
    <t>Forecast % Change</t>
  </si>
  <si>
    <t>Work Type</t>
  </si>
  <si>
    <t>Annual kWh Pre-Project</t>
  </si>
  <si>
    <t>Annual kWh Post-Project</t>
  </si>
  <si>
    <t>Annual kWh Saving</t>
  </si>
  <si>
    <t>% kWh savings</t>
  </si>
  <si>
    <t>Annual Financial Savings</t>
  </si>
  <si>
    <t>Payback Period</t>
  </si>
  <si>
    <t>kg/kWh</t>
  </si>
  <si>
    <t>tCO2 pa</t>
  </si>
  <si>
    <t>tCO2 LT Savings</t>
  </si>
  <si>
    <t>£/tCO2 LT</t>
  </si>
  <si>
    <t>LT Financial Saving</t>
  </si>
  <si>
    <t>Back Data:</t>
  </si>
  <si>
    <t>Measure Reference:</t>
  </si>
  <si>
    <t>Energy
type</t>
  </si>
  <si>
    <t>p/kWh</t>
  </si>
  <si>
    <t>Technology - Work Type</t>
  </si>
  <si>
    <t>Annual kWhrs Pre-Project</t>
  </si>
  <si>
    <t>Annual kWhrs Post-Project</t>
  </si>
  <si>
    <t>Annual kWh savings</t>
  </si>
  <si>
    <t>Annual Financial Saving</t>
  </si>
  <si>
    <t>tCO2 LT</t>
  </si>
  <si>
    <t>Cost per Measure</t>
  </si>
  <si>
    <t>Number</t>
  </si>
  <si>
    <t>Energy type</t>
  </si>
  <si>
    <t xml:space="preserve">Mae Salix Finance Ltd (“Salix”) yn cynnig cyllid benthyciad ar gyfer phrosiectau effeithlonrwydd ynni a datgarboneiddio ar gyfer cyrff sector cyhoeddus sydd wedi’u cofrestru yng Nghymru ar gyfradd llog sefydlog o 2.05%. Mae'n rhaid i fenthyciadau Salix gydymffurfio ag amodau penodol o ran y math o gyfarpar sy'n cael ei osod a'i effeithlonrwydd o ran arbedion ariannol ac arbedion carbon. Mae Salix wedi datblygu cyfres o "offer" syml sydd ar gael i ddefnyddwyr eu lawrlwytho am ddim i'w helpu i amcangyfrif  yr arbedion ariannol a'r arbedion carbon a ragwelir ar gyfer pob cynllun y maent am ei asesu gan ddefnyddio data a ddarperir gan y defnyddiwr.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</si>
</sst>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8" formatCode="&quot;£&quot;#,##0.00;[Red]\-&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 numFmtId="175" formatCode="dd/mm/yyyy;@"/>
  </numFmts>
  <fonts count="1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sz val="10"/>
      <color rgb="FF000000"/>
      <name val="Verdana"/>
      <family val="2"/>
    </font>
    <font>
      <b/>
      <sz val="9"/>
      <color rgb="FFFF0000"/>
      <name val="Verdana"/>
      <family val="2"/>
    </font>
    <font>
      <sz val="10"/>
      <color rgb="FFFF0000"/>
      <name val="Arial"/>
      <family val="2"/>
    </font>
    <font>
      <b/>
      <sz val="28"/>
      <color theme="6"/>
      <name val="Verdana"/>
      <family val="2"/>
    </font>
    <font>
      <b/>
      <sz val="16"/>
      <color theme="0"/>
      <name val="Verdana"/>
      <family val="2"/>
    </font>
    <font>
      <b/>
      <sz val="14"/>
      <color theme="6"/>
      <name val="Verdana"/>
      <family val="2"/>
    </font>
    <font>
      <sz val="8"/>
      <color rgb="FFFF0000"/>
      <name val="Verdana"/>
      <family val="2"/>
    </font>
    <font>
      <sz val="8"/>
      <color theme="1"/>
      <name val="Verdana"/>
      <family val="2"/>
    </font>
    <font>
      <b/>
      <sz val="14"/>
      <color rgb="FF382573"/>
      <name val="Verdana"/>
      <family val="2"/>
    </font>
    <font>
      <sz val="14"/>
      <color rgb="FF382573"/>
      <name val="Verdana"/>
      <family val="2"/>
    </font>
    <font>
      <sz val="12"/>
      <color rgb="FFFF0000"/>
      <name val="Verdana"/>
      <family val="2"/>
    </font>
    <font>
      <sz val="9"/>
      <color rgb="FFFF0000"/>
      <name val="Verdana"/>
      <family val="2"/>
    </font>
    <font>
      <sz val="12"/>
      <color theme="6"/>
      <name val="Calibri"/>
      <family val="2"/>
      <scheme val="minor"/>
    </font>
    <font>
      <sz val="11"/>
      <color theme="0"/>
      <name val="Verdana"/>
      <family val="2"/>
    </font>
    <font>
      <sz val="9"/>
      <color theme="0"/>
      <name val="Verdana"/>
      <family val="2"/>
    </font>
    <font>
      <b/>
      <sz val="9"/>
      <name val="Verdana"/>
      <family val="2"/>
    </font>
    <font>
      <sz val="9"/>
      <color theme="0"/>
      <name val="Arial"/>
      <family val="2"/>
    </font>
    <font>
      <sz val="9"/>
      <color rgb="FFFF0000"/>
      <name val="Arial"/>
      <family val="2"/>
    </font>
    <font>
      <b/>
      <sz val="8"/>
      <color theme="0"/>
      <name val="Verdana"/>
      <family val="2"/>
    </font>
    <font>
      <sz val="8"/>
      <color theme="0"/>
      <name val="Verdana"/>
      <family val="2"/>
    </font>
    <font>
      <sz val="8"/>
      <color rgb="FF000000"/>
      <name val="Verdana"/>
      <family val="2"/>
    </font>
    <font>
      <sz val="8"/>
      <name val="Verdana"/>
      <family val="2"/>
    </font>
    <font>
      <b/>
      <sz val="8"/>
      <color theme="1"/>
      <name val="Verdana"/>
      <family val="2"/>
    </font>
    <font>
      <b/>
      <sz val="16"/>
      <color rgb="FF382573"/>
      <name val="Verdana"/>
      <family val="2"/>
    </font>
    <font>
      <sz val="8"/>
      <color rgb="FF382573"/>
      <name val="Verdana"/>
      <family val="2"/>
    </font>
    <font>
      <b/>
      <sz val="12"/>
      <color rgb="FF382573"/>
      <name val="Verdana"/>
      <family val="2"/>
    </font>
    <font>
      <sz val="10"/>
      <color rgb="FF382573"/>
      <name val="Verdana"/>
      <family val="2"/>
    </font>
    <font>
      <u/>
      <sz val="12"/>
      <color rgb="FF382573"/>
      <name val="Verdana"/>
      <family val="2"/>
    </font>
    <font>
      <b/>
      <sz val="10"/>
      <color rgb="FF382573"/>
      <name val="Verdana"/>
      <family val="2"/>
    </font>
    <font>
      <u/>
      <sz val="10"/>
      <color rgb="FF382573"/>
      <name val="Verdana"/>
      <family val="2"/>
    </font>
    <font>
      <b/>
      <sz val="9"/>
      <color rgb="FF382573"/>
      <name val="Verdana"/>
      <family val="2"/>
    </font>
    <font>
      <sz val="9"/>
      <color rgb="FF382573"/>
      <name val="Verdana"/>
      <family val="2"/>
    </font>
    <font>
      <sz val="8"/>
      <name val="Arial"/>
      <family val="2"/>
    </font>
    <font>
      <b/>
      <sz val="11"/>
      <color rgb="FFFF0000"/>
      <name val="Verdana"/>
      <family val="2"/>
    </font>
    <font>
      <b/>
      <sz val="8"/>
      <color theme="1"/>
      <name val="Verdana"/>
    </font>
  </fonts>
  <fills count="3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rgb="FFA6A6A6"/>
      </patternFill>
    </fill>
    <fill>
      <patternFill patternType="solid">
        <fgColor theme="0"/>
        <bgColor rgb="FFD9D9D9"/>
      </patternFill>
    </fill>
    <fill>
      <patternFill patternType="solid">
        <fgColor theme="0" tint="-0.14999847407452621"/>
        <bgColor indexed="64"/>
      </patternFill>
    </fill>
    <fill>
      <patternFill patternType="solid">
        <fgColor rgb="FFD0F2E3"/>
        <bgColor indexed="64"/>
      </patternFill>
    </fill>
    <fill>
      <patternFill patternType="solid">
        <fgColor rgb="FF2DAE76"/>
        <bgColor rgb="FF000000"/>
      </patternFill>
    </fill>
  </fills>
  <borders count="20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indexed="64"/>
      </top>
      <bottom/>
      <diagonal/>
    </border>
    <border>
      <left/>
      <right/>
      <top/>
      <bottom style="thin">
        <color rgb="FF382573"/>
      </bottom>
      <diagonal/>
    </border>
    <border>
      <left style="thin">
        <color rgb="FF382573"/>
      </left>
      <right/>
      <top style="thin">
        <color rgb="FF382573"/>
      </top>
      <bottom style="thin">
        <color rgb="FF382573"/>
      </bottom>
      <diagonal/>
    </border>
    <border>
      <left/>
      <right/>
      <top style="thin">
        <color rgb="FF382573"/>
      </top>
      <bottom style="thin">
        <color rgb="FF382573"/>
      </bottom>
      <diagonal/>
    </border>
    <border>
      <left/>
      <right style="thin">
        <color rgb="FF382573"/>
      </right>
      <top style="thin">
        <color rgb="FF382573"/>
      </top>
      <bottom style="thin">
        <color rgb="FF382573"/>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382573"/>
      </right>
      <top style="medium">
        <color indexed="64"/>
      </top>
      <bottom style="thin">
        <color rgb="FF382573"/>
      </bottom>
      <diagonal/>
    </border>
    <border>
      <left/>
      <right style="medium">
        <color indexed="64"/>
      </right>
      <top style="medium">
        <color indexed="64"/>
      </top>
      <bottom style="thin">
        <color indexed="64"/>
      </bottom>
      <diagonal/>
    </border>
    <border>
      <left style="medium">
        <color indexed="64"/>
      </left>
      <right style="thin">
        <color rgb="FF382573"/>
      </right>
      <top style="thin">
        <color rgb="FF382573"/>
      </top>
      <bottom style="thin">
        <color rgb="FF382573"/>
      </bottom>
      <diagonal/>
    </border>
    <border>
      <left style="medium">
        <color indexed="64"/>
      </left>
      <right style="thin">
        <color rgb="FF382573"/>
      </right>
      <top style="thin">
        <color rgb="FF382573"/>
      </top>
      <bottom style="thin">
        <color theme="1"/>
      </bottom>
      <diagonal/>
    </border>
    <border>
      <left/>
      <right style="medium">
        <color indexed="64"/>
      </right>
      <top style="thin">
        <color theme="1"/>
      </top>
      <bottom style="thin">
        <color theme="1"/>
      </bottom>
      <diagonal/>
    </border>
    <border>
      <left style="medium">
        <color indexed="64"/>
      </left>
      <right style="thin">
        <color rgb="FF382573"/>
      </right>
      <top style="thin">
        <color theme="1"/>
      </top>
      <bottom style="thin">
        <color theme="1"/>
      </bottom>
      <diagonal/>
    </border>
    <border>
      <left style="medium">
        <color indexed="64"/>
      </left>
      <right style="thin">
        <color rgb="FF382573"/>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rgb="FF382573"/>
      </right>
      <top style="thin">
        <color rgb="FF382573"/>
      </top>
      <bottom style="medium">
        <color indexed="64"/>
      </bottom>
      <diagonal/>
    </border>
    <border>
      <left/>
      <right style="medium">
        <color indexed="64"/>
      </right>
      <top style="thin">
        <color indexed="64"/>
      </top>
      <bottom style="medium">
        <color indexed="64"/>
      </bottom>
      <diagonal/>
    </border>
    <border>
      <left style="medium">
        <color indexed="64"/>
      </left>
      <right style="thin">
        <color rgb="FF382573"/>
      </right>
      <top style="thin">
        <color rgb="FF382573"/>
      </top>
      <bottom/>
      <diagonal/>
    </border>
    <border>
      <left style="medium">
        <color indexed="64"/>
      </left>
      <right style="thin">
        <color rgb="FF382573"/>
      </right>
      <top/>
      <bottom/>
      <diagonal/>
    </border>
    <border>
      <left style="medium">
        <color indexed="64"/>
      </left>
      <right style="thin">
        <color rgb="FF382573"/>
      </right>
      <top/>
      <bottom style="thin">
        <color rgb="FF382573"/>
      </bottom>
      <diagonal/>
    </border>
  </borders>
  <cellStyleXfs count="28">
    <xf numFmtId="0" fontId="0" fillId="0" borderId="0"/>
    <xf numFmtId="43" fontId="10" fillId="0" borderId="0" applyFont="0" applyFill="0" applyBorder="0" applyAlignment="0" applyProtection="0"/>
    <xf numFmtId="0" fontId="11" fillId="0" borderId="0" applyNumberFormat="0" applyFill="0" applyBorder="0" applyAlignment="0" applyProtection="0">
      <alignment vertical="top"/>
      <protection locked="0"/>
    </xf>
    <xf numFmtId="0" fontId="12" fillId="0" borderId="0"/>
    <xf numFmtId="0" fontId="9" fillId="0" borderId="0"/>
    <xf numFmtId="9" fontId="10" fillId="0" borderId="0" applyFont="0" applyFill="0" applyBorder="0" applyAlignment="0" applyProtection="0"/>
    <xf numFmtId="0" fontId="10" fillId="0" borderId="0"/>
    <xf numFmtId="0" fontId="8" fillId="0" borderId="0"/>
    <xf numFmtId="0" fontId="7" fillId="0" borderId="0"/>
    <xf numFmtId="9" fontId="7" fillId="0" borderId="0" applyFont="0" applyFill="0" applyBorder="0" applyAlignment="0" applyProtection="0"/>
    <xf numFmtId="0" fontId="7" fillId="0" borderId="0"/>
    <xf numFmtId="0" fontId="10" fillId="0" borderId="0"/>
    <xf numFmtId="0" fontId="27" fillId="0" borderId="0"/>
    <xf numFmtId="0" fontId="21" fillId="0" borderId="0"/>
    <xf numFmtId="0" fontId="28" fillId="0" borderId="0" applyNumberFormat="0" applyFill="0" applyBorder="0" applyAlignment="0" applyProtection="0">
      <alignment vertical="top"/>
      <protection locked="0"/>
    </xf>
    <xf numFmtId="0" fontId="6" fillId="0" borderId="0"/>
    <xf numFmtId="43" fontId="10" fillId="0" borderId="0" applyFont="0" applyFill="0" applyBorder="0" applyAlignment="0" applyProtection="0"/>
    <xf numFmtId="0" fontId="10" fillId="0" borderId="0"/>
    <xf numFmtId="0" fontId="4" fillId="0" borderId="0"/>
    <xf numFmtId="9" fontId="4" fillId="0" borderId="0" applyFont="0" applyFill="0" applyBorder="0" applyAlignment="0" applyProtection="0"/>
    <xf numFmtId="0" fontId="3" fillId="0" borderId="0"/>
    <xf numFmtId="0" fontId="2" fillId="0" borderId="0"/>
    <xf numFmtId="0" fontId="11" fillId="0" borderId="0" applyNumberFormat="0" applyFill="0" applyBorder="0" applyAlignment="0" applyProtection="0">
      <alignment vertical="top"/>
      <protection locked="0"/>
    </xf>
    <xf numFmtId="0" fontId="2" fillId="0" borderId="0"/>
    <xf numFmtId="0" fontId="90" fillId="0" borderId="0" applyNumberFormat="0" applyFill="0" applyBorder="0" applyAlignment="0" applyProtection="0"/>
    <xf numFmtId="0" fontId="1" fillId="0" borderId="0"/>
    <xf numFmtId="0" fontId="1" fillId="0" borderId="0"/>
    <xf numFmtId="44" fontId="10" fillId="0" borderId="0" applyFont="0" applyFill="0" applyBorder="0" applyAlignment="0" applyProtection="0"/>
  </cellStyleXfs>
  <cellXfs count="1047">
    <xf numFmtId="0" fontId="0" fillId="0" borderId="0" xfId="0"/>
    <xf numFmtId="0" fontId="0" fillId="0" borderId="0" xfId="0" quotePrefix="1"/>
    <xf numFmtId="0" fontId="0" fillId="3" borderId="0" xfId="0" applyFill="1"/>
    <xf numFmtId="0" fontId="13" fillId="0" borderId="0" xfId="0" applyFont="1"/>
    <xf numFmtId="0" fontId="13" fillId="0" borderId="0" xfId="0" applyFont="1" applyAlignment="1">
      <alignment vertical="center"/>
    </xf>
    <xf numFmtId="0" fontId="19" fillId="5" borderId="0" xfId="0" applyFont="1" applyFill="1" applyAlignment="1">
      <alignment horizontal="center" vertical="center" wrapText="1"/>
    </xf>
    <xf numFmtId="0" fontId="16" fillId="5" borderId="0" xfId="0" applyFont="1" applyFill="1" applyAlignment="1">
      <alignment vertical="center"/>
    </xf>
    <xf numFmtId="0" fontId="19" fillId="5" borderId="0" xfId="0" applyFont="1" applyFill="1" applyAlignment="1">
      <alignment vertical="center"/>
    </xf>
    <xf numFmtId="0" fontId="16" fillId="5" borderId="0" xfId="0" applyFont="1" applyFill="1" applyAlignment="1">
      <alignment horizontal="left" vertical="top" wrapText="1"/>
    </xf>
    <xf numFmtId="0" fontId="16" fillId="5" borderId="0" xfId="0" applyFont="1" applyFill="1" applyAlignment="1" applyProtection="1">
      <alignment horizontal="left" vertical="top" wrapText="1"/>
      <protection hidden="1"/>
    </xf>
    <xf numFmtId="0" fontId="16" fillId="5" borderId="0" xfId="0" applyFont="1" applyFill="1" applyAlignment="1">
      <alignment vertical="center" wrapText="1"/>
    </xf>
    <xf numFmtId="0" fontId="16" fillId="5" borderId="0" xfId="0" applyFont="1" applyFill="1"/>
    <xf numFmtId="0" fontId="16" fillId="5" borderId="0" xfId="0" applyFont="1" applyFill="1" applyAlignment="1">
      <alignment wrapText="1"/>
    </xf>
    <xf numFmtId="0" fontId="21" fillId="3" borderId="0" xfId="0" applyFont="1" applyFill="1"/>
    <xf numFmtId="0" fontId="22" fillId="3" borderId="0" xfId="0" applyFont="1" applyFill="1" applyAlignment="1">
      <alignment vertical="top"/>
    </xf>
    <xf numFmtId="0" fontId="23" fillId="3" borderId="0" xfId="0" applyFont="1" applyFill="1" applyAlignment="1">
      <alignment horizontal="left" vertical="top"/>
    </xf>
    <xf numFmtId="0" fontId="21" fillId="3" borderId="0" xfId="0" applyFont="1" applyFill="1" applyAlignment="1">
      <alignment vertical="top" wrapText="1"/>
    </xf>
    <xf numFmtId="0" fontId="16" fillId="0" borderId="0" xfId="0" applyFont="1" applyAlignment="1">
      <alignment horizontal="center"/>
    </xf>
    <xf numFmtId="166" fontId="16" fillId="0" borderId="0" xfId="0" applyNumberFormat="1" applyFont="1" applyAlignment="1">
      <alignment horizontal="center"/>
    </xf>
    <xf numFmtId="0" fontId="16" fillId="0" borderId="0" xfId="0" applyFont="1" applyAlignment="1">
      <alignment horizontal="left" wrapText="1"/>
    </xf>
    <xf numFmtId="1" fontId="16" fillId="0" borderId="0" xfId="0" applyNumberFormat="1" applyFont="1" applyAlignment="1">
      <alignment horizontal="center"/>
    </xf>
    <xf numFmtId="0" fontId="16" fillId="0" borderId="0" xfId="0" applyFont="1" applyAlignment="1">
      <alignment horizontal="left"/>
    </xf>
    <xf numFmtId="5" fontId="16" fillId="0" borderId="0" xfId="1" applyNumberFormat="1" applyFont="1"/>
    <xf numFmtId="164" fontId="16" fillId="0" borderId="0" xfId="0" applyNumberFormat="1" applyFont="1"/>
    <xf numFmtId="0" fontId="16" fillId="0" borderId="0" xfId="0" applyFont="1"/>
    <xf numFmtId="0" fontId="16" fillId="0" borderId="0" xfId="0" applyFont="1" applyAlignment="1">
      <alignment vertical="center"/>
    </xf>
    <xf numFmtId="0" fontId="19" fillId="5" borderId="0" xfId="0" applyFont="1" applyFill="1" applyAlignment="1" applyProtection="1">
      <alignment horizontal="left" vertical="top" wrapText="1"/>
      <protection hidden="1"/>
    </xf>
    <xf numFmtId="0" fontId="0" fillId="5" borderId="0" xfId="0" applyFill="1"/>
    <xf numFmtId="0" fontId="19" fillId="5" borderId="0" xfId="0" applyFont="1" applyFill="1" applyAlignment="1">
      <alignment horizontal="left" vertical="top" wrapText="1"/>
    </xf>
    <xf numFmtId="0" fontId="21" fillId="0" borderId="0" xfId="8" applyFont="1" applyAlignment="1" applyProtection="1">
      <alignment vertical="center"/>
      <protection hidden="1"/>
    </xf>
    <xf numFmtId="0" fontId="21" fillId="0" borderId="0" xfId="8" applyFont="1" applyAlignment="1" applyProtection="1">
      <alignment horizontal="center" vertical="center"/>
      <protection hidden="1"/>
    </xf>
    <xf numFmtId="0" fontId="21" fillId="5" borderId="0" xfId="13" applyFill="1" applyAlignment="1" applyProtection="1">
      <alignment horizontal="left" vertical="top"/>
      <protection hidden="1"/>
    </xf>
    <xf numFmtId="0" fontId="21" fillId="5" borderId="0" xfId="13" applyFill="1" applyAlignment="1" applyProtection="1">
      <alignment horizontal="left" vertical="top" wrapText="1"/>
      <protection hidden="1"/>
    </xf>
    <xf numFmtId="0" fontId="16" fillId="5" borderId="1" xfId="0" applyFont="1" applyFill="1" applyBorder="1" applyAlignment="1" applyProtection="1">
      <alignment horizontal="left" vertical="top" wrapText="1"/>
      <protection hidden="1"/>
    </xf>
    <xf numFmtId="14" fontId="16" fillId="5" borderId="0" xfId="0" applyNumberFormat="1" applyFont="1" applyFill="1" applyAlignment="1">
      <alignment vertical="center"/>
    </xf>
    <xf numFmtId="0" fontId="29" fillId="4" borderId="1" xfId="0" applyFont="1" applyFill="1" applyBorder="1" applyAlignment="1" applyProtection="1">
      <alignment vertical="top" wrapText="1"/>
      <protection locked="0" hidden="1"/>
    </xf>
    <xf numFmtId="0" fontId="16" fillId="0" borderId="0" xfId="0" applyFont="1" applyAlignment="1" applyProtection="1">
      <alignment vertical="top" wrapText="1"/>
      <protection locked="0" hidden="1"/>
    </xf>
    <xf numFmtId="0" fontId="16" fillId="2" borderId="1" xfId="0" applyFont="1" applyFill="1" applyBorder="1" applyAlignment="1" applyProtection="1">
      <alignment horizontal="left" vertical="top" wrapText="1"/>
      <protection locked="0" hidden="1"/>
    </xf>
    <xf numFmtId="1" fontId="16" fillId="0" borderId="0" xfId="0" applyNumberFormat="1" applyFont="1" applyAlignment="1" applyProtection="1">
      <alignment vertical="top" wrapText="1"/>
      <protection locked="0" hidden="1"/>
    </xf>
    <xf numFmtId="5" fontId="16" fillId="0" borderId="0" xfId="0" applyNumberFormat="1" applyFont="1" applyAlignment="1" applyProtection="1">
      <alignment vertical="top" wrapText="1"/>
      <protection locked="0" hidden="1"/>
    </xf>
    <xf numFmtId="9" fontId="16" fillId="0" borderId="0" xfId="0" applyNumberFormat="1" applyFont="1" applyAlignment="1" applyProtection="1">
      <alignment vertical="top" wrapText="1"/>
      <protection locked="0" hidden="1"/>
    </xf>
    <xf numFmtId="2" fontId="16" fillId="0" borderId="0" xfId="0" applyNumberFormat="1" applyFont="1" applyAlignment="1" applyProtection="1">
      <alignment vertical="top" wrapText="1"/>
      <protection locked="0" hidden="1"/>
    </xf>
    <xf numFmtId="43" fontId="16" fillId="0" borderId="0" xfId="0" applyNumberFormat="1" applyFont="1" applyAlignment="1" applyProtection="1">
      <alignment vertical="top" wrapText="1"/>
      <protection locked="0" hidden="1"/>
    </xf>
    <xf numFmtId="0" fontId="30" fillId="0" borderId="0" xfId="0" applyFont="1" applyAlignment="1" applyProtection="1">
      <alignment vertical="top" wrapText="1"/>
      <protection locked="0" hidden="1"/>
    </xf>
    <xf numFmtId="0" fontId="29" fillId="4" borderId="1" xfId="0" applyFont="1" applyFill="1" applyBorder="1" applyAlignment="1" applyProtection="1">
      <alignment horizontal="left" vertical="top" wrapText="1"/>
      <protection locked="0" hidden="1"/>
    </xf>
    <xf numFmtId="14" fontId="16" fillId="2" borderId="1" xfId="0" applyNumberFormat="1" applyFont="1" applyFill="1" applyBorder="1" applyAlignment="1" applyProtection="1">
      <alignment horizontal="left" vertical="top" wrapText="1"/>
      <protection locked="0" hidden="1"/>
    </xf>
    <xf numFmtId="1" fontId="16" fillId="2" borderId="1" xfId="0" applyNumberFormat="1" applyFont="1" applyFill="1" applyBorder="1" applyAlignment="1" applyProtection="1">
      <alignment horizontal="left" vertical="top" wrapText="1"/>
      <protection locked="0" hidden="1"/>
    </xf>
    <xf numFmtId="171" fontId="16" fillId="2" borderId="1" xfId="0" applyNumberFormat="1" applyFont="1" applyFill="1" applyBorder="1" applyAlignment="1" applyProtection="1">
      <alignment horizontal="left" vertical="top" wrapText="1"/>
      <protection locked="0" hidden="1"/>
    </xf>
    <xf numFmtId="9" fontId="16" fillId="2" borderId="1" xfId="5" applyFont="1" applyFill="1" applyBorder="1" applyAlignment="1" applyProtection="1">
      <alignment horizontal="left" vertical="top" wrapText="1"/>
      <protection locked="0" hidden="1"/>
    </xf>
    <xf numFmtId="0" fontId="31" fillId="2" borderId="1" xfId="0" applyFont="1" applyFill="1" applyBorder="1" applyAlignment="1" applyProtection="1">
      <alignment horizontal="left" vertical="top" wrapText="1"/>
      <protection locked="0" hidden="1"/>
    </xf>
    <xf numFmtId="9" fontId="31" fillId="2" borderId="1" xfId="5" applyFont="1" applyFill="1" applyBorder="1" applyAlignment="1" applyProtection="1">
      <alignment horizontal="left" vertical="top" wrapText="1"/>
      <protection locked="0" hidden="1"/>
    </xf>
    <xf numFmtId="2" fontId="16" fillId="2" borderId="1" xfId="0" applyNumberFormat="1" applyFont="1" applyFill="1" applyBorder="1" applyAlignment="1" applyProtection="1">
      <alignment horizontal="left" vertical="top" wrapText="1"/>
      <protection locked="0" hidden="1"/>
    </xf>
    <xf numFmtId="43" fontId="16" fillId="2" borderId="1" xfId="0" applyNumberFormat="1" applyFont="1" applyFill="1" applyBorder="1" applyAlignment="1" applyProtection="1">
      <alignment horizontal="left" vertical="top" wrapText="1"/>
      <protection locked="0" hidden="1"/>
    </xf>
    <xf numFmtId="43" fontId="16" fillId="2" borderId="1" xfId="1" applyFont="1" applyFill="1" applyBorder="1" applyAlignment="1" applyProtection="1">
      <alignment horizontal="left" vertical="top" wrapText="1"/>
      <protection locked="0" hidden="1"/>
    </xf>
    <xf numFmtId="10" fontId="16" fillId="2" borderId="1" xfId="0" applyNumberFormat="1" applyFont="1" applyFill="1" applyBorder="1" applyAlignment="1" applyProtection="1">
      <alignment horizontal="left" vertical="top" wrapText="1"/>
      <protection locked="0" hidden="1"/>
    </xf>
    <xf numFmtId="0" fontId="24" fillId="0" borderId="0" xfId="0" applyFont="1" applyAlignment="1" applyProtection="1">
      <alignment vertical="top" wrapText="1"/>
      <protection locked="0" hidden="1"/>
    </xf>
    <xf numFmtId="0" fontId="16" fillId="0" borderId="0" xfId="0" applyFont="1" applyAlignment="1">
      <alignment horizontal="left" vertical="top"/>
    </xf>
    <xf numFmtId="2" fontId="16" fillId="0" borderId="0" xfId="0" applyNumberFormat="1" applyFont="1"/>
    <xf numFmtId="0" fontId="20" fillId="0" borderId="0" xfId="0" applyFont="1" applyAlignment="1">
      <alignment horizontal="left" vertical="top"/>
    </xf>
    <xf numFmtId="0" fontId="19" fillId="0" borderId="0" xfId="0" applyFont="1" applyAlignment="1">
      <alignment horizontal="left" vertical="center"/>
    </xf>
    <xf numFmtId="0" fontId="19" fillId="0" borderId="0" xfId="0" applyFont="1" applyAlignment="1">
      <alignment vertical="center"/>
    </xf>
    <xf numFmtId="2" fontId="19" fillId="0" borderId="0" xfId="0" applyNumberFormat="1" applyFont="1" applyAlignment="1">
      <alignment vertical="center"/>
    </xf>
    <xf numFmtId="0" fontId="17" fillId="0" borderId="0" xfId="0" applyFont="1" applyAlignment="1">
      <alignment horizontal="left" vertical="top"/>
    </xf>
    <xf numFmtId="0" fontId="16" fillId="0" borderId="0" xfId="0" applyFont="1" applyProtection="1">
      <protection hidden="1"/>
    </xf>
    <xf numFmtId="0" fontId="16" fillId="0" borderId="1" xfId="0" applyFont="1" applyBorder="1" applyProtection="1">
      <protection hidden="1"/>
    </xf>
    <xf numFmtId="2" fontId="16" fillId="0" borderId="0" xfId="0" applyNumberFormat="1" applyFont="1" applyProtection="1">
      <protection hidden="1"/>
    </xf>
    <xf numFmtId="43" fontId="16" fillId="0" borderId="0" xfId="0" applyNumberFormat="1" applyFont="1" applyProtection="1">
      <protection hidden="1"/>
    </xf>
    <xf numFmtId="2" fontId="16" fillId="9" borderId="0" xfId="0" applyNumberFormat="1" applyFont="1" applyFill="1"/>
    <xf numFmtId="0" fontId="16" fillId="9" borderId="0" xfId="0" applyFont="1" applyFill="1"/>
    <xf numFmtId="0" fontId="16" fillId="11" borderId="0" xfId="0" applyFont="1" applyFill="1"/>
    <xf numFmtId="2" fontId="16" fillId="12" borderId="0" xfId="0" applyNumberFormat="1" applyFont="1" applyFill="1"/>
    <xf numFmtId="0" fontId="16" fillId="12" borderId="0" xfId="0" applyFont="1" applyFill="1"/>
    <xf numFmtId="0" fontId="16" fillId="6" borderId="0" xfId="0" applyFont="1" applyFill="1"/>
    <xf numFmtId="2" fontId="16" fillId="10" borderId="0" xfId="0" applyNumberFormat="1" applyFont="1" applyFill="1"/>
    <xf numFmtId="0" fontId="16" fillId="10" borderId="0" xfId="0" applyFont="1" applyFill="1"/>
    <xf numFmtId="0" fontId="16" fillId="13" borderId="0" xfId="0" applyFont="1" applyFill="1"/>
    <xf numFmtId="0" fontId="16" fillId="13" borderId="0" xfId="0" applyFont="1" applyFill="1" applyAlignment="1">
      <alignment horizontal="center"/>
    </xf>
    <xf numFmtId="0" fontId="16" fillId="8" borderId="0" xfId="0" applyFont="1" applyFill="1"/>
    <xf numFmtId="0" fontId="16" fillId="2" borderId="0" xfId="0" applyFont="1" applyFill="1"/>
    <xf numFmtId="49" fontId="16" fillId="2" borderId="1" xfId="0" applyNumberFormat="1" applyFont="1" applyFill="1" applyBorder="1" applyAlignment="1" applyProtection="1">
      <alignment horizontal="left" vertical="top" wrapText="1"/>
      <protection locked="0" hidden="1"/>
    </xf>
    <xf numFmtId="0" fontId="21" fillId="5" borderId="77" xfId="13" applyFill="1" applyBorder="1" applyAlignment="1" applyProtection="1">
      <alignment horizontal="left" vertical="top" wrapText="1"/>
      <protection hidden="1"/>
    </xf>
    <xf numFmtId="0" fontId="38" fillId="5" borderId="78" xfId="13" applyFont="1" applyFill="1" applyBorder="1" applyAlignment="1" applyProtection="1">
      <alignment horizontal="left" vertical="top" wrapText="1"/>
      <protection hidden="1"/>
    </xf>
    <xf numFmtId="0" fontId="5" fillId="5" borderId="78" xfId="0" applyFont="1" applyFill="1" applyBorder="1" applyAlignment="1">
      <alignment vertical="center"/>
    </xf>
    <xf numFmtId="0" fontId="39" fillId="5" borderId="78" xfId="13" applyFont="1" applyFill="1" applyBorder="1" applyAlignment="1" applyProtection="1">
      <alignment horizontal="left" vertical="top" wrapText="1"/>
      <protection hidden="1"/>
    </xf>
    <xf numFmtId="0" fontId="5" fillId="5" borderId="78" xfId="13" applyFont="1" applyFill="1" applyBorder="1" applyAlignment="1" applyProtection="1">
      <alignment horizontal="left" vertical="top" wrapText="1"/>
      <protection hidden="1"/>
    </xf>
    <xf numFmtId="0" fontId="21" fillId="14" borderId="79" xfId="13" applyFill="1" applyBorder="1" applyAlignment="1" applyProtection="1">
      <alignment horizontal="left" vertical="top" wrapText="1"/>
      <protection hidden="1"/>
    </xf>
    <xf numFmtId="0" fontId="21" fillId="5" borderId="83" xfId="0" applyFont="1" applyFill="1" applyBorder="1"/>
    <xf numFmtId="0" fontId="21" fillId="5" borderId="0" xfId="0" applyFont="1" applyFill="1"/>
    <xf numFmtId="0" fontId="21" fillId="5" borderId="84" xfId="0" applyFont="1" applyFill="1" applyBorder="1"/>
    <xf numFmtId="0" fontId="22" fillId="5" borderId="83" xfId="0" applyFont="1" applyFill="1" applyBorder="1" applyAlignment="1">
      <alignment vertical="top"/>
    </xf>
    <xf numFmtId="0" fontId="23" fillId="5" borderId="83" xfId="0" applyFont="1" applyFill="1" applyBorder="1" applyAlignment="1">
      <alignment horizontal="left" vertical="top"/>
    </xf>
    <xf numFmtId="0" fontId="21" fillId="5" borderId="84" xfId="0" applyFont="1" applyFill="1" applyBorder="1" applyAlignment="1">
      <alignment horizontal="left" vertical="top" wrapText="1"/>
    </xf>
    <xf numFmtId="0" fontId="40" fillId="5" borderId="0" xfId="0" applyFont="1" applyFill="1" applyAlignment="1">
      <alignment horizontal="left" vertical="top"/>
    </xf>
    <xf numFmtId="0" fontId="37" fillId="5" borderId="84" xfId="0" applyFont="1" applyFill="1" applyBorder="1"/>
    <xf numFmtId="0" fontId="41" fillId="5" borderId="0" xfId="0" applyFont="1" applyFill="1" applyAlignment="1">
      <alignment vertical="top"/>
    </xf>
    <xf numFmtId="0" fontId="37" fillId="5" borderId="0" xfId="0" applyFont="1" applyFill="1"/>
    <xf numFmtId="0" fontId="37" fillId="5" borderId="0" xfId="0" applyFont="1" applyFill="1" applyAlignment="1">
      <alignment horizontal="left" vertical="top" wrapText="1"/>
    </xf>
    <xf numFmtId="0" fontId="5" fillId="5" borderId="0" xfId="0" applyFont="1" applyFill="1" applyAlignment="1">
      <alignment horizontal="left" vertical="top" wrapText="1"/>
    </xf>
    <xf numFmtId="0" fontId="5" fillId="5" borderId="84" xfId="0" applyFont="1" applyFill="1" applyBorder="1" applyAlignment="1">
      <alignment horizontal="left" vertical="top" wrapText="1"/>
    </xf>
    <xf numFmtId="0" fontId="5" fillId="5" borderId="0" xfId="0" applyFont="1" applyFill="1"/>
    <xf numFmtId="0" fontId="5" fillId="5" borderId="84" xfId="0" applyFont="1" applyFill="1" applyBorder="1"/>
    <xf numFmtId="0" fontId="39" fillId="5" borderId="0" xfId="0" applyFont="1" applyFill="1" applyAlignment="1">
      <alignment horizontal="left" vertical="top"/>
    </xf>
    <xf numFmtId="165" fontId="35" fillId="5" borderId="1" xfId="1" applyNumberFormat="1" applyFont="1" applyFill="1" applyBorder="1" applyAlignment="1" applyProtection="1">
      <alignment horizontal="left" vertical="center"/>
      <protection hidden="1"/>
    </xf>
    <xf numFmtId="165" fontId="5" fillId="5" borderId="1" xfId="1" applyNumberFormat="1" applyFont="1" applyFill="1" applyBorder="1" applyAlignment="1" applyProtection="1">
      <alignment vertical="center"/>
      <protection hidden="1"/>
    </xf>
    <xf numFmtId="49" fontId="5" fillId="0" borderId="49" xfId="0" applyNumberFormat="1" applyFont="1" applyBorder="1" applyAlignment="1" applyProtection="1">
      <alignment horizontal="left" vertical="center" wrapText="1"/>
      <protection locked="0"/>
    </xf>
    <xf numFmtId="14" fontId="5" fillId="0" borderId="74"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2" fontId="5" fillId="0" borderId="36" xfId="0" applyNumberFormat="1" applyFont="1" applyBorder="1" applyAlignment="1" applyProtection="1">
      <alignment horizontal="center" vertical="center" wrapText="1"/>
      <protection locked="0"/>
    </xf>
    <xf numFmtId="2" fontId="5" fillId="0" borderId="58" xfId="0" applyNumberFormat="1" applyFont="1" applyBorder="1" applyAlignment="1" applyProtection="1">
      <alignment horizontal="center" vertical="center" wrapText="1"/>
      <protection locked="0"/>
    </xf>
    <xf numFmtId="165" fontId="5" fillId="0" borderId="36" xfId="1" applyNumberFormat="1" applyFont="1" applyBorder="1" applyAlignment="1" applyProtection="1">
      <alignment horizontal="center" vertical="center" wrapText="1"/>
      <protection locked="0"/>
    </xf>
    <xf numFmtId="165" fontId="5" fillId="0" borderId="9" xfId="1" applyNumberFormat="1" applyFont="1" applyBorder="1" applyAlignment="1" applyProtection="1">
      <alignment horizontal="center" vertical="center" wrapText="1"/>
      <protection locked="0"/>
    </xf>
    <xf numFmtId="171" fontId="5" fillId="0" borderId="70" xfId="1" applyNumberFormat="1" applyFont="1" applyBorder="1" applyAlignment="1" applyProtection="1">
      <alignment horizontal="center" vertical="center" wrapText="1"/>
      <protection locked="0"/>
    </xf>
    <xf numFmtId="14" fontId="5" fillId="0" borderId="76" xfId="0" applyNumberFormat="1" applyFont="1" applyBorder="1" applyAlignment="1" applyProtection="1">
      <alignment horizontal="center" vertical="center" wrapText="1"/>
      <protection locked="0"/>
    </xf>
    <xf numFmtId="14" fontId="5" fillId="0" borderId="75" xfId="0" applyNumberFormat="1" applyFont="1" applyBorder="1" applyAlignment="1" applyProtection="1">
      <alignment horizontal="center" vertical="center" wrapText="1"/>
      <protection locked="0"/>
    </xf>
    <xf numFmtId="14" fontId="5" fillId="0" borderId="36" xfId="0" applyNumberFormat="1" applyFont="1" applyBorder="1" applyAlignment="1" applyProtection="1">
      <alignment horizontal="center" vertical="center" wrapText="1"/>
      <protection locked="0"/>
    </xf>
    <xf numFmtId="0" fontId="5" fillId="5" borderId="0" xfId="0" applyFont="1" applyFill="1" applyAlignment="1">
      <alignment horizontal="center"/>
    </xf>
    <xf numFmtId="166" fontId="5" fillId="5" borderId="0" xfId="0" applyNumberFormat="1" applyFont="1" applyFill="1" applyAlignment="1">
      <alignment horizontal="center"/>
    </xf>
    <xf numFmtId="0" fontId="5" fillId="5" borderId="0" xfId="0" applyFont="1" applyFill="1" applyAlignment="1">
      <alignment horizontal="left" wrapText="1"/>
    </xf>
    <xf numFmtId="1" fontId="5" fillId="5" borderId="0" xfId="0" applyNumberFormat="1" applyFont="1" applyFill="1" applyAlignment="1">
      <alignment horizontal="center"/>
    </xf>
    <xf numFmtId="0" fontId="5" fillId="5" borderId="0" xfId="0" applyFont="1" applyFill="1" applyAlignment="1">
      <alignment horizontal="left"/>
    </xf>
    <xf numFmtId="5" fontId="5" fillId="5" borderId="0" xfId="1" applyNumberFormat="1" applyFont="1" applyFill="1"/>
    <xf numFmtId="164" fontId="5" fillId="5" borderId="0" xfId="0" applyNumberFormat="1" applyFont="1" applyFill="1"/>
    <xf numFmtId="165" fontId="33" fillId="14" borderId="18" xfId="1" applyNumberFormat="1" applyFont="1" applyFill="1" applyBorder="1" applyAlignment="1" applyProtection="1">
      <alignment vertical="center" wrapText="1"/>
      <protection hidden="1"/>
    </xf>
    <xf numFmtId="165" fontId="35" fillId="14" borderId="30" xfId="1" applyNumberFormat="1" applyFont="1" applyFill="1" applyBorder="1" applyAlignment="1" applyProtection="1">
      <alignment vertical="center"/>
      <protection hidden="1"/>
    </xf>
    <xf numFmtId="0" fontId="33" fillId="14" borderId="12" xfId="0" applyFont="1" applyFill="1" applyBorder="1" applyAlignment="1">
      <alignment horizontal="center" vertical="center" wrapText="1"/>
    </xf>
    <xf numFmtId="0" fontId="33" fillId="14" borderId="35" xfId="0" applyFont="1" applyFill="1" applyBorder="1" applyAlignment="1">
      <alignment vertical="center" wrapText="1"/>
    </xf>
    <xf numFmtId="0" fontId="33" fillId="14" borderId="35" xfId="0" applyFont="1" applyFill="1" applyBorder="1" applyAlignment="1">
      <alignment horizontal="center" vertical="center" wrapText="1"/>
    </xf>
    <xf numFmtId="0" fontId="33" fillId="14" borderId="56" xfId="0" applyFont="1" applyFill="1" applyBorder="1" applyAlignment="1">
      <alignment horizontal="center" vertical="center" wrapText="1"/>
    </xf>
    <xf numFmtId="0" fontId="33" fillId="14" borderId="13" xfId="0" applyFont="1" applyFill="1" applyBorder="1" applyAlignment="1">
      <alignment horizontal="center" vertical="center" wrapText="1"/>
    </xf>
    <xf numFmtId="0" fontId="33" fillId="14" borderId="6" xfId="0" applyFont="1" applyFill="1" applyBorder="1" applyAlignment="1">
      <alignment horizontal="center" vertical="center" wrapText="1"/>
    </xf>
    <xf numFmtId="165" fontId="33" fillId="14" borderId="12" xfId="1" applyNumberFormat="1" applyFont="1" applyFill="1" applyBorder="1" applyAlignment="1">
      <alignment horizontal="center" vertical="center" wrapText="1"/>
    </xf>
    <xf numFmtId="0" fontId="33" fillId="14" borderId="12" xfId="0" applyFont="1" applyFill="1" applyBorder="1" applyAlignment="1">
      <alignment horizontal="center" vertical="center"/>
    </xf>
    <xf numFmtId="0" fontId="33" fillId="14" borderId="17" xfId="0" applyFont="1" applyFill="1" applyBorder="1" applyAlignment="1">
      <alignment horizontal="center" vertical="center" wrapText="1"/>
    </xf>
    <xf numFmtId="9" fontId="5" fillId="15" borderId="59" xfId="5" applyFont="1" applyFill="1" applyBorder="1" applyAlignment="1" applyProtection="1">
      <alignment horizontal="center" vertical="center" wrapText="1"/>
      <protection hidden="1"/>
    </xf>
    <xf numFmtId="170" fontId="5" fillId="15" borderId="71" xfId="1" applyNumberFormat="1" applyFont="1" applyFill="1" applyBorder="1" applyAlignment="1" applyProtection="1">
      <alignment horizontal="center" vertical="center" wrapText="1"/>
      <protection hidden="1"/>
    </xf>
    <xf numFmtId="9" fontId="5" fillId="15" borderId="73" xfId="5" applyFont="1" applyFill="1" applyBorder="1" applyAlignment="1" applyProtection="1">
      <alignment horizontal="center" vertical="center" wrapText="1"/>
      <protection hidden="1"/>
    </xf>
    <xf numFmtId="170" fontId="5" fillId="15" borderId="49" xfId="1" applyNumberFormat="1" applyFont="1" applyFill="1" applyBorder="1" applyAlignment="1" applyProtection="1">
      <alignment horizontal="center" vertical="center" wrapText="1"/>
      <protection hidden="1"/>
    </xf>
    <xf numFmtId="9" fontId="5" fillId="15" borderId="46" xfId="5" applyFont="1" applyFill="1" applyBorder="1" applyAlignment="1" applyProtection="1">
      <alignment horizontal="center" vertical="center" wrapText="1"/>
      <protection hidden="1"/>
    </xf>
    <xf numFmtId="170" fontId="5" fillId="15" borderId="15" xfId="1" applyNumberFormat="1" applyFont="1" applyFill="1" applyBorder="1" applyAlignment="1" applyProtection="1">
      <alignment horizontal="center" vertical="center" wrapText="1"/>
      <protection hidden="1"/>
    </xf>
    <xf numFmtId="170" fontId="5" fillId="15" borderId="72" xfId="1" applyNumberFormat="1" applyFont="1" applyFill="1" applyBorder="1" applyAlignment="1" applyProtection="1">
      <alignment horizontal="center" vertical="center" wrapText="1"/>
      <protection hidden="1"/>
    </xf>
    <xf numFmtId="164" fontId="5" fillId="15" borderId="39" xfId="1" applyNumberFormat="1" applyFont="1" applyFill="1" applyBorder="1" applyAlignment="1" applyProtection="1">
      <alignment horizontal="center" vertical="center" wrapText="1"/>
      <protection hidden="1"/>
    </xf>
    <xf numFmtId="43" fontId="5" fillId="15" borderId="2" xfId="1" applyFont="1" applyFill="1" applyBorder="1" applyAlignment="1" applyProtection="1">
      <alignment horizontal="right" vertical="center" wrapText="1" indent="1"/>
      <protection hidden="1"/>
    </xf>
    <xf numFmtId="167" fontId="5" fillId="15" borderId="43" xfId="1" applyNumberFormat="1" applyFont="1" applyFill="1" applyBorder="1" applyAlignment="1" applyProtection="1">
      <alignment horizontal="right" vertical="center" wrapText="1" indent="1"/>
      <protection hidden="1"/>
    </xf>
    <xf numFmtId="43" fontId="5" fillId="15" borderId="40" xfId="1" applyFont="1" applyFill="1" applyBorder="1" applyAlignment="1" applyProtection="1">
      <alignment horizontal="right" vertical="center" wrapText="1" indent="1"/>
      <protection hidden="1"/>
    </xf>
    <xf numFmtId="43" fontId="5" fillId="15" borderId="3" xfId="1" applyFont="1" applyFill="1" applyBorder="1" applyAlignment="1" applyProtection="1">
      <alignment horizontal="right" vertical="center" wrapText="1" indent="1"/>
      <protection hidden="1"/>
    </xf>
    <xf numFmtId="164" fontId="5" fillId="15" borderId="41" xfId="1" applyNumberFormat="1" applyFont="1" applyFill="1" applyBorder="1" applyAlignment="1" applyProtection="1">
      <alignment horizontal="center" vertical="center" wrapText="1"/>
      <protection hidden="1"/>
    </xf>
    <xf numFmtId="43" fontId="5" fillId="15" borderId="44" xfId="1" applyFont="1" applyFill="1" applyBorder="1" applyAlignment="1" applyProtection="1">
      <alignment horizontal="right" vertical="center" wrapText="1" indent="1"/>
      <protection hidden="1"/>
    </xf>
    <xf numFmtId="43" fontId="5" fillId="15" borderId="42" xfId="1" applyFont="1" applyFill="1" applyBorder="1" applyAlignment="1" applyProtection="1">
      <alignment horizontal="right" vertical="center" wrapText="1" indent="1"/>
      <protection hidden="1"/>
    </xf>
    <xf numFmtId="43" fontId="5" fillId="15" borderId="45" xfId="1" applyFont="1" applyFill="1" applyBorder="1" applyAlignment="1" applyProtection="1">
      <alignment horizontal="right" vertical="center" wrapText="1" indent="1"/>
      <protection hidden="1"/>
    </xf>
    <xf numFmtId="164" fontId="5" fillId="5" borderId="0" xfId="1" applyNumberFormat="1" applyFont="1" applyFill="1" applyBorder="1" applyAlignment="1" applyProtection="1">
      <alignment horizontal="center" vertical="center" wrapText="1"/>
      <protection hidden="1"/>
    </xf>
    <xf numFmtId="43" fontId="5" fillId="5" borderId="0" xfId="1" applyFont="1" applyFill="1" applyBorder="1" applyAlignment="1" applyProtection="1">
      <alignment horizontal="right" vertical="center" wrapText="1" indent="2"/>
      <protection hidden="1"/>
    </xf>
    <xf numFmtId="167" fontId="5" fillId="5" borderId="0" xfId="1" applyNumberFormat="1" applyFont="1" applyFill="1" applyBorder="1" applyAlignment="1" applyProtection="1">
      <alignment horizontal="right" vertical="center" wrapText="1" indent="1"/>
      <protection hidden="1"/>
    </xf>
    <xf numFmtId="43" fontId="5" fillId="5" borderId="0" xfId="1" applyFont="1" applyFill="1" applyBorder="1" applyAlignment="1" applyProtection="1">
      <alignment horizontal="right" vertical="center" wrapText="1" indent="1"/>
      <protection hidden="1"/>
    </xf>
    <xf numFmtId="43" fontId="5" fillId="5" borderId="0" xfId="1" applyFont="1" applyFill="1" applyBorder="1" applyAlignment="1" applyProtection="1">
      <alignment horizontal="left" vertical="center" wrapText="1"/>
      <protection hidden="1"/>
    </xf>
    <xf numFmtId="0" fontId="35" fillId="5" borderId="0" xfId="0" applyFont="1" applyFill="1" applyAlignment="1" applyProtection="1">
      <alignment horizontal="center" vertical="center" wrapText="1"/>
      <protection hidden="1"/>
    </xf>
    <xf numFmtId="0" fontId="5" fillId="5" borderId="83" xfId="0" applyFont="1" applyFill="1" applyBorder="1" applyAlignment="1">
      <alignment horizontal="center" vertical="center"/>
    </xf>
    <xf numFmtId="0" fontId="5" fillId="0" borderId="83"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83" xfId="0" applyFont="1" applyBorder="1" applyAlignment="1">
      <alignment vertical="center"/>
    </xf>
    <xf numFmtId="166" fontId="33" fillId="14" borderId="6" xfId="0" applyNumberFormat="1" applyFont="1" applyFill="1" applyBorder="1" applyAlignment="1">
      <alignment horizontal="center" vertical="center" wrapText="1"/>
    </xf>
    <xf numFmtId="14" fontId="37" fillId="0" borderId="65" xfId="10" applyNumberFormat="1" applyFont="1" applyBorder="1" applyAlignment="1" applyProtection="1">
      <alignment horizontal="center" vertical="center"/>
      <protection locked="0"/>
    </xf>
    <xf numFmtId="1" fontId="37" fillId="0" borderId="26" xfId="10" applyNumberFormat="1" applyFont="1" applyBorder="1" applyAlignment="1" applyProtection="1">
      <alignment horizontal="center" vertical="center"/>
      <protection locked="0"/>
    </xf>
    <xf numFmtId="14" fontId="37" fillId="0" borderId="30" xfId="10" applyNumberFormat="1" applyFont="1" applyBorder="1" applyAlignment="1" applyProtection="1">
      <alignment horizontal="center" vertical="center"/>
      <protection locked="0"/>
    </xf>
    <xf numFmtId="0" fontId="39" fillId="0" borderId="62" xfId="0" applyFont="1" applyBorder="1" applyAlignment="1" applyProtection="1">
      <alignment horizontal="right" vertical="center" wrapText="1"/>
      <protection hidden="1"/>
    </xf>
    <xf numFmtId="14" fontId="37" fillId="0" borderId="63" xfId="10" applyNumberFormat="1" applyFont="1" applyBorder="1" applyAlignment="1" applyProtection="1">
      <alignment horizontal="center" vertical="center"/>
      <protection locked="0"/>
    </xf>
    <xf numFmtId="1" fontId="37" fillId="0" borderId="91" xfId="10" applyNumberFormat="1" applyFont="1" applyBorder="1" applyAlignment="1" applyProtection="1">
      <alignment horizontal="center" vertical="center"/>
      <protection locked="0"/>
    </xf>
    <xf numFmtId="14" fontId="37" fillId="0" borderId="88" xfId="10" applyNumberFormat="1" applyFont="1" applyBorder="1" applyAlignment="1" applyProtection="1">
      <alignment horizontal="center" vertical="center"/>
      <protection locked="0"/>
    </xf>
    <xf numFmtId="0" fontId="42" fillId="0" borderId="0" xfId="2" applyFont="1" applyBorder="1" applyAlignment="1" applyProtection="1">
      <alignment vertical="center"/>
      <protection hidden="1"/>
    </xf>
    <xf numFmtId="15" fontId="62" fillId="14" borderId="53" xfId="0" applyNumberFormat="1" applyFont="1" applyFill="1" applyBorder="1" applyAlignment="1">
      <alignment horizontal="center"/>
    </xf>
    <xf numFmtId="0" fontId="62" fillId="14" borderId="54" xfId="0" applyFont="1" applyFill="1" applyBorder="1" applyAlignment="1">
      <alignment horizontal="center"/>
    </xf>
    <xf numFmtId="0" fontId="62" fillId="14" borderId="54" xfId="0" applyFont="1" applyFill="1" applyBorder="1" applyAlignment="1">
      <alignment horizontal="left"/>
    </xf>
    <xf numFmtId="0" fontId="62" fillId="14" borderId="55" xfId="0" applyFont="1" applyFill="1" applyBorder="1" applyAlignment="1">
      <alignment horizontal="left"/>
    </xf>
    <xf numFmtId="17" fontId="27" fillId="5" borderId="25" xfId="0" applyNumberFormat="1" applyFont="1" applyFill="1" applyBorder="1" applyAlignment="1">
      <alignment horizontal="center" vertical="top"/>
    </xf>
    <xf numFmtId="0" fontId="27" fillId="5" borderId="20" xfId="0" applyFont="1" applyFill="1" applyBorder="1" applyAlignment="1">
      <alignment horizontal="center" vertical="top"/>
    </xf>
    <xf numFmtId="0" fontId="27" fillId="5" borderId="20" xfId="0" applyFont="1" applyFill="1" applyBorder="1" applyAlignment="1">
      <alignment horizontal="left" vertical="top" wrapText="1"/>
    </xf>
    <xf numFmtId="0" fontId="27" fillId="5" borderId="26" xfId="0" applyFont="1" applyFill="1" applyBorder="1" applyAlignment="1">
      <alignment horizontal="left" vertical="top"/>
    </xf>
    <xf numFmtId="17" fontId="27" fillId="5" borderId="19" xfId="0" applyNumberFormat="1" applyFont="1" applyFill="1" applyBorder="1" applyAlignment="1">
      <alignment horizontal="center" vertical="top"/>
    </xf>
    <xf numFmtId="0" fontId="27" fillId="5" borderId="1" xfId="0" applyFont="1" applyFill="1" applyBorder="1" applyAlignment="1">
      <alignment horizontal="center" vertical="top"/>
    </xf>
    <xf numFmtId="0" fontId="27" fillId="5" borderId="1" xfId="0" applyFont="1" applyFill="1" applyBorder="1" applyAlignment="1">
      <alignment horizontal="left" vertical="top" wrapText="1"/>
    </xf>
    <xf numFmtId="0" fontId="27" fillId="5" borderId="21" xfId="0" applyFont="1" applyFill="1" applyBorder="1" applyAlignment="1">
      <alignment horizontal="left" vertical="top"/>
    </xf>
    <xf numFmtId="0" fontId="27" fillId="5" borderId="1" xfId="0" applyFont="1" applyFill="1" applyBorder="1" applyAlignment="1">
      <alignment horizontal="left" wrapText="1"/>
    </xf>
    <xf numFmtId="17" fontId="5" fillId="5" borderId="25" xfId="0" applyNumberFormat="1" applyFont="1" applyFill="1" applyBorder="1" applyAlignment="1">
      <alignment horizontal="center" vertical="top"/>
    </xf>
    <xf numFmtId="0" fontId="27" fillId="5" borderId="27" xfId="0" applyFont="1" applyFill="1" applyBorder="1" applyAlignment="1">
      <alignment horizontal="left" vertical="top" wrapText="1"/>
    </xf>
    <xf numFmtId="0" fontId="5" fillId="5" borderId="20" xfId="0" applyFont="1" applyFill="1" applyBorder="1" applyAlignment="1">
      <alignment horizontal="center" vertical="top"/>
    </xf>
    <xf numFmtId="0" fontId="5" fillId="5" borderId="20" xfId="0" applyFont="1" applyFill="1" applyBorder="1" applyAlignment="1">
      <alignment vertical="top" wrapText="1"/>
    </xf>
    <xf numFmtId="0" fontId="27" fillId="5" borderId="26" xfId="0" applyFont="1" applyFill="1" applyBorder="1" applyAlignment="1">
      <alignment vertical="top"/>
    </xf>
    <xf numFmtId="17" fontId="5" fillId="5" borderId="19" xfId="0" applyNumberFormat="1" applyFont="1" applyFill="1" applyBorder="1" applyAlignment="1">
      <alignment horizontal="center" vertical="top"/>
    </xf>
    <xf numFmtId="0" fontId="5" fillId="5" borderId="1" xfId="0" applyFont="1" applyFill="1" applyBorder="1" applyAlignment="1">
      <alignment horizontal="center" vertical="top"/>
    </xf>
    <xf numFmtId="0" fontId="5" fillId="5" borderId="1" xfId="0" applyFont="1" applyFill="1" applyBorder="1" applyAlignment="1">
      <alignment vertical="top" wrapText="1"/>
    </xf>
    <xf numFmtId="0" fontId="27" fillId="5" borderId="21" xfId="0" applyFont="1" applyFill="1" applyBorder="1" applyAlignment="1">
      <alignment vertical="top"/>
    </xf>
    <xf numFmtId="17" fontId="5" fillId="5" borderId="22" xfId="0" applyNumberFormat="1" applyFont="1" applyFill="1" applyBorder="1" applyAlignment="1">
      <alignment horizontal="center" vertical="top"/>
    </xf>
    <xf numFmtId="0" fontId="5" fillId="5" borderId="23" xfId="0" applyFont="1" applyFill="1" applyBorder="1" applyAlignment="1">
      <alignment horizontal="center" vertical="top"/>
    </xf>
    <xf numFmtId="0" fontId="5" fillId="5" borderId="23" xfId="0" applyFont="1" applyFill="1" applyBorder="1" applyAlignment="1">
      <alignment vertical="top" wrapText="1"/>
    </xf>
    <xf numFmtId="0" fontId="27" fillId="5" borderId="24" xfId="0" applyFont="1" applyFill="1" applyBorder="1" applyAlignment="1">
      <alignment vertical="top"/>
    </xf>
    <xf numFmtId="0" fontId="18" fillId="0" borderId="0" xfId="2" applyFont="1" applyFill="1" applyAlignment="1" applyProtection="1">
      <alignment vertical="center"/>
    </xf>
    <xf numFmtId="0" fontId="18" fillId="14" borderId="14" xfId="2" applyFont="1" applyFill="1" applyBorder="1" applyAlignment="1" applyProtection="1">
      <alignment vertical="center"/>
    </xf>
    <xf numFmtId="0" fontId="13" fillId="14" borderId="12" xfId="0" applyFont="1" applyFill="1" applyBorder="1" applyAlignment="1">
      <alignment vertical="center"/>
    </xf>
    <xf numFmtId="0" fontId="13" fillId="14" borderId="17" xfId="0" applyFont="1" applyFill="1" applyBorder="1" applyAlignment="1">
      <alignment vertical="center"/>
    </xf>
    <xf numFmtId="0" fontId="18" fillId="0" borderId="0" xfId="2" applyFont="1" applyFill="1" applyAlignment="1" applyProtection="1"/>
    <xf numFmtId="0" fontId="27" fillId="0" borderId="50" xfId="4" applyFont="1" applyBorder="1" applyAlignment="1">
      <alignment horizontal="left" vertical="center"/>
    </xf>
    <xf numFmtId="169" fontId="27" fillId="0" borderId="31" xfId="0" applyNumberFormat="1" applyFont="1" applyBorder="1" applyAlignment="1">
      <alignment horizontal="center" vertical="center"/>
    </xf>
    <xf numFmtId="0" fontId="27" fillId="0" borderId="52" xfId="4" applyFont="1" applyBorder="1" applyAlignment="1">
      <alignment horizontal="left" vertical="center"/>
    </xf>
    <xf numFmtId="169" fontId="27" fillId="0" borderId="28" xfId="0" applyNumberFormat="1" applyFont="1" applyBorder="1" applyAlignment="1">
      <alignment horizontal="center" vertical="center"/>
    </xf>
    <xf numFmtId="0" fontId="5" fillId="0" borderId="51" xfId="0" applyFont="1" applyBorder="1" applyAlignment="1">
      <alignment horizontal="left" vertical="center"/>
    </xf>
    <xf numFmtId="0" fontId="27" fillId="0" borderId="51" xfId="4" applyFont="1" applyBorder="1" applyAlignment="1">
      <alignment horizontal="left" vertical="center"/>
    </xf>
    <xf numFmtId="169" fontId="27" fillId="0" borderId="28" xfId="4" applyNumberFormat="1" applyFont="1" applyBorder="1" applyAlignment="1">
      <alignment horizontal="center" vertical="center"/>
    </xf>
    <xf numFmtId="0" fontId="5" fillId="0" borderId="51" xfId="0" applyFont="1" applyBorder="1" applyAlignment="1">
      <alignment vertical="center"/>
    </xf>
    <xf numFmtId="0" fontId="5" fillId="0" borderId="15" xfId="0" applyFont="1" applyBorder="1" applyAlignment="1">
      <alignment vertical="center"/>
    </xf>
    <xf numFmtId="0" fontId="27" fillId="0" borderId="51" xfId="0" applyFont="1" applyBorder="1" applyAlignment="1">
      <alignment vertical="center"/>
    </xf>
    <xf numFmtId="169" fontId="27" fillId="0" borderId="29" xfId="4" applyNumberFormat="1" applyFont="1" applyBorder="1" applyAlignment="1">
      <alignment horizontal="center" vertical="center"/>
    </xf>
    <xf numFmtId="14" fontId="27" fillId="5" borderId="48" xfId="6" applyNumberFormat="1" applyFont="1" applyFill="1" applyBorder="1" applyAlignment="1">
      <alignment horizontal="left" vertical="center"/>
    </xf>
    <xf numFmtId="0" fontId="27" fillId="5" borderId="48" xfId="6" applyFont="1" applyFill="1" applyBorder="1" applyAlignment="1">
      <alignment horizontal="left" vertical="center"/>
    </xf>
    <xf numFmtId="0" fontId="27" fillId="5" borderId="32" xfId="6" applyFont="1" applyFill="1" applyBorder="1" applyAlignment="1">
      <alignment horizontal="left" vertical="center" wrapText="1"/>
    </xf>
    <xf numFmtId="0" fontId="27" fillId="5" borderId="34" xfId="6" applyFont="1" applyFill="1" applyBorder="1" applyAlignment="1">
      <alignment horizontal="left" vertical="center"/>
    </xf>
    <xf numFmtId="0" fontId="27" fillId="5" borderId="47" xfId="6" applyFont="1" applyFill="1" applyBorder="1" applyAlignment="1">
      <alignment horizontal="left" vertical="center"/>
    </xf>
    <xf numFmtId="0" fontId="27" fillId="5" borderId="33" xfId="6" applyFont="1" applyFill="1" applyBorder="1" applyAlignment="1">
      <alignment horizontal="left" vertical="center" wrapText="1"/>
    </xf>
    <xf numFmtId="0" fontId="35" fillId="5" borderId="8" xfId="0" applyFont="1" applyFill="1" applyBorder="1" applyAlignment="1">
      <alignment vertical="top" wrapText="1"/>
    </xf>
    <xf numFmtId="0" fontId="14" fillId="14" borderId="100" xfId="0" applyFont="1" applyFill="1" applyBorder="1" applyAlignment="1">
      <alignment vertical="top" wrapText="1"/>
    </xf>
    <xf numFmtId="0" fontId="14" fillId="14" borderId="101" xfId="0" applyFont="1" applyFill="1" applyBorder="1" applyAlignment="1">
      <alignment vertical="top" wrapText="1"/>
    </xf>
    <xf numFmtId="0" fontId="14" fillId="14" borderId="102" xfId="0" applyFont="1" applyFill="1" applyBorder="1" applyAlignment="1">
      <alignment vertical="top" wrapText="1"/>
    </xf>
    <xf numFmtId="164" fontId="65" fillId="14" borderId="14" xfId="1" applyNumberFormat="1" applyFont="1" applyFill="1" applyBorder="1" applyAlignment="1" applyProtection="1">
      <alignment horizontal="center" vertical="center" wrapText="1"/>
      <protection hidden="1"/>
    </xf>
    <xf numFmtId="0" fontId="5" fillId="14" borderId="14" xfId="0" applyFont="1" applyFill="1" applyBorder="1" applyAlignment="1">
      <alignment vertical="center"/>
    </xf>
    <xf numFmtId="0" fontId="5" fillId="14" borderId="12" xfId="0" applyFont="1" applyFill="1" applyBorder="1" applyAlignment="1">
      <alignment vertical="center"/>
    </xf>
    <xf numFmtId="0" fontId="5" fillId="14" borderId="17" xfId="0" applyFont="1" applyFill="1" applyBorder="1" applyAlignment="1">
      <alignment vertical="center"/>
    </xf>
    <xf numFmtId="171" fontId="5" fillId="5" borderId="5" xfId="1" applyNumberFormat="1" applyFont="1" applyFill="1" applyBorder="1" applyAlignment="1" applyProtection="1">
      <alignment horizontal="center" vertical="center" wrapText="1"/>
      <protection locked="0"/>
    </xf>
    <xf numFmtId="171" fontId="5" fillId="15" borderId="5" xfId="1" applyNumberFormat="1" applyFont="1" applyFill="1" applyBorder="1" applyAlignment="1" applyProtection="1">
      <alignment horizontal="center" vertical="center" wrapText="1"/>
      <protection hidden="1"/>
    </xf>
    <xf numFmtId="164" fontId="5" fillId="15" borderId="6" xfId="1" applyNumberFormat="1" applyFont="1" applyFill="1" applyBorder="1" applyAlignment="1" applyProtection="1">
      <alignment horizontal="center" vertical="center" wrapText="1"/>
      <protection hidden="1"/>
    </xf>
    <xf numFmtId="2" fontId="5" fillId="15" borderId="6" xfId="1" applyNumberFormat="1" applyFont="1" applyFill="1" applyBorder="1" applyAlignment="1" applyProtection="1">
      <alignment horizontal="center" vertical="center" wrapText="1"/>
      <protection hidden="1"/>
    </xf>
    <xf numFmtId="167" fontId="5" fillId="15" borderId="6" xfId="1" applyNumberFormat="1" applyFont="1" applyFill="1" applyBorder="1" applyAlignment="1" applyProtection="1">
      <alignment horizontal="right" vertical="center" wrapText="1" indent="1"/>
      <protection hidden="1"/>
    </xf>
    <xf numFmtId="43" fontId="5" fillId="15" borderId="6" xfId="1" applyFont="1" applyFill="1" applyBorder="1" applyAlignment="1" applyProtection="1">
      <alignment horizontal="right" vertical="center" wrapText="1" indent="1"/>
      <protection hidden="1"/>
    </xf>
    <xf numFmtId="43" fontId="5" fillId="15" borderId="6" xfId="1" applyFont="1" applyFill="1" applyBorder="1" applyAlignment="1" applyProtection="1">
      <alignment horizontal="left" vertical="center" wrapText="1"/>
      <protection hidden="1"/>
    </xf>
    <xf numFmtId="43" fontId="5" fillId="15" borderId="7" xfId="1" applyFont="1" applyFill="1" applyBorder="1" applyAlignment="1" applyProtection="1">
      <alignment horizontal="left" vertical="center" wrapText="1"/>
      <protection hidden="1"/>
    </xf>
    <xf numFmtId="0" fontId="35" fillId="15" borderId="7" xfId="0" applyFont="1" applyFill="1" applyBorder="1" applyAlignment="1" applyProtection="1">
      <alignment horizontal="center" vertical="center" wrapText="1"/>
      <protection hidden="1"/>
    </xf>
    <xf numFmtId="164" fontId="33" fillId="14" borderId="14" xfId="0" applyNumberFormat="1" applyFont="1" applyFill="1" applyBorder="1" applyAlignment="1">
      <alignment horizontal="center" vertical="center" wrapText="1"/>
    </xf>
    <xf numFmtId="164" fontId="33" fillId="14" borderId="12" xfId="0" applyNumberFormat="1" applyFont="1" applyFill="1" applyBorder="1" applyAlignment="1">
      <alignment horizontal="center" vertical="center" wrapText="1"/>
    </xf>
    <xf numFmtId="0" fontId="33" fillId="14" borderId="17" xfId="0" applyFont="1" applyFill="1" applyBorder="1" applyAlignment="1">
      <alignment horizontal="center" vertical="center"/>
    </xf>
    <xf numFmtId="165" fontId="33" fillId="14" borderId="14" xfId="1" applyNumberFormat="1" applyFont="1" applyFill="1" applyBorder="1" applyAlignment="1">
      <alignment horizontal="center" vertical="center" wrapText="1"/>
    </xf>
    <xf numFmtId="165" fontId="33" fillId="14" borderId="17" xfId="1" applyNumberFormat="1" applyFont="1" applyFill="1" applyBorder="1" applyAlignment="1">
      <alignment horizontal="center" vertical="center" wrapText="1"/>
    </xf>
    <xf numFmtId="9" fontId="35" fillId="0" borderId="15" xfId="5" applyFont="1" applyBorder="1" applyAlignment="1" applyProtection="1">
      <alignment horizontal="center" vertical="center" wrapText="1"/>
      <protection hidden="1"/>
    </xf>
    <xf numFmtId="166" fontId="5" fillId="0" borderId="35" xfId="0" applyNumberFormat="1" applyFont="1" applyBorder="1" applyAlignment="1" applyProtection="1">
      <alignment horizontal="center" vertical="center" wrapText="1"/>
      <protection locked="0"/>
    </xf>
    <xf numFmtId="49" fontId="5" fillId="0" borderId="35" xfId="0" applyNumberFormat="1" applyFont="1" applyBorder="1" applyAlignment="1" applyProtection="1">
      <alignment horizontal="left" vertical="center" wrapText="1"/>
      <protection locked="0"/>
    </xf>
    <xf numFmtId="1" fontId="5" fillId="0" borderId="35" xfId="0" applyNumberFormat="1" applyFont="1" applyBorder="1" applyAlignment="1" applyProtection="1">
      <alignment horizontal="center" vertical="center" wrapText="1"/>
      <protection locked="0"/>
    </xf>
    <xf numFmtId="14" fontId="37" fillId="0" borderId="106" xfId="10" applyNumberFormat="1" applyFont="1" applyBorder="1" applyAlignment="1" applyProtection="1">
      <alignment horizontal="center" vertical="center"/>
      <protection locked="0"/>
    </xf>
    <xf numFmtId="1" fontId="37" fillId="0" borderId="107" xfId="10" applyNumberFormat="1" applyFont="1" applyBorder="1" applyAlignment="1" applyProtection="1">
      <alignment horizontal="center" vertical="center"/>
      <protection locked="0"/>
    </xf>
    <xf numFmtId="14" fontId="37" fillId="0" borderId="108" xfId="10" applyNumberFormat="1" applyFont="1" applyBorder="1" applyAlignment="1" applyProtection="1">
      <alignment horizontal="center" vertical="center"/>
      <protection locked="0"/>
    </xf>
    <xf numFmtId="14" fontId="37" fillId="0" borderId="109" xfId="10" applyNumberFormat="1" applyFont="1" applyBorder="1" applyAlignment="1" applyProtection="1">
      <alignment horizontal="center" vertical="center"/>
      <protection locked="0"/>
    </xf>
    <xf numFmtId="1" fontId="37" fillId="0" borderId="110" xfId="10" applyNumberFormat="1" applyFont="1" applyBorder="1" applyAlignment="1" applyProtection="1">
      <alignment horizontal="center" vertical="center"/>
      <protection locked="0"/>
    </xf>
    <xf numFmtId="14" fontId="37" fillId="0" borderId="112" xfId="10" applyNumberFormat="1" applyFont="1" applyBorder="1" applyAlignment="1" applyProtection="1">
      <alignment horizontal="center" vertical="center"/>
      <protection locked="0"/>
    </xf>
    <xf numFmtId="14" fontId="37" fillId="0" borderId="113" xfId="10" applyNumberFormat="1" applyFont="1" applyBorder="1" applyAlignment="1" applyProtection="1">
      <alignment horizontal="center" vertical="center"/>
      <protection locked="0"/>
    </xf>
    <xf numFmtId="1" fontId="37" fillId="0" borderId="114" xfId="10" applyNumberFormat="1" applyFont="1" applyBorder="1" applyAlignment="1" applyProtection="1">
      <alignment horizontal="center" vertical="center"/>
      <protection locked="0"/>
    </xf>
    <xf numFmtId="0" fontId="5" fillId="5" borderId="12" xfId="0" applyFont="1" applyFill="1" applyBorder="1"/>
    <xf numFmtId="0" fontId="5" fillId="5" borderId="17" xfId="0" applyFont="1" applyFill="1" applyBorder="1"/>
    <xf numFmtId="0" fontId="38" fillId="0" borderId="14" xfId="0" applyFont="1" applyBorder="1" applyAlignment="1">
      <alignment horizontal="left" vertical="center"/>
    </xf>
    <xf numFmtId="0" fontId="5" fillId="0" borderId="12" xfId="0" applyFont="1" applyBorder="1"/>
    <xf numFmtId="0" fontId="5" fillId="0" borderId="17" xfId="0" applyFont="1" applyBorder="1"/>
    <xf numFmtId="0" fontId="38" fillId="5" borderId="14" xfId="0" applyFont="1" applyFill="1" applyBorder="1" applyAlignment="1">
      <alignment horizontal="left" vertical="center"/>
    </xf>
    <xf numFmtId="0" fontId="21" fillId="0" borderId="0" xfId="18" applyFont="1" applyAlignment="1" applyProtection="1">
      <alignment vertical="center"/>
      <protection hidden="1"/>
    </xf>
    <xf numFmtId="0" fontId="26" fillId="0" borderId="0" xfId="18" applyFont="1" applyAlignment="1" applyProtection="1">
      <alignment vertical="center"/>
      <protection hidden="1"/>
    </xf>
    <xf numFmtId="0" fontId="16" fillId="0" borderId="0" xfId="18" applyFont="1" applyAlignment="1" applyProtection="1">
      <alignment vertical="center"/>
      <protection hidden="1"/>
    </xf>
    <xf numFmtId="0" fontId="26" fillId="0" borderId="80" xfId="18" applyFont="1" applyBorder="1" applyAlignment="1" applyProtection="1">
      <alignment vertical="center"/>
      <protection hidden="1"/>
    </xf>
    <xf numFmtId="0" fontId="21" fillId="0" borderId="81" xfId="18" applyFont="1" applyBorder="1" applyAlignment="1" applyProtection="1">
      <alignment vertical="center"/>
      <protection hidden="1"/>
    </xf>
    <xf numFmtId="0" fontId="21" fillId="0" borderId="82" xfId="18" applyFont="1" applyBorder="1" applyAlignment="1" applyProtection="1">
      <alignment vertical="center"/>
      <protection hidden="1"/>
    </xf>
    <xf numFmtId="0" fontId="26" fillId="0" borderId="83" xfId="18" applyFont="1" applyBorder="1" applyAlignment="1" applyProtection="1">
      <alignment vertical="center"/>
      <protection hidden="1"/>
    </xf>
    <xf numFmtId="0" fontId="21" fillId="0" borderId="84" xfId="18" applyFont="1" applyBorder="1" applyAlignment="1" applyProtection="1">
      <alignment vertical="center"/>
      <protection hidden="1"/>
    </xf>
    <xf numFmtId="0" fontId="26" fillId="5" borderId="83" xfId="18" applyFont="1" applyFill="1" applyBorder="1" applyAlignment="1" applyProtection="1">
      <alignment vertical="center"/>
      <protection hidden="1"/>
    </xf>
    <xf numFmtId="0" fontId="21" fillId="5" borderId="0" xfId="18" applyFont="1" applyFill="1" applyAlignment="1" applyProtection="1">
      <alignment vertical="center"/>
      <protection hidden="1"/>
    </xf>
    <xf numFmtId="0" fontId="21" fillId="5" borderId="84" xfId="18" applyFont="1" applyFill="1" applyBorder="1" applyAlignment="1" applyProtection="1">
      <alignment vertical="center"/>
      <protection hidden="1"/>
    </xf>
    <xf numFmtId="0" fontId="39" fillId="0" borderId="83" xfId="18" applyFont="1" applyBorder="1" applyAlignment="1" applyProtection="1">
      <alignment vertical="center"/>
      <protection hidden="1"/>
    </xf>
    <xf numFmtId="0" fontId="67" fillId="0" borderId="83" xfId="18" applyFont="1" applyBorder="1" applyAlignment="1" applyProtection="1">
      <alignment vertical="center"/>
      <protection hidden="1"/>
    </xf>
    <xf numFmtId="0" fontId="39" fillId="0" borderId="0" xfId="18" applyFont="1" applyAlignment="1" applyProtection="1">
      <alignment vertical="center"/>
      <protection hidden="1"/>
    </xf>
    <xf numFmtId="0" fontId="5" fillId="0" borderId="83" xfId="18" applyFont="1" applyBorder="1" applyAlignment="1" applyProtection="1">
      <alignment vertical="center"/>
      <protection hidden="1"/>
    </xf>
    <xf numFmtId="0" fontId="35" fillId="0" borderId="83" xfId="18" applyFont="1" applyBorder="1" applyAlignment="1" applyProtection="1">
      <alignment vertical="center"/>
      <protection hidden="1"/>
    </xf>
    <xf numFmtId="0" fontId="5" fillId="0" borderId="0" xfId="18" applyFont="1" applyAlignment="1" applyProtection="1">
      <alignment vertical="center"/>
      <protection hidden="1"/>
    </xf>
    <xf numFmtId="0" fontId="21" fillId="0" borderId="0" xfId="18" applyFont="1" applyAlignment="1" applyProtection="1">
      <alignment vertical="center" wrapText="1"/>
      <protection hidden="1"/>
    </xf>
    <xf numFmtId="0" fontId="27" fillId="0" borderId="83" xfId="17" applyFont="1" applyBorder="1" applyAlignment="1" applyProtection="1">
      <alignment vertical="center" wrapText="1"/>
      <protection hidden="1"/>
    </xf>
    <xf numFmtId="0" fontId="47" fillId="0" borderId="0" xfId="17" applyFont="1" applyAlignment="1" applyProtection="1">
      <alignment horizontal="center" vertical="center" wrapText="1"/>
      <protection hidden="1"/>
    </xf>
    <xf numFmtId="0" fontId="27" fillId="0" borderId="0" xfId="17" applyFont="1" applyAlignment="1" applyProtection="1">
      <alignment horizontal="left" vertical="top" wrapText="1"/>
      <protection hidden="1"/>
    </xf>
    <xf numFmtId="0" fontId="5" fillId="0" borderId="0" xfId="18" applyFont="1" applyAlignment="1" applyProtection="1">
      <alignment horizontal="left" vertical="top"/>
      <protection hidden="1"/>
    </xf>
    <xf numFmtId="0" fontId="5" fillId="0" borderId="84" xfId="18" applyFont="1" applyBorder="1" applyAlignment="1" applyProtection="1">
      <alignment horizontal="left" vertical="top"/>
      <protection hidden="1"/>
    </xf>
    <xf numFmtId="0" fontId="16" fillId="0" borderId="0" xfId="18" applyFont="1" applyAlignment="1" applyProtection="1">
      <alignment vertical="center" wrapText="1"/>
      <protection hidden="1"/>
    </xf>
    <xf numFmtId="0" fontId="27" fillId="0" borderId="0" xfId="17" applyFont="1" applyAlignment="1" applyProtection="1">
      <alignment vertical="center" wrapText="1"/>
      <protection hidden="1"/>
    </xf>
    <xf numFmtId="0" fontId="5" fillId="0" borderId="84" xfId="18" applyFont="1" applyBorder="1" applyAlignment="1" applyProtection="1">
      <alignment vertical="center"/>
      <protection hidden="1"/>
    </xf>
    <xf numFmtId="0" fontId="27" fillId="0" borderId="0" xfId="17" applyFont="1" applyAlignment="1" applyProtection="1">
      <alignment vertical="top" wrapText="1"/>
      <protection hidden="1"/>
    </xf>
    <xf numFmtId="0" fontId="5" fillId="0" borderId="0" xfId="18" applyFont="1" applyAlignment="1" applyProtection="1">
      <alignment vertical="top"/>
      <protection hidden="1"/>
    </xf>
    <xf numFmtId="0" fontId="5" fillId="0" borderId="84" xfId="18" applyFont="1" applyBorder="1" applyAlignment="1" applyProtection="1">
      <alignment vertical="top"/>
      <protection hidden="1"/>
    </xf>
    <xf numFmtId="0" fontId="21" fillId="0" borderId="0" xfId="18" applyFont="1" applyAlignment="1" applyProtection="1">
      <alignment vertical="top"/>
      <protection hidden="1"/>
    </xf>
    <xf numFmtId="0" fontId="21" fillId="0" borderId="84" xfId="18" applyFont="1" applyBorder="1" applyAlignment="1" applyProtection="1">
      <alignment vertical="top"/>
      <protection hidden="1"/>
    </xf>
    <xf numFmtId="0" fontId="36" fillId="16" borderId="97" xfId="17" applyFont="1" applyFill="1" applyBorder="1" applyAlignment="1" applyProtection="1">
      <alignment vertical="top" wrapText="1"/>
      <protection hidden="1"/>
    </xf>
    <xf numFmtId="0" fontId="68" fillId="0" borderId="83" xfId="18" applyFont="1" applyBorder="1" applyAlignment="1" applyProtection="1">
      <alignment horizontal="left" vertical="center"/>
      <protection hidden="1"/>
    </xf>
    <xf numFmtId="0" fontId="68" fillId="0" borderId="0" xfId="18" applyFont="1" applyAlignment="1" applyProtection="1">
      <alignment horizontal="left" vertical="center"/>
      <protection hidden="1"/>
    </xf>
    <xf numFmtId="0" fontId="68" fillId="0" borderId="84"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39" fillId="0" borderId="83" xfId="18" applyFont="1" applyBorder="1" applyAlignment="1" applyProtection="1">
      <alignment horizontal="left" vertical="center"/>
      <protection hidden="1"/>
    </xf>
    <xf numFmtId="0" fontId="70" fillId="0" borderId="0" xfId="18" applyFont="1" applyAlignment="1" applyProtection="1">
      <alignment horizontal="left" vertical="center"/>
      <protection hidden="1"/>
    </xf>
    <xf numFmtId="0" fontId="70" fillId="0" borderId="84" xfId="18" applyFont="1" applyBorder="1" applyAlignment="1" applyProtection="1">
      <alignment horizontal="left" vertical="center"/>
      <protection hidden="1"/>
    </xf>
    <xf numFmtId="0" fontId="72" fillId="0" borderId="0" xfId="18" applyFont="1" applyAlignment="1" applyProtection="1">
      <alignment vertical="center"/>
      <protection hidden="1"/>
    </xf>
    <xf numFmtId="0" fontId="73" fillId="0" borderId="0" xfId="18" applyFont="1" applyAlignment="1" applyProtection="1">
      <alignment horizontal="center" vertical="center"/>
      <protection hidden="1"/>
    </xf>
    <xf numFmtId="9" fontId="73" fillId="0" borderId="0" xfId="19" applyFont="1" applyBorder="1" applyAlignment="1" applyProtection="1">
      <alignment horizontal="center" vertical="center"/>
      <protection hidden="1"/>
    </xf>
    <xf numFmtId="9" fontId="73" fillId="0" borderId="84" xfId="19" applyFont="1" applyBorder="1" applyAlignment="1" applyProtection="1">
      <alignment horizontal="center" vertical="center"/>
      <protection hidden="1"/>
    </xf>
    <xf numFmtId="0" fontId="74" fillId="0" borderId="0" xfId="18" applyFont="1" applyAlignment="1" applyProtection="1">
      <alignment vertical="center"/>
      <protection hidden="1"/>
    </xf>
    <xf numFmtId="9" fontId="74" fillId="0" borderId="0" xfId="18" applyNumberFormat="1" applyFont="1" applyAlignment="1" applyProtection="1">
      <alignment vertical="center"/>
      <protection hidden="1"/>
    </xf>
    <xf numFmtId="0" fontId="26" fillId="0" borderId="96" xfId="18" applyFont="1" applyBorder="1" applyAlignment="1" applyProtection="1">
      <alignment vertical="center"/>
      <protection hidden="1"/>
    </xf>
    <xf numFmtId="0" fontId="21" fillId="0" borderId="48" xfId="18" applyFont="1" applyBorder="1" applyAlignment="1" applyProtection="1">
      <alignment vertical="center"/>
      <protection hidden="1"/>
    </xf>
    <xf numFmtId="0" fontId="73" fillId="0" borderId="48" xfId="18" applyFont="1" applyBorder="1" applyAlignment="1" applyProtection="1">
      <alignment horizontal="center" vertical="center"/>
      <protection hidden="1"/>
    </xf>
    <xf numFmtId="9" fontId="73" fillId="0" borderId="48" xfId="19" applyFont="1" applyBorder="1" applyAlignment="1" applyProtection="1">
      <alignment horizontal="center" vertical="center"/>
      <protection hidden="1"/>
    </xf>
    <xf numFmtId="9" fontId="73" fillId="0" borderId="95" xfId="19" applyFont="1" applyBorder="1" applyAlignment="1" applyProtection="1">
      <alignment horizontal="center" vertical="center"/>
      <protection hidden="1"/>
    </xf>
    <xf numFmtId="0" fontId="35" fillId="0" borderId="83" xfId="18" applyFont="1" applyBorder="1" applyAlignment="1" applyProtection="1">
      <alignment vertical="top"/>
      <protection hidden="1"/>
    </xf>
    <xf numFmtId="0" fontId="47" fillId="0" borderId="83" xfId="17" applyFont="1" applyBorder="1" applyAlignment="1" applyProtection="1">
      <alignment horizontal="left" vertical="top" wrapText="1"/>
      <protection hidden="1"/>
    </xf>
    <xf numFmtId="0" fontId="35" fillId="0" borderId="0" xfId="18" applyFont="1" applyAlignment="1" applyProtection="1">
      <alignment horizontal="center" vertical="center"/>
      <protection hidden="1"/>
    </xf>
    <xf numFmtId="0" fontId="21" fillId="0" borderId="0" xfId="18" applyFont="1" applyAlignment="1" applyProtection="1">
      <alignment horizontal="left" vertical="top"/>
      <protection hidden="1"/>
    </xf>
    <xf numFmtId="0" fontId="21" fillId="0" borderId="84" xfId="18" applyFont="1" applyBorder="1" applyAlignment="1" applyProtection="1">
      <alignment horizontal="left" vertical="top"/>
      <protection hidden="1"/>
    </xf>
    <xf numFmtId="0" fontId="47" fillId="0" borderId="97" xfId="17" applyFont="1" applyBorder="1" applyAlignment="1" applyProtection="1">
      <alignment vertical="top" wrapText="1"/>
      <protection hidden="1"/>
    </xf>
    <xf numFmtId="1" fontId="35" fillId="0" borderId="1" xfId="18" applyNumberFormat="1" applyFont="1" applyBorder="1" applyAlignment="1" applyProtection="1">
      <alignment horizontal="center" vertical="center"/>
      <protection hidden="1"/>
    </xf>
    <xf numFmtId="0" fontId="75" fillId="0" borderId="0" xfId="18" applyFont="1" applyAlignment="1" applyProtection="1">
      <alignment vertical="center"/>
      <protection hidden="1"/>
    </xf>
    <xf numFmtId="0" fontId="75" fillId="0" borderId="84" xfId="18" applyFont="1" applyBorder="1" applyAlignment="1" applyProtection="1">
      <alignment vertical="center"/>
      <protection hidden="1"/>
    </xf>
    <xf numFmtId="0" fontId="76" fillId="0" borderId="83" xfId="17" applyFont="1" applyBorder="1" applyAlignment="1" applyProtection="1">
      <alignment vertical="center" wrapText="1"/>
      <protection hidden="1"/>
    </xf>
    <xf numFmtId="0" fontId="76" fillId="5" borderId="0" xfId="17" applyFont="1" applyFill="1" applyAlignment="1" applyProtection="1">
      <alignment horizontal="center" vertical="center" wrapText="1"/>
      <protection hidden="1"/>
    </xf>
    <xf numFmtId="0" fontId="76" fillId="5" borderId="0" xfId="17" applyFont="1" applyFill="1" applyAlignment="1" applyProtection="1">
      <alignment vertical="center" wrapText="1"/>
      <protection hidden="1"/>
    </xf>
    <xf numFmtId="0" fontId="77" fillId="0" borderId="0" xfId="18" applyFont="1" applyAlignment="1" applyProtection="1">
      <alignment vertical="center"/>
      <protection hidden="1"/>
    </xf>
    <xf numFmtId="0" fontId="32" fillId="0" borderId="0" xfId="18" applyFont="1" applyAlignment="1" applyProtection="1">
      <alignment vertical="center"/>
      <protection hidden="1"/>
    </xf>
    <xf numFmtId="49" fontId="5" fillId="0" borderId="0" xfId="18" applyNumberFormat="1" applyFont="1" applyAlignment="1" applyProtection="1">
      <alignment vertical="center" wrapText="1"/>
      <protection hidden="1"/>
    </xf>
    <xf numFmtId="0" fontId="5" fillId="0" borderId="27" xfId="18" applyFont="1" applyBorder="1" applyAlignment="1" applyProtection="1">
      <alignment vertical="center" wrapText="1"/>
      <protection hidden="1"/>
    </xf>
    <xf numFmtId="0" fontId="5" fillId="0" borderId="48" xfId="18" applyFont="1" applyBorder="1" applyAlignment="1" applyProtection="1">
      <alignment vertical="center" wrapText="1"/>
      <protection hidden="1"/>
    </xf>
    <xf numFmtId="0" fontId="5" fillId="0" borderId="84" xfId="18" applyFont="1" applyBorder="1" applyAlignment="1" applyProtection="1">
      <alignment horizontal="right" vertical="center"/>
      <protection hidden="1"/>
    </xf>
    <xf numFmtId="0" fontId="26" fillId="14" borderId="100" xfId="18" applyFont="1" applyFill="1" applyBorder="1" applyAlignment="1" applyProtection="1">
      <alignment vertical="center"/>
      <protection hidden="1"/>
    </xf>
    <xf numFmtId="0" fontId="21" fillId="14" borderId="101" xfId="18" applyFont="1" applyFill="1" applyBorder="1" applyAlignment="1" applyProtection="1">
      <alignment vertical="center"/>
      <protection hidden="1"/>
    </xf>
    <xf numFmtId="0" fontId="21" fillId="14" borderId="102" xfId="18" applyFont="1" applyFill="1" applyBorder="1" applyAlignment="1" applyProtection="1">
      <alignment vertical="center"/>
      <protection hidden="1"/>
    </xf>
    <xf numFmtId="0" fontId="77" fillId="0" borderId="57" xfId="0" applyFont="1" applyBorder="1" applyAlignment="1" applyProtection="1">
      <alignment horizontal="left" vertical="center" wrapText="1"/>
      <protection locked="0"/>
    </xf>
    <xf numFmtId="0" fontId="5" fillId="0" borderId="0" xfId="18" applyFont="1" applyAlignment="1" applyProtection="1">
      <alignment vertical="center" wrapText="1"/>
      <protection hidden="1"/>
    </xf>
    <xf numFmtId="0" fontId="5" fillId="0" borderId="0" xfId="18" applyFont="1" applyAlignment="1" applyProtection="1">
      <alignment horizontal="left" vertical="center"/>
      <protection hidden="1"/>
    </xf>
    <xf numFmtId="0" fontId="16" fillId="18" borderId="0" xfId="0" applyFont="1" applyFill="1"/>
    <xf numFmtId="0" fontId="21" fillId="5" borderId="0" xfId="0" applyFont="1" applyFill="1" applyAlignment="1">
      <alignment horizontal="left" vertical="top" wrapText="1"/>
    </xf>
    <xf numFmtId="0" fontId="5" fillId="0" borderId="0" xfId="0" applyFont="1"/>
    <xf numFmtId="0" fontId="33" fillId="14" borderId="14" xfId="0" applyFont="1" applyFill="1" applyBorder="1" applyAlignment="1">
      <alignment horizontal="center" vertical="center" wrapText="1"/>
    </xf>
    <xf numFmtId="0" fontId="33" fillId="14" borderId="38" xfId="0" applyFont="1" applyFill="1" applyBorder="1" applyAlignment="1">
      <alignment horizontal="center" vertical="center"/>
    </xf>
    <xf numFmtId="0" fontId="5" fillId="0" borderId="0" xfId="0" applyFont="1" applyAlignment="1">
      <alignment vertical="center"/>
    </xf>
    <xf numFmtId="0" fontId="36" fillId="0" borderId="0" xfId="0" applyFont="1" applyAlignment="1">
      <alignment vertical="center"/>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left" vertical="center" wrapText="1"/>
    </xf>
    <xf numFmtId="170" fontId="5" fillId="0" borderId="0" xfId="1" applyNumberFormat="1" applyFont="1" applyBorder="1" applyAlignment="1" applyProtection="1">
      <alignment horizontal="center" vertical="center" wrapText="1"/>
    </xf>
    <xf numFmtId="0" fontId="5" fillId="5" borderId="0" xfId="0" applyFont="1" applyFill="1" applyAlignment="1">
      <alignment horizontal="center" vertical="center" wrapText="1"/>
    </xf>
    <xf numFmtId="2" fontId="5" fillId="5" borderId="0" xfId="0" applyNumberFormat="1" applyFont="1" applyFill="1" applyAlignment="1">
      <alignment horizontal="center" vertical="center" wrapText="1"/>
    </xf>
    <xf numFmtId="2" fontId="5" fillId="5" borderId="0" xfId="0" applyNumberFormat="1" applyFont="1" applyFill="1" applyAlignment="1">
      <alignment horizontal="left" vertical="center" wrapText="1"/>
    </xf>
    <xf numFmtId="170" fontId="5" fillId="5" borderId="0" xfId="1" applyNumberFormat="1" applyFont="1" applyFill="1" applyBorder="1" applyAlignment="1" applyProtection="1">
      <alignment horizontal="center" vertical="center" wrapText="1"/>
    </xf>
    <xf numFmtId="9" fontId="5" fillId="5" borderId="0" xfId="1" applyNumberFormat="1" applyFont="1" applyFill="1" applyBorder="1" applyAlignment="1" applyProtection="1">
      <alignment horizontal="center" vertical="center" wrapText="1"/>
    </xf>
    <xf numFmtId="0" fontId="5" fillId="0" borderId="11" xfId="0" applyFont="1" applyBorder="1" applyAlignment="1">
      <alignment horizontal="center" vertical="center"/>
    </xf>
    <xf numFmtId="0" fontId="5" fillId="0" borderId="0" xfId="0" applyFont="1" applyAlignment="1">
      <alignment horizontal="center" vertical="center"/>
    </xf>
    <xf numFmtId="0" fontId="53" fillId="0" borderId="0" xfId="0" applyFont="1" applyAlignment="1">
      <alignment horizontal="left" vertical="top" wrapText="1"/>
    </xf>
    <xf numFmtId="0" fontId="5" fillId="5" borderId="0" xfId="0" applyFont="1" applyFill="1" applyAlignment="1">
      <alignment vertical="center"/>
    </xf>
    <xf numFmtId="166" fontId="50" fillId="5" borderId="6" xfId="0" applyNumberFormat="1" applyFont="1" applyFill="1" applyBorder="1" applyAlignment="1">
      <alignment horizontal="center"/>
    </xf>
    <xf numFmtId="0" fontId="50" fillId="5" borderId="6" xfId="0" applyFont="1" applyFill="1" applyBorder="1" applyAlignment="1">
      <alignment horizontal="left" wrapText="1"/>
    </xf>
    <xf numFmtId="1" fontId="50" fillId="5" borderId="6" xfId="0" applyNumberFormat="1" applyFont="1" applyFill="1" applyBorder="1" applyAlignment="1">
      <alignment horizontal="center"/>
    </xf>
    <xf numFmtId="0" fontId="50" fillId="5" borderId="6" xfId="0" applyFont="1" applyFill="1" applyBorder="1" applyAlignment="1">
      <alignment horizontal="left"/>
    </xf>
    <xf numFmtId="5" fontId="50" fillId="5" borderId="6" xfId="1" applyNumberFormat="1" applyFont="1" applyFill="1" applyBorder="1" applyProtection="1"/>
    <xf numFmtId="166" fontId="48" fillId="5" borderId="15" xfId="0" applyNumberFormat="1" applyFont="1" applyFill="1" applyBorder="1"/>
    <xf numFmtId="5" fontId="5" fillId="5" borderId="0" xfId="1" applyNumberFormat="1" applyFont="1" applyFill="1" applyBorder="1" applyAlignment="1" applyProtection="1">
      <alignment vertical="center"/>
    </xf>
    <xf numFmtId="0" fontId="27" fillId="5" borderId="6" xfId="0" applyFont="1" applyFill="1" applyBorder="1"/>
    <xf numFmtId="0" fontId="27" fillId="5" borderId="6" xfId="0" applyFont="1" applyFill="1" applyBorder="1" applyAlignment="1">
      <alignment horizontal="left"/>
    </xf>
    <xf numFmtId="5" fontId="35" fillId="0" borderId="0" xfId="1" applyNumberFormat="1" applyFont="1" applyBorder="1" applyAlignment="1" applyProtection="1">
      <alignment horizontal="center" vertical="center" wrapText="1"/>
    </xf>
    <xf numFmtId="0" fontId="13" fillId="7" borderId="0" xfId="0" applyFont="1" applyFill="1" applyProtection="1">
      <protection hidden="1"/>
    </xf>
    <xf numFmtId="15" fontId="13" fillId="7" borderId="0" xfId="0" applyNumberFormat="1" applyFont="1" applyFill="1" applyAlignment="1" applyProtection="1">
      <alignment horizontal="center"/>
      <protection hidden="1"/>
    </xf>
    <xf numFmtId="0" fontId="15" fillId="7" borderId="0" xfId="0" applyFont="1" applyFill="1" applyAlignment="1" applyProtection="1">
      <alignment vertical="top"/>
      <protection hidden="1"/>
    </xf>
    <xf numFmtId="0" fontId="13" fillId="7" borderId="0" xfId="0" applyFont="1" applyFill="1" applyAlignment="1" applyProtection="1">
      <alignment vertical="top"/>
      <protection hidden="1"/>
    </xf>
    <xf numFmtId="0" fontId="13" fillId="7" borderId="0" xfId="0" applyFont="1" applyFill="1" applyAlignment="1" applyProtection="1">
      <alignment horizontal="center" vertical="top"/>
      <protection hidden="1"/>
    </xf>
    <xf numFmtId="0" fontId="13" fillId="19" borderId="0" xfId="0" applyFont="1" applyFill="1" applyProtection="1">
      <protection hidden="1"/>
    </xf>
    <xf numFmtId="0" fontId="13" fillId="5" borderId="0" xfId="0" applyFont="1" applyFill="1" applyProtection="1">
      <protection hidden="1"/>
    </xf>
    <xf numFmtId="168" fontId="79" fillId="0" borderId="116" xfId="1" applyNumberFormat="1" applyFont="1" applyBorder="1" applyAlignment="1" applyProtection="1">
      <alignment horizontal="left" vertical="center" indent="1"/>
      <protection hidden="1"/>
    </xf>
    <xf numFmtId="0" fontId="80" fillId="0" borderId="117" xfId="0" applyFont="1" applyBorder="1" applyAlignment="1" applyProtection="1">
      <alignment horizontal="center" vertical="center"/>
      <protection hidden="1"/>
    </xf>
    <xf numFmtId="0" fontId="80" fillId="0" borderId="118" xfId="0" applyFont="1" applyBorder="1" applyAlignment="1" applyProtection="1">
      <alignment horizontal="left" vertical="center" indent="1"/>
      <protection hidden="1"/>
    </xf>
    <xf numFmtId="0" fontId="80" fillId="0" borderId="119" xfId="0" applyFont="1" applyBorder="1" applyAlignment="1" applyProtection="1">
      <alignment horizontal="left" vertical="center" indent="1"/>
      <protection hidden="1"/>
    </xf>
    <xf numFmtId="0" fontId="5" fillId="19" borderId="0" xfId="0" applyFont="1" applyFill="1" applyProtection="1">
      <protection hidden="1"/>
    </xf>
    <xf numFmtId="0" fontId="5" fillId="5" borderId="0" xfId="0" applyFont="1" applyFill="1" applyProtection="1">
      <protection hidden="1"/>
    </xf>
    <xf numFmtId="168" fontId="79" fillId="0" borderId="120" xfId="1" applyNumberFormat="1" applyFont="1" applyBorder="1" applyAlignment="1" applyProtection="1">
      <alignment horizontal="left" vertical="center" indent="1"/>
      <protection hidden="1"/>
    </xf>
    <xf numFmtId="0" fontId="80" fillId="0" borderId="121" xfId="0" applyFont="1" applyBorder="1" applyAlignment="1" applyProtection="1">
      <alignment horizontal="center" vertical="center"/>
      <protection hidden="1"/>
    </xf>
    <xf numFmtId="0" fontId="80" fillId="0" borderId="122" xfId="0" applyFont="1" applyBorder="1" applyAlignment="1" applyProtection="1">
      <alignment horizontal="left" vertical="center" indent="1"/>
      <protection hidden="1"/>
    </xf>
    <xf numFmtId="0" fontId="80" fillId="0" borderId="123" xfId="0" applyFont="1" applyBorder="1" applyAlignment="1" applyProtection="1">
      <alignment horizontal="left" vertical="center" indent="1"/>
      <protection hidden="1"/>
    </xf>
    <xf numFmtId="0" fontId="5" fillId="19" borderId="0" xfId="0" applyFont="1" applyFill="1" applyAlignment="1" applyProtection="1">
      <alignment horizontal="center"/>
      <protection hidden="1"/>
    </xf>
    <xf numFmtId="0" fontId="5" fillId="5" borderId="0" xfId="0" applyFont="1" applyFill="1" applyAlignment="1" applyProtection="1">
      <alignment horizontal="center"/>
      <protection hidden="1"/>
    </xf>
    <xf numFmtId="0" fontId="79" fillId="0" borderId="123" xfId="0" applyFont="1" applyBorder="1" applyAlignment="1" applyProtection="1">
      <alignment horizontal="left" vertical="center" indent="1"/>
      <protection hidden="1"/>
    </xf>
    <xf numFmtId="168" fontId="79" fillId="0" borderId="124" xfId="1" applyNumberFormat="1" applyFont="1" applyBorder="1" applyAlignment="1" applyProtection="1">
      <alignment horizontal="left" vertical="center" indent="1"/>
      <protection hidden="1"/>
    </xf>
    <xf numFmtId="0" fontId="80" fillId="0" borderId="125" xfId="0" applyFont="1" applyBorder="1" applyAlignment="1" applyProtection="1">
      <alignment horizontal="center" vertical="center"/>
      <protection hidden="1"/>
    </xf>
    <xf numFmtId="0" fontId="80" fillId="0" borderId="126" xfId="0" applyFont="1" applyBorder="1" applyAlignment="1" applyProtection="1">
      <alignment horizontal="left" vertical="center" indent="1"/>
      <protection hidden="1"/>
    </xf>
    <xf numFmtId="0" fontId="79" fillId="0" borderId="127" xfId="0" applyFont="1" applyBorder="1" applyAlignment="1" applyProtection="1">
      <alignment horizontal="left" vertical="center" indent="1"/>
      <protection hidden="1"/>
    </xf>
    <xf numFmtId="0" fontId="79" fillId="0" borderId="119" xfId="0" applyFont="1" applyBorder="1" applyAlignment="1" applyProtection="1">
      <alignment horizontal="left" vertical="center" indent="1"/>
      <protection hidden="1"/>
    </xf>
    <xf numFmtId="168" fontId="79" fillId="0" borderId="128" xfId="1" applyNumberFormat="1" applyFont="1" applyBorder="1" applyAlignment="1" applyProtection="1">
      <alignment horizontal="left" vertical="center" indent="1"/>
      <protection hidden="1"/>
    </xf>
    <xf numFmtId="0" fontId="80" fillId="0" borderId="129" xfId="0" applyFont="1" applyBorder="1" applyAlignment="1" applyProtection="1">
      <alignment horizontal="center" vertical="center"/>
      <protection hidden="1"/>
    </xf>
    <xf numFmtId="0" fontId="80" fillId="0" borderId="130" xfId="0" applyFont="1" applyBorder="1" applyAlignment="1" applyProtection="1">
      <alignment horizontal="left" vertical="center" indent="1"/>
      <protection hidden="1"/>
    </xf>
    <xf numFmtId="0" fontId="79" fillId="0" borderId="131" xfId="0" applyFont="1" applyBorder="1" applyAlignment="1" applyProtection="1">
      <alignment horizontal="left" vertical="center" indent="1"/>
      <protection hidden="1"/>
    </xf>
    <xf numFmtId="168" fontId="79" fillId="0" borderId="132" xfId="1" applyNumberFormat="1" applyFont="1" applyBorder="1" applyAlignment="1" applyProtection="1">
      <alignment horizontal="left" vertical="center" indent="1"/>
      <protection hidden="1"/>
    </xf>
    <xf numFmtId="0" fontId="80" fillId="0" borderId="133" xfId="0" applyFont="1" applyBorder="1" applyAlignment="1" applyProtection="1">
      <alignment horizontal="center" vertical="center"/>
      <protection hidden="1"/>
    </xf>
    <xf numFmtId="0" fontId="80" fillId="0" borderId="134" xfId="0" applyFont="1" applyBorder="1" applyAlignment="1" applyProtection="1">
      <alignment horizontal="left" vertical="center" indent="1"/>
      <protection hidden="1"/>
    </xf>
    <xf numFmtId="0" fontId="79" fillId="0" borderId="135" xfId="0" applyFont="1" applyBorder="1" applyAlignment="1" applyProtection="1">
      <alignment horizontal="left" vertical="center" indent="1"/>
      <protection hidden="1"/>
    </xf>
    <xf numFmtId="168" fontId="79" fillId="0" borderId="116" xfId="1" applyNumberFormat="1" applyFont="1" applyFill="1" applyBorder="1" applyAlignment="1" applyProtection="1">
      <alignment horizontal="left" vertical="center" indent="1"/>
      <protection hidden="1"/>
    </xf>
    <xf numFmtId="0" fontId="80" fillId="0" borderId="136" xfId="0" applyFont="1" applyBorder="1" applyAlignment="1" applyProtection="1">
      <alignment horizontal="center" vertical="center"/>
      <protection hidden="1"/>
    </xf>
    <xf numFmtId="0" fontId="80" fillId="0" borderId="137" xfId="0" applyFont="1" applyBorder="1" applyAlignment="1" applyProtection="1">
      <alignment horizontal="left" vertical="center" indent="1"/>
      <protection hidden="1"/>
    </xf>
    <xf numFmtId="0" fontId="80" fillId="0" borderId="138" xfId="0" applyFont="1" applyBorder="1" applyAlignment="1" applyProtection="1">
      <alignment horizontal="left" vertical="center" indent="1"/>
      <protection hidden="1"/>
    </xf>
    <xf numFmtId="0" fontId="80" fillId="0" borderId="117" xfId="0" applyFont="1" applyBorder="1" applyAlignment="1" applyProtection="1">
      <alignment horizontal="center" vertical="center" wrapText="1"/>
      <protection hidden="1"/>
    </xf>
    <xf numFmtId="0" fontId="80" fillId="0" borderId="118" xfId="0" applyFont="1" applyBorder="1" applyAlignment="1" applyProtection="1">
      <alignment horizontal="left" vertical="center" wrapText="1" indent="1"/>
      <protection hidden="1"/>
    </xf>
    <xf numFmtId="0" fontId="80" fillId="0" borderId="125" xfId="0" applyFont="1" applyBorder="1" applyAlignment="1" applyProtection="1">
      <alignment horizontal="center" vertical="center" wrapText="1"/>
      <protection hidden="1"/>
    </xf>
    <xf numFmtId="0" fontId="80" fillId="0" borderId="126" xfId="0" applyFont="1" applyBorder="1" applyAlignment="1" applyProtection="1">
      <alignment horizontal="left" vertical="center" wrapText="1" indent="1"/>
      <protection hidden="1"/>
    </xf>
    <xf numFmtId="0" fontId="80" fillId="0" borderId="121" xfId="0" applyFont="1" applyBorder="1" applyAlignment="1" applyProtection="1">
      <alignment horizontal="center" vertical="center" wrapText="1"/>
      <protection hidden="1"/>
    </xf>
    <xf numFmtId="0" fontId="80" fillId="0" borderId="122" xfId="0" applyFont="1" applyBorder="1" applyAlignment="1" applyProtection="1">
      <alignment horizontal="left" vertical="center" wrapText="1" indent="1"/>
      <protection hidden="1"/>
    </xf>
    <xf numFmtId="0" fontId="79" fillId="0" borderId="139" xfId="0" applyFont="1" applyBorder="1" applyAlignment="1" applyProtection="1">
      <alignment horizontal="left" vertical="center" indent="1"/>
      <protection hidden="1"/>
    </xf>
    <xf numFmtId="0" fontId="80" fillId="0" borderId="140" xfId="0" applyFont="1" applyBorder="1" applyAlignment="1" applyProtection="1">
      <alignment horizontal="center" vertical="center"/>
      <protection hidden="1"/>
    </xf>
    <xf numFmtId="168" fontId="79" fillId="20" borderId="120" xfId="1" applyNumberFormat="1" applyFont="1" applyFill="1" applyBorder="1" applyAlignment="1" applyProtection="1">
      <alignment horizontal="left" vertical="center" indent="1"/>
      <protection hidden="1"/>
    </xf>
    <xf numFmtId="0" fontId="80" fillId="20" borderId="122" xfId="0" applyFont="1" applyFill="1" applyBorder="1" applyAlignment="1" applyProtection="1">
      <alignment horizontal="left" vertical="center" indent="1"/>
      <protection hidden="1"/>
    </xf>
    <xf numFmtId="0" fontId="79" fillId="20" borderId="123" xfId="0" applyFont="1" applyFill="1" applyBorder="1" applyAlignment="1" applyProtection="1">
      <alignment horizontal="left" vertical="center" indent="1"/>
      <protection hidden="1"/>
    </xf>
    <xf numFmtId="168" fontId="79" fillId="20" borderId="128" xfId="1" applyNumberFormat="1" applyFont="1" applyFill="1" applyBorder="1" applyAlignment="1" applyProtection="1">
      <alignment horizontal="left" vertical="center" indent="1"/>
      <protection hidden="1"/>
    </xf>
    <xf numFmtId="0" fontId="80" fillId="20" borderId="130" xfId="0" applyFont="1" applyFill="1" applyBorder="1" applyAlignment="1" applyProtection="1">
      <alignment horizontal="left" vertical="center" indent="1"/>
      <protection hidden="1"/>
    </xf>
    <xf numFmtId="0" fontId="81" fillId="20" borderId="123" xfId="0" applyFont="1" applyFill="1" applyBorder="1" applyAlignment="1" applyProtection="1">
      <alignment horizontal="left" indent="1"/>
      <protection hidden="1"/>
    </xf>
    <xf numFmtId="0" fontId="79" fillId="20" borderId="139" xfId="0" applyFont="1" applyFill="1" applyBorder="1" applyAlignment="1" applyProtection="1">
      <alignment horizontal="left" vertical="center" indent="1"/>
      <protection hidden="1"/>
    </xf>
    <xf numFmtId="0" fontId="80" fillId="0" borderId="126" xfId="0" applyFont="1" applyBorder="1" applyAlignment="1" applyProtection="1">
      <alignment horizontal="center" vertical="center"/>
      <protection hidden="1"/>
    </xf>
    <xf numFmtId="0" fontId="80" fillId="0" borderId="141" xfId="0" applyFont="1" applyBorder="1" applyAlignment="1" applyProtection="1">
      <alignment horizontal="center" vertical="center"/>
      <protection hidden="1"/>
    </xf>
    <xf numFmtId="0" fontId="80" fillId="5" borderId="122" xfId="0" applyFont="1" applyFill="1" applyBorder="1" applyAlignment="1" applyProtection="1">
      <alignment horizontal="left" vertical="center" indent="1"/>
      <protection hidden="1"/>
    </xf>
    <xf numFmtId="168" fontId="79" fillId="0" borderId="142" xfId="1" applyNumberFormat="1" applyFont="1" applyBorder="1" applyAlignment="1" applyProtection="1">
      <alignment horizontal="left" vertical="center" indent="1"/>
      <protection hidden="1"/>
    </xf>
    <xf numFmtId="0" fontId="80" fillId="0" borderId="141" xfId="0" applyFont="1" applyBorder="1" applyAlignment="1" applyProtection="1">
      <alignment horizontal="left" vertical="center" indent="1"/>
      <protection hidden="1"/>
    </xf>
    <xf numFmtId="0" fontId="79" fillId="0" borderId="143" xfId="0" applyFont="1" applyBorder="1" applyAlignment="1" applyProtection="1">
      <alignment horizontal="left" vertical="center" indent="1"/>
      <protection hidden="1"/>
    </xf>
    <xf numFmtId="0" fontId="79" fillId="0" borderId="127" xfId="0" applyFont="1" applyBorder="1" applyAlignment="1" applyProtection="1">
      <alignment horizontal="left" vertical="center" wrapText="1" indent="1"/>
      <protection hidden="1"/>
    </xf>
    <xf numFmtId="0" fontId="82" fillId="14" borderId="144" xfId="0" applyFont="1" applyFill="1" applyBorder="1" applyAlignment="1" applyProtection="1">
      <alignment horizontal="left" vertical="center" wrapText="1" indent="1"/>
      <protection hidden="1"/>
    </xf>
    <xf numFmtId="0" fontId="82" fillId="14" borderId="145" xfId="0" applyFont="1" applyFill="1" applyBorder="1" applyAlignment="1" applyProtection="1">
      <alignment horizontal="left" vertical="center" wrapText="1" indent="1"/>
      <protection hidden="1"/>
    </xf>
    <xf numFmtId="0" fontId="82" fillId="14" borderId="146" xfId="0" applyFont="1" applyFill="1" applyBorder="1" applyAlignment="1" applyProtection="1">
      <alignment horizontal="left" vertical="center" indent="1"/>
      <protection hidden="1"/>
    </xf>
    <xf numFmtId="0" fontId="82" fillId="14" borderId="147" xfId="0" applyFont="1" applyFill="1" applyBorder="1" applyAlignment="1" applyProtection="1">
      <alignment horizontal="left" vertical="center" indent="1"/>
      <protection hidden="1"/>
    </xf>
    <xf numFmtId="0" fontId="80" fillId="0" borderId="117" xfId="0" applyFont="1" applyBorder="1" applyAlignment="1" applyProtection="1">
      <alignment horizontal="left" vertical="center" indent="1"/>
      <protection hidden="1"/>
    </xf>
    <xf numFmtId="168" fontId="79" fillId="0" borderId="142" xfId="1" applyNumberFormat="1" applyFont="1" applyFill="1" applyBorder="1" applyAlignment="1" applyProtection="1">
      <alignment horizontal="left" vertical="center" indent="1"/>
      <protection hidden="1"/>
    </xf>
    <xf numFmtId="0" fontId="80" fillId="0" borderId="140" xfId="0" applyFont="1" applyBorder="1" applyAlignment="1" applyProtection="1">
      <alignment horizontal="left" vertical="center" indent="1"/>
      <protection hidden="1"/>
    </xf>
    <xf numFmtId="0" fontId="83" fillId="7" borderId="0" xfId="0" applyFont="1" applyFill="1" applyAlignment="1" applyProtection="1">
      <alignment wrapText="1"/>
      <protection hidden="1"/>
    </xf>
    <xf numFmtId="0" fontId="83" fillId="19" borderId="0" xfId="0" applyFont="1" applyFill="1" applyProtection="1">
      <protection hidden="1"/>
    </xf>
    <xf numFmtId="0" fontId="75" fillId="19" borderId="0" xfId="0" applyFont="1" applyFill="1" applyAlignment="1" applyProtection="1">
      <alignment horizontal="center"/>
      <protection hidden="1"/>
    </xf>
    <xf numFmtId="0" fontId="75" fillId="5" borderId="0" xfId="0" applyFont="1" applyFill="1" applyAlignment="1" applyProtection="1">
      <alignment horizontal="center"/>
      <protection hidden="1"/>
    </xf>
    <xf numFmtId="0" fontId="83" fillId="5" borderId="0" xfId="0" applyFont="1" applyFill="1" applyAlignment="1" applyProtection="1">
      <alignment wrapText="1"/>
      <protection hidden="1"/>
    </xf>
    <xf numFmtId="0" fontId="83" fillId="19" borderId="0" xfId="0" applyFont="1" applyFill="1" applyAlignment="1" applyProtection="1">
      <alignment wrapText="1"/>
      <protection hidden="1"/>
    </xf>
    <xf numFmtId="0" fontId="13" fillId="7" borderId="0" xfId="0" applyFont="1" applyFill="1" applyAlignment="1" applyProtection="1">
      <alignment wrapText="1"/>
      <protection hidden="1"/>
    </xf>
    <xf numFmtId="168" fontId="79" fillId="0" borderId="120" xfId="1" applyNumberFormat="1" applyFont="1" applyFill="1" applyBorder="1" applyAlignment="1" applyProtection="1">
      <alignment horizontal="left" vertical="center" indent="1"/>
      <protection hidden="1"/>
    </xf>
    <xf numFmtId="0" fontId="80" fillId="0" borderId="121" xfId="0" applyFont="1" applyBorder="1" applyAlignment="1" applyProtection="1">
      <alignment horizontal="left" vertical="center" indent="1"/>
      <protection hidden="1"/>
    </xf>
    <xf numFmtId="0" fontId="13" fillId="5" borderId="0" xfId="0" applyFont="1" applyFill="1" applyAlignment="1" applyProtection="1">
      <alignment wrapText="1"/>
      <protection hidden="1"/>
    </xf>
    <xf numFmtId="0" fontId="13" fillId="19" borderId="0" xfId="0" applyFont="1" applyFill="1" applyAlignment="1" applyProtection="1">
      <alignment wrapText="1"/>
      <protection hidden="1"/>
    </xf>
    <xf numFmtId="0" fontId="80" fillId="0" borderId="129" xfId="0" applyFont="1" applyBorder="1" applyAlignment="1" applyProtection="1">
      <alignment horizontal="left" vertical="center" indent="1"/>
      <protection hidden="1"/>
    </xf>
    <xf numFmtId="0" fontId="80" fillId="0" borderId="125" xfId="0" applyFont="1" applyBorder="1" applyAlignment="1" applyProtection="1">
      <alignment horizontal="left" vertical="center" indent="1"/>
      <protection hidden="1"/>
    </xf>
    <xf numFmtId="0" fontId="83" fillId="7" borderId="0" xfId="0" applyFont="1" applyFill="1" applyProtection="1">
      <protection hidden="1"/>
    </xf>
    <xf numFmtId="0" fontId="82" fillId="14" borderId="145" xfId="0" applyFont="1" applyFill="1" applyBorder="1" applyAlignment="1" applyProtection="1">
      <alignment horizontal="left" vertical="center" indent="1"/>
      <protection hidden="1"/>
    </xf>
    <xf numFmtId="0" fontId="83" fillId="5" borderId="0" xfId="0" applyFont="1" applyFill="1" applyProtection="1">
      <protection hidden="1"/>
    </xf>
    <xf numFmtId="0" fontId="45" fillId="0" borderId="149" xfId="0" applyFont="1" applyBorder="1" applyAlignment="1" applyProtection="1">
      <alignment horizontal="left" vertical="center"/>
      <protection hidden="1"/>
    </xf>
    <xf numFmtId="0" fontId="86" fillId="0" borderId="0" xfId="0" applyFont="1" applyAlignment="1" applyProtection="1">
      <alignment vertical="center"/>
      <protection hidden="1"/>
    </xf>
    <xf numFmtId="15" fontId="13" fillId="19" borderId="0" xfId="0" applyNumberFormat="1" applyFont="1" applyFill="1" applyAlignment="1" applyProtection="1">
      <alignment horizontal="center"/>
      <protection hidden="1"/>
    </xf>
    <xf numFmtId="15" fontId="13" fillId="5" borderId="0" xfId="0" applyNumberFormat="1" applyFont="1" applyFill="1" applyAlignment="1" applyProtection="1">
      <alignment horizontal="center"/>
      <protection hidden="1"/>
    </xf>
    <xf numFmtId="0" fontId="15" fillId="5" borderId="0" xfId="0" applyFont="1" applyFill="1" applyAlignment="1" applyProtection="1">
      <alignment vertical="top"/>
      <protection hidden="1"/>
    </xf>
    <xf numFmtId="0" fontId="13" fillId="5" borderId="0" xfId="0" applyFont="1" applyFill="1" applyAlignment="1" applyProtection="1">
      <alignment vertical="top"/>
      <protection hidden="1"/>
    </xf>
    <xf numFmtId="0" fontId="15" fillId="19" borderId="0" xfId="0" applyFont="1" applyFill="1" applyAlignment="1" applyProtection="1">
      <alignment vertical="top"/>
      <protection hidden="1"/>
    </xf>
    <xf numFmtId="0" fontId="13" fillId="19" borderId="0" xfId="0" applyFont="1" applyFill="1" applyAlignment="1" applyProtection="1">
      <alignment vertical="top"/>
      <protection hidden="1"/>
    </xf>
    <xf numFmtId="0" fontId="13" fillId="19" borderId="0" xfId="0" applyFont="1" applyFill="1" applyAlignment="1" applyProtection="1">
      <alignment horizontal="center" vertical="top"/>
      <protection hidden="1"/>
    </xf>
    <xf numFmtId="0" fontId="5" fillId="17" borderId="97" xfId="17" applyFont="1" applyFill="1" applyBorder="1" applyAlignment="1" applyProtection="1">
      <alignment horizontal="left" vertical="top" wrapText="1"/>
      <protection hidden="1"/>
    </xf>
    <xf numFmtId="0" fontId="5" fillId="0" borderId="0" xfId="18" applyFont="1" applyAlignment="1" applyProtection="1">
      <alignment horizontal="left" vertical="center" wrapText="1"/>
      <protection hidden="1"/>
    </xf>
    <xf numFmtId="0" fontId="36" fillId="16" borderId="97" xfId="17" applyFont="1" applyFill="1" applyBorder="1" applyAlignment="1" applyProtection="1">
      <alignment horizontal="left" vertical="top" wrapText="1"/>
      <protection hidden="1"/>
    </xf>
    <xf numFmtId="0" fontId="5" fillId="14" borderId="97" xfId="17" applyFont="1" applyFill="1" applyBorder="1" applyAlignment="1" applyProtection="1">
      <alignment horizontal="left" vertical="top" wrapText="1"/>
      <protection hidden="1"/>
    </xf>
    <xf numFmtId="0" fontId="33" fillId="0" borderId="30" xfId="17" applyFont="1" applyBorder="1" applyAlignment="1" applyProtection="1">
      <alignment horizontal="center" vertical="center" wrapText="1"/>
      <protection locked="0"/>
    </xf>
    <xf numFmtId="0" fontId="29" fillId="21" borderId="150" xfId="20" applyFont="1" applyFill="1" applyBorder="1"/>
    <xf numFmtId="0" fontId="87" fillId="21" borderId="150" xfId="20" applyFont="1" applyFill="1" applyBorder="1" applyAlignment="1">
      <alignment vertical="center"/>
    </xf>
    <xf numFmtId="0" fontId="16" fillId="22" borderId="88" xfId="20" applyFont="1" applyFill="1" applyBorder="1"/>
    <xf numFmtId="0" fontId="21" fillId="22" borderId="88" xfId="20" applyFont="1" applyFill="1" applyBorder="1" applyAlignment="1">
      <alignment vertical="center"/>
    </xf>
    <xf numFmtId="0" fontId="16" fillId="0" borderId="88" xfId="20" applyFont="1" applyBorder="1"/>
    <xf numFmtId="0" fontId="16" fillId="0" borderId="151" xfId="20" applyFont="1" applyBorder="1" applyAlignment="1">
      <alignment vertical="top" wrapText="1"/>
    </xf>
    <xf numFmtId="0" fontId="19" fillId="0" borderId="151" xfId="20" applyFont="1" applyBorder="1" applyAlignment="1">
      <alignment vertical="top" wrapText="1"/>
    </xf>
    <xf numFmtId="0" fontId="21" fillId="0" borderId="151" xfId="20" applyFont="1" applyBorder="1" applyAlignment="1">
      <alignment vertical="center"/>
    </xf>
    <xf numFmtId="0" fontId="33" fillId="0" borderId="1" xfId="17" applyFont="1" applyBorder="1" applyAlignment="1" applyProtection="1">
      <alignment horizontal="center" vertical="center" wrapText="1"/>
      <protection locked="0"/>
    </xf>
    <xf numFmtId="0" fontId="33" fillId="0" borderId="34" xfId="17" applyFont="1" applyBorder="1" applyAlignment="1" applyProtection="1">
      <alignment horizontal="center" vertical="center" wrapText="1"/>
      <protection locked="0"/>
    </xf>
    <xf numFmtId="0" fontId="5" fillId="0" borderId="83" xfId="18" applyFont="1" applyBorder="1" applyAlignment="1" applyProtection="1">
      <alignment vertical="top" wrapText="1"/>
      <protection hidden="1"/>
    </xf>
    <xf numFmtId="0" fontId="20" fillId="23" borderId="13" xfId="0" applyFont="1" applyFill="1" applyBorder="1" applyAlignment="1">
      <alignment horizontal="center" vertical="center"/>
    </xf>
    <xf numFmtId="0" fontId="13" fillId="3" borderId="0" xfId="0" applyFont="1" applyFill="1"/>
    <xf numFmtId="169" fontId="16" fillId="24" borderId="152" xfId="0" applyNumberFormat="1" applyFont="1" applyFill="1" applyBorder="1" applyAlignment="1">
      <alignment horizontal="center" vertical="center"/>
    </xf>
    <xf numFmtId="169" fontId="16" fillId="24" borderId="28" xfId="0" applyNumberFormat="1" applyFont="1" applyFill="1" applyBorder="1" applyAlignment="1">
      <alignment horizontal="center" vertical="center"/>
    </xf>
    <xf numFmtId="0" fontId="16" fillId="24" borderId="28" xfId="0" applyFont="1" applyFill="1" applyBorder="1" applyAlignment="1">
      <alignment horizontal="center" vertical="center"/>
    </xf>
    <xf numFmtId="169" fontId="17" fillId="24" borderId="28" xfId="4" applyNumberFormat="1" applyFont="1" applyFill="1" applyBorder="1" applyAlignment="1">
      <alignment horizontal="center" vertical="center"/>
    </xf>
    <xf numFmtId="173" fontId="17" fillId="24" borderId="29" xfId="4" applyNumberFormat="1" applyFont="1" applyFill="1" applyBorder="1" applyAlignment="1">
      <alignment horizontal="center" vertical="center"/>
    </xf>
    <xf numFmtId="165" fontId="5" fillId="5" borderId="1" xfId="1" applyNumberFormat="1" applyFont="1" applyFill="1" applyBorder="1" applyAlignment="1" applyProtection="1">
      <alignment vertical="center" wrapText="1"/>
      <protection hidden="1"/>
    </xf>
    <xf numFmtId="0" fontId="86" fillId="0" borderId="0" xfId="0" applyFont="1" applyAlignment="1" applyProtection="1">
      <alignment horizontal="left" vertical="center" wrapText="1"/>
      <protection hidden="1"/>
    </xf>
    <xf numFmtId="0" fontId="86" fillId="0" borderId="149" xfId="0" applyFont="1" applyBorder="1" applyAlignment="1" applyProtection="1">
      <alignment horizontal="left" vertical="center" wrapText="1"/>
      <protection hidden="1"/>
    </xf>
    <xf numFmtId="0" fontId="45" fillId="5" borderId="14" xfId="0" applyFont="1" applyFill="1" applyBorder="1" applyAlignment="1">
      <alignment vertical="center"/>
    </xf>
    <xf numFmtId="0" fontId="33" fillId="14" borderId="5" xfId="0" applyFont="1" applyFill="1" applyBorder="1" applyAlignment="1">
      <alignment vertical="center" wrapText="1"/>
    </xf>
    <xf numFmtId="0" fontId="65" fillId="14" borderId="10" xfId="0" applyFont="1" applyFill="1" applyBorder="1" applyAlignment="1">
      <alignment horizontal="center" vertical="center"/>
    </xf>
    <xf numFmtId="0" fontId="36" fillId="14" borderId="7" xfId="0" applyFont="1" applyFill="1" applyBorder="1" applyAlignment="1">
      <alignment vertical="center"/>
    </xf>
    <xf numFmtId="166" fontId="5" fillId="0" borderId="12" xfId="0" applyNumberFormat="1" applyFont="1" applyBorder="1" applyAlignment="1" applyProtection="1">
      <alignment horizontal="center" vertical="center" wrapText="1"/>
      <protection locked="0"/>
    </xf>
    <xf numFmtId="166" fontId="50" fillId="5" borderId="0" xfId="0" applyNumberFormat="1" applyFont="1" applyFill="1" applyAlignment="1">
      <alignment horizontal="center"/>
    </xf>
    <xf numFmtId="0" fontId="5" fillId="0" borderId="13" xfId="0" applyFont="1" applyBorder="1" applyAlignment="1">
      <alignment horizontal="center" vertical="center"/>
    </xf>
    <xf numFmtId="0" fontId="36" fillId="14" borderId="13" xfId="0" applyFont="1" applyFill="1" applyBorder="1" applyAlignment="1">
      <alignment horizontal="center" vertical="center"/>
    </xf>
    <xf numFmtId="0" fontId="16" fillId="0" borderId="16" xfId="0" applyFont="1" applyBorder="1" applyAlignment="1">
      <alignment horizontal="center"/>
    </xf>
    <xf numFmtId="166" fontId="16" fillId="0" borderId="2" xfId="0" applyNumberFormat="1" applyFont="1" applyBorder="1" applyAlignment="1">
      <alignment horizontal="center"/>
    </xf>
    <xf numFmtId="0" fontId="16" fillId="0" borderId="2" xfId="0" applyFont="1" applyBorder="1" applyAlignment="1">
      <alignment horizontal="left" wrapText="1"/>
    </xf>
    <xf numFmtId="1" fontId="16" fillId="0" borderId="2" xfId="0" applyNumberFormat="1" applyFont="1" applyBorder="1" applyAlignment="1">
      <alignment horizontal="center"/>
    </xf>
    <xf numFmtId="0" fontId="16" fillId="0" borderId="2" xfId="0" applyFont="1" applyBorder="1" applyAlignment="1">
      <alignment horizontal="left"/>
    </xf>
    <xf numFmtId="5" fontId="16" fillId="0" borderId="2" xfId="1" applyNumberFormat="1" applyFont="1" applyBorder="1" applyProtection="1"/>
    <xf numFmtId="164" fontId="16" fillId="0" borderId="2" xfId="0" applyNumberFormat="1" applyFont="1" applyBorder="1"/>
    <xf numFmtId="0" fontId="16" fillId="0" borderId="2" xfId="0" applyFont="1" applyBorder="1"/>
    <xf numFmtId="0" fontId="16" fillId="0" borderId="2" xfId="0" applyFont="1" applyBorder="1" applyAlignment="1">
      <alignment horizontal="center"/>
    </xf>
    <xf numFmtId="0" fontId="16" fillId="0" borderId="3" xfId="0" applyFont="1" applyBorder="1"/>
    <xf numFmtId="166" fontId="46" fillId="5" borderId="15" xfId="0" applyNumberFormat="1" applyFont="1" applyFill="1" applyBorder="1" applyAlignment="1">
      <alignment horizontal="left" vertical="center"/>
    </xf>
    <xf numFmtId="0" fontId="27" fillId="5" borderId="0" xfId="0" applyFont="1" applyFill="1" applyAlignment="1" applyProtection="1">
      <alignment vertical="center"/>
      <protection hidden="1"/>
    </xf>
    <xf numFmtId="166" fontId="48" fillId="5" borderId="0" xfId="0" applyNumberFormat="1" applyFont="1" applyFill="1" applyAlignment="1">
      <alignment horizontal="left"/>
    </xf>
    <xf numFmtId="166" fontId="45" fillId="5" borderId="0" xfId="0" applyNumberFormat="1" applyFont="1" applyFill="1" applyAlignment="1">
      <alignment horizontal="left"/>
    </xf>
    <xf numFmtId="0" fontId="27" fillId="5" borderId="0" xfId="0" applyFont="1" applyFill="1" applyAlignment="1">
      <alignment horizontal="left"/>
    </xf>
    <xf numFmtId="164" fontId="27" fillId="5" borderId="0" xfId="0" applyNumberFormat="1" applyFont="1" applyFill="1"/>
    <xf numFmtId="0" fontId="47" fillId="5" borderId="0" xfId="0" applyFont="1" applyFill="1" applyAlignment="1">
      <alignment horizontal="center" vertical="center"/>
    </xf>
    <xf numFmtId="0" fontId="5" fillId="0" borderId="0" xfId="0" applyFont="1" applyAlignment="1">
      <alignment vertical="center" wrapText="1"/>
    </xf>
    <xf numFmtId="0" fontId="47" fillId="5" borderId="0" xfId="0" applyFont="1" applyFill="1" applyAlignment="1">
      <alignment horizontal="left" vertical="center" wrapText="1"/>
    </xf>
    <xf numFmtId="0" fontId="27" fillId="5" borderId="0" xfId="0" applyFont="1" applyFill="1"/>
    <xf numFmtId="166" fontId="46" fillId="5" borderId="15" xfId="0" applyNumberFormat="1" applyFont="1" applyFill="1" applyBorder="1" applyAlignment="1">
      <alignment vertical="center"/>
    </xf>
    <xf numFmtId="14" fontId="27" fillId="5" borderId="0" xfId="0" applyNumberFormat="1" applyFont="1" applyFill="1" applyAlignment="1" applyProtection="1">
      <alignment vertical="center"/>
      <protection hidden="1"/>
    </xf>
    <xf numFmtId="166" fontId="45" fillId="5" borderId="0" xfId="0" applyNumberFormat="1" applyFont="1" applyFill="1"/>
    <xf numFmtId="0" fontId="27" fillId="5" borderId="0" xfId="0" applyFont="1" applyFill="1" applyAlignment="1">
      <alignment vertical="center"/>
    </xf>
    <xf numFmtId="0" fontId="27" fillId="5" borderId="0" xfId="0" applyFont="1" applyFill="1" applyAlignment="1">
      <alignment horizontal="left" vertical="center"/>
    </xf>
    <xf numFmtId="166" fontId="48" fillId="5" borderId="0" xfId="0" applyNumberFormat="1" applyFont="1" applyFill="1"/>
    <xf numFmtId="0" fontId="46" fillId="5" borderId="15" xfId="0" applyFont="1" applyFill="1" applyBorder="1" applyAlignment="1">
      <alignment horizontal="left" vertical="center"/>
    </xf>
    <xf numFmtId="0" fontId="50" fillId="5" borderId="15" xfId="0" applyFont="1" applyFill="1" applyBorder="1" applyAlignment="1">
      <alignment horizontal="center"/>
    </xf>
    <xf numFmtId="166" fontId="48" fillId="5" borderId="15" xfId="0" applyNumberFormat="1" applyFont="1" applyFill="1" applyBorder="1" applyAlignment="1">
      <alignment horizontal="left"/>
    </xf>
    <xf numFmtId="0" fontId="35" fillId="0" borderId="0" xfId="0" applyFont="1" applyAlignment="1" applyProtection="1">
      <alignment wrapText="1"/>
      <protection hidden="1"/>
    </xf>
    <xf numFmtId="0" fontId="35" fillId="0" borderId="4" xfId="0" applyFont="1" applyBorder="1" applyAlignment="1" applyProtection="1">
      <alignment wrapText="1"/>
      <protection hidden="1"/>
    </xf>
    <xf numFmtId="0" fontId="34" fillId="0" borderId="5" xfId="0" applyFont="1" applyBorder="1"/>
    <xf numFmtId="0" fontId="89" fillId="16" borderId="154" xfId="0" applyFont="1" applyFill="1" applyBorder="1" applyAlignment="1" applyProtection="1">
      <alignment horizontal="left" vertical="center" wrapText="1"/>
      <protection hidden="1"/>
    </xf>
    <xf numFmtId="43" fontId="16" fillId="0" borderId="39" xfId="1" applyFont="1" applyFill="1" applyBorder="1" applyAlignment="1" applyProtection="1">
      <alignment horizontal="right" vertical="center" wrapText="1" indent="1"/>
      <protection hidden="1"/>
    </xf>
    <xf numFmtId="0" fontId="16" fillId="0" borderId="156" xfId="0" applyFont="1" applyBorder="1" applyAlignment="1">
      <alignment vertical="center"/>
    </xf>
    <xf numFmtId="43" fontId="16" fillId="0" borderId="41" xfId="1" applyFont="1" applyFill="1" applyBorder="1" applyAlignment="1" applyProtection="1">
      <alignment horizontal="right" vertical="center" wrapText="1" indent="1"/>
      <protection hidden="1"/>
    </xf>
    <xf numFmtId="0" fontId="16" fillId="0" borderId="153" xfId="0" applyFont="1" applyBorder="1" applyAlignment="1">
      <alignment vertical="center"/>
    </xf>
    <xf numFmtId="43" fontId="16" fillId="0" borderId="159" xfId="1" applyFont="1" applyFill="1" applyBorder="1" applyAlignment="1" applyProtection="1">
      <alignment horizontal="right" vertical="center" wrapText="1" indent="1"/>
      <protection hidden="1"/>
    </xf>
    <xf numFmtId="0" fontId="16" fillId="0" borderId="160" xfId="0" applyFont="1" applyBorder="1" applyAlignment="1">
      <alignment vertical="center"/>
    </xf>
    <xf numFmtId="0" fontId="89" fillId="16" borderId="154" xfId="0" applyFont="1" applyFill="1" applyBorder="1" applyAlignment="1" applyProtection="1">
      <alignment horizontal="center" vertical="center"/>
      <protection hidden="1"/>
    </xf>
    <xf numFmtId="0" fontId="89" fillId="16" borderId="155" xfId="0" applyFont="1" applyFill="1" applyBorder="1" applyAlignment="1" applyProtection="1">
      <alignment horizontal="center" vertical="center" wrapText="1"/>
      <protection hidden="1"/>
    </xf>
    <xf numFmtId="0" fontId="89" fillId="16" borderId="154" xfId="0" applyFont="1" applyFill="1" applyBorder="1" applyAlignment="1" applyProtection="1">
      <alignment horizontal="center" vertical="center" wrapText="1"/>
      <protection hidden="1"/>
    </xf>
    <xf numFmtId="0" fontId="16" fillId="0" borderId="10" xfId="0" applyFont="1" applyBorder="1"/>
    <xf numFmtId="1" fontId="33" fillId="14" borderId="35" xfId="0" applyNumberFormat="1" applyFont="1" applyFill="1" applyBorder="1" applyAlignment="1">
      <alignment horizontal="center" vertical="center" wrapText="1"/>
    </xf>
    <xf numFmtId="166" fontId="33" fillId="14" borderId="35" xfId="0" applyNumberFormat="1" applyFont="1" applyFill="1" applyBorder="1" applyAlignment="1">
      <alignment horizontal="center" vertical="center" wrapText="1"/>
    </xf>
    <xf numFmtId="0" fontId="33" fillId="14" borderId="111" xfId="0" applyFont="1" applyFill="1" applyBorder="1" applyAlignment="1">
      <alignment horizontal="center" vertical="center" wrapText="1"/>
    </xf>
    <xf numFmtId="170" fontId="16" fillId="0" borderId="0" xfId="0" applyNumberFormat="1" applyFont="1" applyAlignment="1">
      <alignment vertical="center"/>
    </xf>
    <xf numFmtId="43" fontId="16" fillId="0" borderId="0" xfId="0" applyNumberFormat="1" applyFont="1" applyAlignment="1">
      <alignment vertical="center"/>
    </xf>
    <xf numFmtId="0" fontId="89" fillId="16" borderId="162" xfId="0" applyFont="1" applyFill="1" applyBorder="1" applyAlignment="1" applyProtection="1">
      <alignment horizontal="center" vertical="center" wrapText="1"/>
      <protection hidden="1"/>
    </xf>
    <xf numFmtId="170" fontId="16" fillId="0" borderId="163" xfId="0" applyNumberFormat="1" applyFont="1" applyBorder="1" applyAlignment="1">
      <alignment vertical="center"/>
    </xf>
    <xf numFmtId="43" fontId="16" fillId="0" borderId="164" xfId="0" applyNumberFormat="1" applyFont="1" applyBorder="1" applyAlignment="1">
      <alignment vertical="center"/>
    </xf>
    <xf numFmtId="43" fontId="16" fillId="0" borderId="165" xfId="0" applyNumberFormat="1" applyFont="1" applyBorder="1" applyAlignment="1">
      <alignment vertical="center"/>
    </xf>
    <xf numFmtId="0" fontId="89" fillId="16" borderId="157" xfId="0" applyFont="1" applyFill="1" applyBorder="1" applyAlignment="1" applyProtection="1">
      <alignment horizontal="center" vertical="center" wrapText="1"/>
      <protection hidden="1"/>
    </xf>
    <xf numFmtId="174" fontId="16" fillId="0" borderId="158" xfId="0" applyNumberFormat="1" applyFont="1" applyBorder="1" applyAlignment="1">
      <alignment vertical="center"/>
    </xf>
    <xf numFmtId="174" fontId="16" fillId="0" borderId="161" xfId="0" applyNumberFormat="1" applyFont="1" applyBorder="1" applyAlignment="1">
      <alignment vertical="center"/>
    </xf>
    <xf numFmtId="0" fontId="25" fillId="25" borderId="1" xfId="0" applyFont="1" applyFill="1" applyBorder="1" applyAlignment="1" applyProtection="1">
      <alignment vertical="top"/>
      <protection hidden="1"/>
    </xf>
    <xf numFmtId="0" fontId="25" fillId="25" borderId="1" xfId="0" applyFont="1" applyFill="1" applyBorder="1" applyProtection="1">
      <protection hidden="1"/>
    </xf>
    <xf numFmtId="0" fontId="33" fillId="14" borderId="6" xfId="0" applyFont="1" applyFill="1" applyBorder="1" applyAlignment="1">
      <alignment horizontal="left" vertical="center"/>
    </xf>
    <xf numFmtId="0" fontId="76" fillId="0" borderId="0" xfId="0" applyFont="1" applyAlignment="1" applyProtection="1">
      <alignment vertical="top" wrapText="1"/>
      <protection hidden="1"/>
    </xf>
    <xf numFmtId="167" fontId="5" fillId="15" borderId="42" xfId="1" applyNumberFormat="1" applyFont="1" applyFill="1" applyBorder="1" applyAlignment="1" applyProtection="1">
      <alignment horizontal="right" vertical="center" wrapText="1" indent="1"/>
      <protection hidden="1"/>
    </xf>
    <xf numFmtId="0" fontId="21" fillId="0" borderId="0" xfId="8" applyFont="1" applyProtection="1">
      <protection hidden="1"/>
    </xf>
    <xf numFmtId="49" fontId="37" fillId="0" borderId="53" xfId="8" applyNumberFormat="1" applyFont="1" applyBorder="1" applyAlignment="1" applyProtection="1">
      <alignment horizontal="left" vertical="top" wrapText="1"/>
      <protection locked="0"/>
    </xf>
    <xf numFmtId="49" fontId="39" fillId="0" borderId="54" xfId="8" applyNumberFormat="1" applyFont="1" applyBorder="1" applyAlignment="1" applyProtection="1">
      <alignment horizontal="center" vertical="center" wrapText="1"/>
      <protection locked="0"/>
    </xf>
    <xf numFmtId="49" fontId="37" fillId="0" borderId="19" xfId="8" applyNumberFormat="1" applyFont="1" applyBorder="1" applyAlignment="1" applyProtection="1">
      <alignment horizontal="left" vertical="top" wrapText="1"/>
      <protection locked="0"/>
    </xf>
    <xf numFmtId="49" fontId="37" fillId="0" borderId="22" xfId="8" applyNumberFormat="1" applyFont="1" applyBorder="1" applyAlignment="1" applyProtection="1">
      <alignment horizontal="left" vertical="top" wrapText="1"/>
      <protection locked="0"/>
    </xf>
    <xf numFmtId="0" fontId="33" fillId="14" borderId="13" xfId="0" applyFont="1" applyFill="1" applyBorder="1" applyAlignment="1" applyProtection="1">
      <alignment horizontal="center" vertical="center" wrapText="1"/>
      <protection hidden="1"/>
    </xf>
    <xf numFmtId="0" fontId="52" fillId="15" borderId="168" xfId="0" applyFont="1" applyFill="1" applyBorder="1" applyAlignment="1" applyProtection="1">
      <alignment horizontal="center" vertical="center" wrapText="1"/>
      <protection hidden="1"/>
    </xf>
    <xf numFmtId="0" fontId="52" fillId="15" borderId="169" xfId="0" applyFont="1" applyFill="1" applyBorder="1" applyAlignment="1" applyProtection="1">
      <alignment horizontal="center" vertical="center" wrapText="1"/>
      <protection hidden="1"/>
    </xf>
    <xf numFmtId="0" fontId="91" fillId="0" borderId="20" xfId="0" applyFont="1" applyBorder="1" applyAlignment="1">
      <alignment horizontal="left" vertical="top" wrapText="1"/>
    </xf>
    <xf numFmtId="49" fontId="91" fillId="0" borderId="25" xfId="0" applyNumberFormat="1" applyFont="1" applyBorder="1" applyAlignment="1">
      <alignment horizontal="center" vertical="top" wrapText="1"/>
    </xf>
    <xf numFmtId="0" fontId="91" fillId="0" borderId="20" xfId="0" applyFont="1" applyBorder="1" applyAlignment="1">
      <alignment horizontal="center" vertical="top" wrapText="1"/>
    </xf>
    <xf numFmtId="0" fontId="91" fillId="0" borderId="26" xfId="0" applyFont="1" applyBorder="1" applyAlignment="1">
      <alignment horizontal="left" vertical="top" wrapText="1"/>
    </xf>
    <xf numFmtId="0" fontId="78" fillId="5" borderId="0" xfId="0" applyFont="1" applyFill="1" applyAlignment="1">
      <alignment horizontal="left" vertical="center"/>
    </xf>
    <xf numFmtId="0" fontId="94" fillId="5" borderId="149" xfId="0" applyFont="1" applyFill="1" applyBorder="1"/>
    <xf numFmtId="44" fontId="97" fillId="5" borderId="0" xfId="1" applyNumberFormat="1" applyFont="1" applyFill="1" applyBorder="1" applyAlignment="1" applyProtection="1">
      <alignment horizontal="right" wrapText="1"/>
      <protection hidden="1"/>
    </xf>
    <xf numFmtId="1" fontId="98" fillId="5" borderId="0" xfId="1" applyNumberFormat="1" applyFont="1" applyFill="1" applyBorder="1" applyAlignment="1" applyProtection="1">
      <alignment horizontal="center" vertical="center" wrapText="1"/>
      <protection locked="0" hidden="1"/>
    </xf>
    <xf numFmtId="44" fontId="97" fillId="5" borderId="0" xfId="1" applyNumberFormat="1" applyFont="1" applyFill="1" applyBorder="1" applyAlignment="1" applyProtection="1">
      <alignment horizontal="center" vertical="center" wrapText="1"/>
      <protection hidden="1"/>
    </xf>
    <xf numFmtId="44" fontId="98" fillId="5" borderId="0" xfId="1" applyNumberFormat="1" applyFont="1" applyFill="1" applyBorder="1" applyAlignment="1" applyProtection="1">
      <alignment horizontal="center" vertical="center" wrapText="1"/>
      <protection hidden="1"/>
    </xf>
    <xf numFmtId="0" fontId="98" fillId="5" borderId="1" xfId="1" applyNumberFormat="1" applyFont="1" applyFill="1" applyBorder="1" applyAlignment="1" applyProtection="1">
      <alignment horizontal="center" vertical="center" wrapText="1"/>
      <protection locked="0" hidden="1"/>
    </xf>
    <xf numFmtId="0" fontId="97" fillId="5" borderId="0" xfId="1" applyNumberFormat="1" applyFont="1" applyFill="1" applyBorder="1" applyAlignment="1" applyProtection="1">
      <alignment horizontal="center" vertical="center" wrapText="1"/>
      <protection hidden="1"/>
    </xf>
    <xf numFmtId="0" fontId="105" fillId="14" borderId="27" xfId="0" applyFont="1" applyFill="1" applyBorder="1" applyAlignment="1" applyProtection="1">
      <alignment vertical="center" wrapText="1"/>
      <protection hidden="1"/>
    </xf>
    <xf numFmtId="0" fontId="105" fillId="14" borderId="176" xfId="0" applyFont="1" applyFill="1" applyBorder="1" applyAlignment="1" applyProtection="1">
      <alignment vertical="center" wrapText="1"/>
      <protection hidden="1"/>
    </xf>
    <xf numFmtId="0" fontId="105" fillId="5" borderId="47" xfId="0" applyFont="1" applyFill="1" applyBorder="1" applyAlignment="1" applyProtection="1">
      <alignment vertical="center" wrapText="1"/>
      <protection hidden="1"/>
    </xf>
    <xf numFmtId="44" fontId="105" fillId="5" borderId="47" xfId="0" applyNumberFormat="1" applyFont="1" applyFill="1" applyBorder="1" applyAlignment="1" applyProtection="1">
      <alignment horizontal="right" vertical="center"/>
      <protection hidden="1"/>
    </xf>
    <xf numFmtId="44" fontId="105" fillId="5" borderId="0" xfId="1" applyNumberFormat="1" applyFont="1" applyFill="1" applyBorder="1" applyAlignment="1" applyProtection="1">
      <alignment horizontal="center" vertical="center" wrapText="1"/>
      <protection hidden="1"/>
    </xf>
    <xf numFmtId="2" fontId="105" fillId="5" borderId="0" xfId="1" applyNumberFormat="1" applyFont="1" applyFill="1" applyBorder="1" applyAlignment="1" applyProtection="1">
      <alignment horizontal="center" vertical="center" wrapText="1"/>
      <protection hidden="1"/>
    </xf>
    <xf numFmtId="0" fontId="105" fillId="5" borderId="0" xfId="1" applyNumberFormat="1" applyFont="1" applyFill="1" applyBorder="1" applyAlignment="1" applyProtection="1">
      <alignment horizontal="center" vertical="center" wrapText="1"/>
      <protection hidden="1"/>
    </xf>
    <xf numFmtId="44" fontId="111" fillId="26" borderId="1" xfId="0" applyNumberFormat="1" applyFont="1" applyFill="1" applyBorder="1" applyProtection="1">
      <protection locked="0"/>
    </xf>
    <xf numFmtId="14" fontId="111" fillId="26" borderId="30" xfId="0" applyNumberFormat="1" applyFont="1" applyFill="1" applyBorder="1" applyAlignment="1" applyProtection="1">
      <alignment horizontal="right"/>
      <protection hidden="1"/>
    </xf>
    <xf numFmtId="14" fontId="111" fillId="26" borderId="1" xfId="0" applyNumberFormat="1" applyFont="1" applyFill="1" applyBorder="1" applyProtection="1">
      <protection hidden="1"/>
    </xf>
    <xf numFmtId="0" fontId="112" fillId="26" borderId="1" xfId="0" applyFont="1" applyFill="1" applyBorder="1" applyAlignment="1" applyProtection="1">
      <alignment horizontal="right"/>
      <protection hidden="1"/>
    </xf>
    <xf numFmtId="44" fontId="111" fillId="26" borderId="1" xfId="0" applyNumberFormat="1" applyFont="1" applyFill="1" applyBorder="1" applyAlignment="1" applyProtection="1">
      <alignment horizontal="center"/>
      <protection hidden="1"/>
    </xf>
    <xf numFmtId="2" fontId="111" fillId="26" borderId="1" xfId="0" applyNumberFormat="1" applyFont="1" applyFill="1" applyBorder="1" applyAlignment="1" applyProtection="1">
      <alignment horizontal="center"/>
      <protection hidden="1"/>
    </xf>
    <xf numFmtId="1" fontId="111" fillId="26" borderId="1" xfId="0" applyNumberFormat="1" applyFont="1" applyFill="1" applyBorder="1" applyAlignment="1" applyProtection="1">
      <alignment horizontal="center"/>
      <protection hidden="1"/>
    </xf>
    <xf numFmtId="44" fontId="111" fillId="26" borderId="1" xfId="0" applyNumberFormat="1" applyFont="1" applyFill="1" applyBorder="1" applyProtection="1">
      <protection hidden="1"/>
    </xf>
    <xf numFmtId="44" fontId="111" fillId="26" borderId="1" xfId="0" applyNumberFormat="1" applyFont="1" applyFill="1" applyBorder="1" applyAlignment="1" applyProtection="1">
      <alignment horizontal="right"/>
      <protection hidden="1"/>
    </xf>
    <xf numFmtId="2" fontId="111" fillId="26" borderId="1" xfId="0" applyNumberFormat="1" applyFont="1" applyFill="1" applyBorder="1"/>
    <xf numFmtId="44" fontId="98" fillId="5" borderId="1" xfId="0" applyNumberFormat="1" applyFont="1" applyFill="1" applyBorder="1" applyProtection="1">
      <protection hidden="1"/>
    </xf>
    <xf numFmtId="2" fontId="98" fillId="5" borderId="1" xfId="0" applyNumberFormat="1" applyFont="1" applyFill="1" applyBorder="1" applyProtection="1">
      <protection hidden="1"/>
    </xf>
    <xf numFmtId="2" fontId="98" fillId="5" borderId="18" xfId="0" applyNumberFormat="1" applyFont="1" applyFill="1" applyBorder="1" applyProtection="1">
      <protection hidden="1"/>
    </xf>
    <xf numFmtId="0" fontId="113" fillId="5" borderId="18" xfId="0" applyFont="1" applyFill="1" applyBorder="1" applyProtection="1">
      <protection hidden="1"/>
    </xf>
    <xf numFmtId="14" fontId="111" fillId="27" borderId="30" xfId="0" applyNumberFormat="1" applyFont="1" applyFill="1" applyBorder="1" applyProtection="1">
      <protection hidden="1"/>
    </xf>
    <xf numFmtId="14" fontId="111" fillId="27" borderId="1" xfId="0" applyNumberFormat="1" applyFont="1" applyFill="1" applyBorder="1" applyProtection="1">
      <protection hidden="1"/>
    </xf>
    <xf numFmtId="44" fontId="111" fillId="27" borderId="1" xfId="0" applyNumberFormat="1" applyFont="1" applyFill="1" applyBorder="1" applyAlignment="1" applyProtection="1">
      <alignment horizontal="center"/>
      <protection hidden="1"/>
    </xf>
    <xf numFmtId="2" fontId="113" fillId="5" borderId="1" xfId="0" applyNumberFormat="1" applyFont="1" applyFill="1" applyBorder="1"/>
    <xf numFmtId="14" fontId="111" fillId="26" borderId="30" xfId="0" applyNumberFormat="1" applyFont="1" applyFill="1" applyBorder="1" applyProtection="1">
      <protection hidden="1"/>
    </xf>
    <xf numFmtId="0" fontId="113" fillId="5" borderId="1" xfId="0" applyFont="1" applyFill="1" applyBorder="1"/>
    <xf numFmtId="0" fontId="94" fillId="5" borderId="0" xfId="0" applyFont="1" applyFill="1" applyAlignment="1">
      <alignment vertical="center"/>
    </xf>
    <xf numFmtId="0" fontId="75" fillId="5" borderId="0" xfId="0" applyFont="1" applyFill="1" applyAlignment="1">
      <alignment vertical="center"/>
    </xf>
    <xf numFmtId="0" fontId="94" fillId="5" borderId="0" xfId="0" applyFont="1" applyFill="1"/>
    <xf numFmtId="0" fontId="75" fillId="5" borderId="0" xfId="0" applyFont="1" applyFill="1"/>
    <xf numFmtId="0" fontId="75" fillId="5" borderId="63" xfId="0" applyFont="1" applyFill="1" applyBorder="1"/>
    <xf numFmtId="166" fontId="95" fillId="5" borderId="0" xfId="25" quotePrefix="1" applyNumberFormat="1" applyFont="1" applyFill="1" applyAlignment="1" applyProtection="1">
      <alignment vertical="center"/>
      <protection hidden="1"/>
    </xf>
    <xf numFmtId="166" fontId="95" fillId="5" borderId="0" xfId="25" quotePrefix="1" applyNumberFormat="1" applyFont="1" applyFill="1" applyAlignment="1" applyProtection="1">
      <alignment horizontal="left" vertical="center"/>
      <protection hidden="1"/>
    </xf>
    <xf numFmtId="0" fontId="96" fillId="5" borderId="0" xfId="25" applyFont="1" applyFill="1" applyAlignment="1" applyProtection="1">
      <alignment vertical="top" wrapText="1"/>
      <protection hidden="1"/>
    </xf>
    <xf numFmtId="0" fontId="93" fillId="5" borderId="0" xfId="0" applyFont="1" applyFill="1"/>
    <xf numFmtId="0" fontId="99" fillId="5" borderId="0" xfId="25" applyFont="1" applyFill="1" applyAlignment="1" applyProtection="1">
      <alignment horizontal="left" vertical="top" wrapText="1"/>
      <protection hidden="1"/>
    </xf>
    <xf numFmtId="0" fontId="100" fillId="5" borderId="0" xfId="25" applyFont="1" applyFill="1" applyAlignment="1" applyProtection="1">
      <alignment horizontal="right" wrapText="1"/>
      <protection hidden="1"/>
    </xf>
    <xf numFmtId="0" fontId="76" fillId="5" borderId="0" xfId="25" applyFont="1" applyFill="1" applyAlignment="1" applyProtection="1">
      <alignment horizontal="center" vertical="center"/>
      <protection locked="0" hidden="1"/>
    </xf>
    <xf numFmtId="0" fontId="101" fillId="5" borderId="0" xfId="25" applyFont="1" applyFill="1" applyAlignment="1" applyProtection="1">
      <alignment vertical="top" wrapText="1"/>
      <protection hidden="1"/>
    </xf>
    <xf numFmtId="8" fontId="102" fillId="5" borderId="0" xfId="0" applyNumberFormat="1" applyFont="1" applyFill="1" applyAlignment="1">
      <alignment horizontal="center" vertical="center"/>
    </xf>
    <xf numFmtId="0" fontId="96" fillId="5" borderId="0" xfId="25" applyFont="1" applyFill="1" applyAlignment="1" applyProtection="1">
      <alignment horizontal="left" vertical="top" wrapText="1"/>
      <protection hidden="1"/>
    </xf>
    <xf numFmtId="0" fontId="103" fillId="5" borderId="0" xfId="25" applyFont="1" applyFill="1" applyAlignment="1" applyProtection="1">
      <alignment vertical="center"/>
      <protection hidden="1"/>
    </xf>
    <xf numFmtId="0" fontId="93" fillId="5" borderId="0" xfId="0" applyFont="1" applyFill="1" applyAlignment="1">
      <alignment horizontal="right"/>
    </xf>
    <xf numFmtId="44" fontId="102" fillId="5" borderId="0" xfId="0" applyNumberFormat="1" applyFont="1" applyFill="1" applyAlignment="1">
      <alignment horizontal="center" vertical="center"/>
    </xf>
    <xf numFmtId="0" fontId="65" fillId="5" borderId="0" xfId="25" applyFont="1" applyFill="1" applyAlignment="1" applyProtection="1">
      <alignment vertical="center" wrapText="1"/>
      <protection hidden="1"/>
    </xf>
    <xf numFmtId="0" fontId="80" fillId="5" borderId="0" xfId="26" applyFont="1" applyFill="1" applyAlignment="1" applyProtection="1">
      <alignment vertical="top" wrapText="1"/>
      <protection hidden="1"/>
    </xf>
    <xf numFmtId="0" fontId="80" fillId="5" borderId="0" xfId="26" applyFont="1" applyFill="1" applyAlignment="1" applyProtection="1">
      <alignment horizontal="left" vertical="center" wrapText="1"/>
      <protection hidden="1"/>
    </xf>
    <xf numFmtId="0" fontId="80" fillId="5" borderId="0" xfId="26" applyFont="1" applyFill="1" applyAlignment="1" applyProtection="1">
      <alignment vertical="center" wrapText="1"/>
      <protection hidden="1"/>
    </xf>
    <xf numFmtId="0" fontId="104" fillId="5" borderId="0" xfId="25" applyFont="1" applyFill="1" applyAlignment="1" applyProtection="1">
      <alignment horizontal="center" vertical="center"/>
      <protection locked="0" hidden="1"/>
    </xf>
    <xf numFmtId="0" fontId="104" fillId="5" borderId="0" xfId="0" applyFont="1" applyFill="1"/>
    <xf numFmtId="0" fontId="104" fillId="5" borderId="0" xfId="26" applyFont="1" applyFill="1" applyAlignment="1" applyProtection="1">
      <alignment vertical="top" wrapText="1"/>
      <protection locked="0"/>
    </xf>
    <xf numFmtId="0" fontId="51" fillId="5" borderId="0" xfId="26" applyFont="1" applyFill="1" applyAlignment="1" applyProtection="1">
      <alignment vertical="center" wrapText="1"/>
      <protection hidden="1"/>
    </xf>
    <xf numFmtId="0" fontId="104" fillId="5" borderId="0" xfId="25" applyFont="1" applyFill="1" applyAlignment="1" applyProtection="1">
      <alignment horizontal="center" vertical="center"/>
      <protection hidden="1"/>
    </xf>
    <xf numFmtId="0" fontId="104" fillId="5" borderId="0" xfId="0" applyFont="1" applyFill="1" applyProtection="1">
      <protection hidden="1"/>
    </xf>
    <xf numFmtId="0" fontId="78" fillId="5" borderId="0" xfId="0" applyFont="1" applyFill="1" applyAlignment="1">
      <alignment horizontal="center" vertical="center"/>
    </xf>
    <xf numFmtId="0" fontId="51" fillId="5" borderId="0" xfId="0" applyFont="1" applyFill="1"/>
    <xf numFmtId="0" fontId="104" fillId="5" borderId="0" xfId="26" applyFont="1" applyFill="1" applyAlignment="1" applyProtection="1">
      <alignment vertical="center" wrapText="1"/>
      <protection hidden="1"/>
    </xf>
    <xf numFmtId="0" fontId="105" fillId="5" borderId="0" xfId="0" applyFont="1" applyFill="1" applyAlignment="1">
      <alignment vertical="center" wrapText="1"/>
    </xf>
    <xf numFmtId="44" fontId="105" fillId="5" borderId="0" xfId="0" applyNumberFormat="1" applyFont="1" applyFill="1" applyAlignment="1">
      <alignment horizontal="center" vertical="center"/>
    </xf>
    <xf numFmtId="0" fontId="104" fillId="5" borderId="0" xfId="0" applyFont="1" applyFill="1" applyAlignment="1">
      <alignment horizontal="left"/>
    </xf>
    <xf numFmtId="2" fontId="104" fillId="5" borderId="0" xfId="0" applyNumberFormat="1" applyFont="1" applyFill="1" applyAlignment="1">
      <alignment horizontal="left"/>
    </xf>
    <xf numFmtId="0" fontId="51" fillId="5" borderId="0" xfId="0" applyFont="1" applyFill="1" applyAlignment="1">
      <alignment horizontal="left"/>
    </xf>
    <xf numFmtId="0" fontId="102" fillId="5" borderId="0" xfId="0" applyFont="1" applyFill="1" applyAlignment="1">
      <alignment vertical="center" wrapText="1"/>
    </xf>
    <xf numFmtId="0" fontId="51" fillId="5" borderId="0" xfId="26" applyFont="1" applyFill="1" applyAlignment="1" applyProtection="1">
      <alignment horizontal="center" vertical="center"/>
      <protection hidden="1"/>
    </xf>
    <xf numFmtId="0" fontId="105" fillId="5" borderId="0" xfId="0" applyFont="1" applyFill="1" applyAlignment="1" applyProtection="1">
      <alignment vertical="center" wrapText="1"/>
      <protection hidden="1"/>
    </xf>
    <xf numFmtId="0" fontId="51" fillId="5" borderId="0" xfId="26" applyFont="1" applyFill="1" applyAlignment="1" applyProtection="1">
      <alignment horizontal="right" vertical="center" wrapText="1"/>
      <protection hidden="1"/>
    </xf>
    <xf numFmtId="171" fontId="46" fillId="5" borderId="0" xfId="0" applyNumberFormat="1" applyFont="1" applyFill="1" applyAlignment="1">
      <alignment horizontal="center" vertical="center"/>
    </xf>
    <xf numFmtId="0" fontId="105" fillId="5" borderId="0" xfId="0" applyFont="1" applyFill="1" applyAlignment="1">
      <alignment vertical="center"/>
    </xf>
    <xf numFmtId="0" fontId="65" fillId="5" borderId="0" xfId="0" applyFont="1" applyFill="1" applyAlignment="1">
      <alignment vertical="center"/>
    </xf>
    <xf numFmtId="44" fontId="65" fillId="5" borderId="0" xfId="0" applyNumberFormat="1" applyFont="1" applyFill="1" applyAlignment="1">
      <alignment horizontal="center" vertical="center" wrapText="1"/>
    </xf>
    <xf numFmtId="44" fontId="65" fillId="5" borderId="0" xfId="0" applyNumberFormat="1" applyFont="1" applyFill="1" applyAlignment="1">
      <alignment vertical="center" wrapText="1"/>
    </xf>
    <xf numFmtId="0" fontId="51" fillId="5" borderId="0" xfId="26" applyFont="1" applyFill="1" applyAlignment="1" applyProtection="1">
      <alignment horizontal="left" vertical="center" wrapText="1"/>
      <protection hidden="1"/>
    </xf>
    <xf numFmtId="0" fontId="102" fillId="5" borderId="0" xfId="0" applyFont="1" applyFill="1" applyAlignment="1">
      <alignment vertical="center"/>
    </xf>
    <xf numFmtId="0" fontId="33" fillId="5" borderId="0" xfId="0" applyFont="1" applyFill="1" applyAlignment="1">
      <alignment horizontal="left" vertical="center"/>
    </xf>
    <xf numFmtId="2" fontId="33" fillId="5" borderId="0" xfId="0" applyNumberFormat="1" applyFont="1" applyFill="1" applyAlignment="1">
      <alignment horizontal="left" vertical="center"/>
    </xf>
    <xf numFmtId="0" fontId="36" fillId="5" borderId="0" xfId="0" applyFont="1" applyFill="1" applyAlignment="1">
      <alignment horizontal="center" vertical="center"/>
    </xf>
    <xf numFmtId="0" fontId="92" fillId="5" borderId="0" xfId="0" applyFont="1" applyFill="1" applyAlignment="1">
      <alignment horizontal="center" vertical="center" wrapText="1"/>
    </xf>
    <xf numFmtId="0" fontId="65" fillId="5" borderId="0" xfId="0" applyFont="1" applyFill="1" applyAlignment="1">
      <alignment vertical="center" wrapText="1"/>
    </xf>
    <xf numFmtId="0" fontId="107" fillId="5" borderId="0" xfId="0" applyFont="1" applyFill="1" applyAlignment="1">
      <alignment vertical="center" wrapText="1"/>
    </xf>
    <xf numFmtId="0" fontId="108" fillId="5" borderId="0" xfId="0" applyFont="1" applyFill="1" applyAlignment="1">
      <alignment vertical="center" wrapText="1"/>
    </xf>
    <xf numFmtId="10" fontId="102" fillId="5" borderId="0" xfId="0" applyNumberFormat="1" applyFont="1" applyFill="1" applyAlignment="1">
      <alignment horizontal="right" vertical="center"/>
    </xf>
    <xf numFmtId="14" fontId="105" fillId="5" borderId="0" xfId="0" applyNumberFormat="1" applyFont="1" applyFill="1" applyAlignment="1">
      <alignment horizontal="right" vertical="center"/>
    </xf>
    <xf numFmtId="14" fontId="102" fillId="5" borderId="0" xfId="0" applyNumberFormat="1" applyFont="1" applyFill="1" applyAlignment="1">
      <alignment horizontal="right" vertical="center"/>
    </xf>
    <xf numFmtId="166" fontId="114" fillId="5" borderId="0" xfId="25" quotePrefix="1" applyNumberFormat="1" applyFont="1" applyFill="1" applyAlignment="1" applyProtection="1">
      <alignment horizontal="left" vertical="center"/>
      <protection hidden="1"/>
    </xf>
    <xf numFmtId="1" fontId="115" fillId="5" borderId="0" xfId="1" applyNumberFormat="1" applyFont="1" applyFill="1" applyBorder="1" applyAlignment="1" applyProtection="1">
      <alignment horizontal="center" vertical="center" wrapText="1"/>
      <protection hidden="1"/>
    </xf>
    <xf numFmtId="0" fontId="99" fillId="5" borderId="0" xfId="25" applyFont="1" applyFill="1" applyAlignment="1" applyProtection="1">
      <alignment vertical="top" wrapText="1"/>
      <protection hidden="1"/>
    </xf>
    <xf numFmtId="0" fontId="94" fillId="5" borderId="179" xfId="0" applyFont="1" applyFill="1" applyBorder="1"/>
    <xf numFmtId="0" fontId="21" fillId="28" borderId="0" xfId="8" applyFont="1" applyFill="1" applyAlignment="1" applyProtection="1">
      <alignment vertical="center"/>
      <protection hidden="1"/>
    </xf>
    <xf numFmtId="0" fontId="26" fillId="28" borderId="0" xfId="8" applyFont="1" applyFill="1" applyAlignment="1" applyProtection="1">
      <alignment vertical="center"/>
      <protection hidden="1"/>
    </xf>
    <xf numFmtId="0" fontId="21" fillId="28" borderId="0" xfId="8" applyFont="1" applyFill="1" applyProtection="1">
      <protection hidden="1"/>
    </xf>
    <xf numFmtId="166" fontId="5" fillId="0" borderId="0" xfId="8" applyNumberFormat="1" applyFont="1" applyAlignment="1" applyProtection="1">
      <alignment horizontal="center"/>
      <protection hidden="1"/>
    </xf>
    <xf numFmtId="0" fontId="37" fillId="0" borderId="0" xfId="8" applyFont="1" applyAlignment="1" applyProtection="1">
      <alignment vertical="center"/>
      <protection hidden="1"/>
    </xf>
    <xf numFmtId="0" fontId="39" fillId="0" borderId="0" xfId="8" applyFont="1" applyAlignment="1" applyProtection="1">
      <alignment vertical="center"/>
      <protection hidden="1"/>
    </xf>
    <xf numFmtId="0" fontId="56" fillId="0" borderId="0" xfId="8" applyFont="1" applyAlignment="1" applyProtection="1">
      <alignment horizontal="left" vertical="center" wrapText="1"/>
      <protection hidden="1"/>
    </xf>
    <xf numFmtId="0" fontId="35" fillId="0" borderId="0" xfId="8" applyFont="1" applyAlignment="1" applyProtection="1">
      <alignment vertical="center"/>
      <protection hidden="1"/>
    </xf>
    <xf numFmtId="172" fontId="38" fillId="0" borderId="0" xfId="8" applyNumberFormat="1" applyFont="1" applyAlignment="1" applyProtection="1">
      <alignment horizontal="left" vertical="center"/>
      <protection locked="0"/>
    </xf>
    <xf numFmtId="0" fontId="57" fillId="0" borderId="0" xfId="8" applyFont="1" applyAlignment="1" applyProtection="1">
      <alignment horizontal="right"/>
      <protection hidden="1"/>
    </xf>
    <xf numFmtId="0" fontId="39" fillId="0" borderId="0" xfId="0" applyFont="1" applyAlignment="1" applyProtection="1">
      <alignment vertical="center" wrapText="1"/>
      <protection hidden="1"/>
    </xf>
    <xf numFmtId="0" fontId="5" fillId="0" borderId="0" xfId="8" applyFont="1" applyAlignment="1" applyProtection="1">
      <alignment vertical="center"/>
      <protection hidden="1"/>
    </xf>
    <xf numFmtId="0" fontId="39" fillId="0" borderId="0" xfId="0" applyFont="1" applyAlignment="1" applyProtection="1">
      <alignment horizontal="right" vertical="center" wrapText="1"/>
      <protection hidden="1"/>
    </xf>
    <xf numFmtId="0" fontId="5" fillId="0" borderId="0" xfId="0" applyFont="1" applyAlignment="1" applyProtection="1">
      <alignment horizontal="left" vertical="center" wrapText="1"/>
      <protection hidden="1"/>
    </xf>
    <xf numFmtId="171" fontId="5" fillId="0" borderId="0" xfId="0" applyNumberFormat="1" applyFont="1" applyAlignment="1" applyProtection="1">
      <alignment horizontal="right" vertical="center" wrapText="1"/>
      <protection hidden="1"/>
    </xf>
    <xf numFmtId="171" fontId="39" fillId="0" borderId="0" xfId="0" applyNumberFormat="1" applyFont="1" applyAlignment="1" applyProtection="1">
      <alignment horizontal="right" vertical="center" wrapText="1"/>
      <protection hidden="1"/>
    </xf>
    <xf numFmtId="171" fontId="5" fillId="0" borderId="0" xfId="0" applyNumberFormat="1" applyFont="1" applyAlignment="1" applyProtection="1">
      <alignment horizontal="left" vertical="center" wrapText="1"/>
      <protection hidden="1"/>
    </xf>
    <xf numFmtId="0" fontId="5" fillId="0" borderId="0" xfId="8" applyFont="1" applyAlignment="1" applyProtection="1">
      <alignment horizontal="left" vertical="center"/>
      <protection hidden="1"/>
    </xf>
    <xf numFmtId="0" fontId="37" fillId="0" borderId="0" xfId="8" applyFont="1" applyAlignment="1" applyProtection="1">
      <alignment horizontal="right" vertical="center"/>
      <protection hidden="1"/>
    </xf>
    <xf numFmtId="171" fontId="5" fillId="0" borderId="0" xfId="0" applyNumberFormat="1" applyFont="1" applyAlignment="1">
      <alignment horizontal="left" vertical="center" wrapText="1"/>
    </xf>
    <xf numFmtId="171" fontId="37" fillId="0" borderId="0" xfId="0" applyNumberFormat="1" applyFont="1" applyAlignment="1">
      <alignment horizontal="right" vertical="center" wrapText="1"/>
    </xf>
    <xf numFmtId="49" fontId="43" fillId="0" borderId="0" xfId="8" applyNumberFormat="1" applyFont="1" applyAlignment="1" applyProtection="1">
      <alignment horizontal="left" vertical="center" wrapText="1"/>
      <protection hidden="1"/>
    </xf>
    <xf numFmtId="49" fontId="37" fillId="0" borderId="0" xfId="8" applyNumberFormat="1" applyFont="1" applyAlignment="1">
      <alignment horizontal="left" vertical="top" wrapText="1"/>
    </xf>
    <xf numFmtId="1" fontId="61" fillId="0" borderId="0" xfId="8" applyNumberFormat="1" applyFont="1" applyAlignment="1" applyProtection="1">
      <alignment vertical="center"/>
      <protection hidden="1"/>
    </xf>
    <xf numFmtId="0" fontId="5" fillId="0" borderId="0" xfId="8" applyFont="1" applyAlignment="1" applyProtection="1">
      <alignment horizontal="center" vertical="center"/>
      <protection hidden="1"/>
    </xf>
    <xf numFmtId="0" fontId="21" fillId="28" borderId="0" xfId="8" applyFont="1" applyFill="1" applyAlignment="1" applyProtection="1">
      <alignment horizontal="center" vertical="center"/>
      <protection hidden="1"/>
    </xf>
    <xf numFmtId="0" fontId="21" fillId="5" borderId="0" xfId="8" applyFont="1" applyFill="1" applyAlignment="1" applyProtection="1">
      <alignment vertical="center"/>
      <protection hidden="1"/>
    </xf>
    <xf numFmtId="0" fontId="26" fillId="5" borderId="0" xfId="8" applyFont="1" applyFill="1" applyAlignment="1" applyProtection="1">
      <alignment vertical="center"/>
      <protection hidden="1"/>
    </xf>
    <xf numFmtId="0" fontId="116" fillId="0" borderId="0" xfId="8" applyFont="1" applyAlignment="1" applyProtection="1">
      <alignment vertical="center"/>
      <protection hidden="1"/>
    </xf>
    <xf numFmtId="0" fontId="85" fillId="0" borderId="0" xfId="8" applyFont="1" applyAlignment="1" applyProtection="1">
      <alignment vertical="center"/>
      <protection hidden="1"/>
    </xf>
    <xf numFmtId="0" fontId="117" fillId="0" borderId="0" xfId="8" applyFont="1" applyAlignment="1" applyProtection="1">
      <alignment vertical="center"/>
      <protection hidden="1"/>
    </xf>
    <xf numFmtId="0" fontId="117" fillId="0" borderId="0" xfId="0" applyFont="1" applyAlignment="1" applyProtection="1">
      <alignment horizontal="left" vertical="center" wrapText="1"/>
      <protection hidden="1"/>
    </xf>
    <xf numFmtId="49" fontId="118" fillId="0" borderId="0" xfId="8" applyNumberFormat="1" applyFont="1" applyAlignment="1" applyProtection="1">
      <alignment horizontal="left" vertical="center" wrapText="1"/>
      <protection hidden="1"/>
    </xf>
    <xf numFmtId="0" fontId="116" fillId="0" borderId="0" xfId="0" applyFont="1" applyAlignment="1" applyProtection="1">
      <alignment horizontal="right" vertical="center" wrapText="1"/>
      <protection hidden="1"/>
    </xf>
    <xf numFmtId="0" fontId="85" fillId="0" borderId="0" xfId="8" applyFont="1" applyAlignment="1" applyProtection="1">
      <alignment horizontal="right" vertical="center"/>
      <protection hidden="1"/>
    </xf>
    <xf numFmtId="171" fontId="85" fillId="0" borderId="0" xfId="0" applyNumberFormat="1" applyFont="1" applyAlignment="1">
      <alignment horizontal="right" vertical="center" wrapText="1"/>
    </xf>
    <xf numFmtId="0" fontId="117" fillId="0" borderId="0" xfId="8" applyFont="1" applyAlignment="1" applyProtection="1">
      <alignment horizontal="right" vertical="center"/>
      <protection hidden="1"/>
    </xf>
    <xf numFmtId="0" fontId="116" fillId="0" borderId="0" xfId="8" applyFont="1" applyProtection="1">
      <protection hidden="1"/>
    </xf>
    <xf numFmtId="49" fontId="85" fillId="0" borderId="0" xfId="8" applyNumberFormat="1" applyFont="1" applyAlignment="1">
      <alignment horizontal="left" vertical="top" wrapText="1"/>
    </xf>
    <xf numFmtId="0" fontId="85" fillId="0" borderId="0" xfId="8" applyFont="1" applyAlignment="1" applyProtection="1">
      <alignment horizontal="left" vertical="center" wrapText="1"/>
      <protection hidden="1"/>
    </xf>
    <xf numFmtId="0" fontId="85" fillId="0" borderId="0" xfId="8" applyFont="1" applyProtection="1">
      <protection hidden="1"/>
    </xf>
    <xf numFmtId="1" fontId="85" fillId="0" borderId="0" xfId="8" applyNumberFormat="1" applyFont="1" applyAlignment="1" applyProtection="1">
      <alignment vertical="center"/>
      <protection hidden="1"/>
    </xf>
    <xf numFmtId="0" fontId="120" fillId="0" borderId="0" xfId="2" applyFont="1" applyBorder="1" applyAlignment="1" applyProtection="1">
      <protection locked="0" hidden="1"/>
    </xf>
    <xf numFmtId="0" fontId="117" fillId="0" borderId="0" xfId="0" applyFont="1"/>
    <xf numFmtId="0" fontId="99" fillId="0" borderId="0" xfId="8" applyFont="1" applyAlignment="1" applyProtection="1">
      <alignment vertical="center"/>
      <protection hidden="1"/>
    </xf>
    <xf numFmtId="0" fontId="99" fillId="0" borderId="0" xfId="8" applyFont="1" applyProtection="1">
      <protection hidden="1"/>
    </xf>
    <xf numFmtId="0" fontId="33" fillId="14" borderId="115" xfId="10" applyFont="1" applyFill="1" applyBorder="1" applyAlignment="1" applyProtection="1">
      <alignment horizontal="center" vertical="center" wrapText="1"/>
      <protection hidden="1"/>
    </xf>
    <xf numFmtId="0" fontId="33" fillId="14" borderId="66" xfId="10" applyFont="1" applyFill="1" applyBorder="1" applyAlignment="1" applyProtection="1">
      <alignment horizontal="center" vertical="center" wrapText="1"/>
      <protection hidden="1"/>
    </xf>
    <xf numFmtId="0" fontId="33" fillId="14" borderId="185" xfId="10" applyFont="1" applyFill="1" applyBorder="1" applyAlignment="1" applyProtection="1">
      <alignment horizontal="center" vertical="center" wrapText="1"/>
      <protection hidden="1"/>
    </xf>
    <xf numFmtId="0" fontId="33" fillId="14" borderId="183" xfId="10" applyFont="1" applyFill="1" applyBorder="1" applyAlignment="1" applyProtection="1">
      <alignment horizontal="center" vertical="center" wrapText="1"/>
      <protection hidden="1"/>
    </xf>
    <xf numFmtId="49" fontId="39" fillId="0" borderId="1" xfId="8" applyNumberFormat="1" applyFont="1" applyBorder="1" applyAlignment="1" applyProtection="1">
      <alignment horizontal="center" vertical="center" wrapText="1"/>
      <protection locked="0"/>
    </xf>
    <xf numFmtId="49" fontId="39" fillId="0" borderId="23" xfId="8" applyNumberFormat="1" applyFont="1" applyBorder="1" applyAlignment="1" applyProtection="1">
      <alignment horizontal="center" vertical="center" wrapText="1"/>
      <protection locked="0"/>
    </xf>
    <xf numFmtId="0" fontId="33" fillId="14" borderId="67" xfId="10" applyFont="1" applyFill="1" applyBorder="1" applyAlignment="1" applyProtection="1">
      <alignment horizontal="center" vertical="center" wrapText="1"/>
      <protection hidden="1"/>
    </xf>
    <xf numFmtId="0" fontId="33" fillId="14" borderId="68" xfId="10" applyFont="1" applyFill="1" applyBorder="1" applyAlignment="1" applyProtection="1">
      <alignment horizontal="center" vertical="center" wrapText="1"/>
      <protection hidden="1"/>
    </xf>
    <xf numFmtId="14" fontId="37" fillId="14" borderId="65" xfId="10" applyNumberFormat="1" applyFont="1" applyFill="1" applyBorder="1" applyAlignment="1" applyProtection="1">
      <alignment horizontal="center" vertical="center"/>
      <protection locked="0"/>
    </xf>
    <xf numFmtId="1" fontId="37" fillId="14" borderId="26" xfId="10" applyNumberFormat="1" applyFont="1" applyFill="1" applyBorder="1" applyAlignment="1" applyProtection="1">
      <alignment horizontal="center" vertical="center"/>
      <protection locked="0"/>
    </xf>
    <xf numFmtId="0" fontId="5" fillId="29" borderId="184" xfId="10" applyFont="1" applyFill="1" applyBorder="1" applyAlignment="1" applyProtection="1">
      <alignment vertical="center"/>
      <protection hidden="1"/>
    </xf>
    <xf numFmtId="0" fontId="5" fillId="29" borderId="32" xfId="10" applyFont="1" applyFill="1" applyBorder="1" applyAlignment="1" applyProtection="1">
      <alignment vertical="center"/>
      <protection hidden="1"/>
    </xf>
    <xf numFmtId="0" fontId="5" fillId="29" borderId="33" xfId="10" applyFont="1" applyFill="1" applyBorder="1" applyAlignment="1" applyProtection="1">
      <alignment vertical="center"/>
      <protection hidden="1"/>
    </xf>
    <xf numFmtId="0" fontId="53" fillId="29" borderId="187" xfId="10" applyFont="1" applyFill="1" applyBorder="1" applyAlignment="1" applyProtection="1">
      <alignment horizontal="center" vertical="center"/>
      <protection hidden="1"/>
    </xf>
    <xf numFmtId="0" fontId="5" fillId="29" borderId="188" xfId="10" applyFont="1" applyFill="1" applyBorder="1" applyAlignment="1" applyProtection="1">
      <alignment vertical="center"/>
      <protection hidden="1"/>
    </xf>
    <xf numFmtId="0" fontId="53" fillId="29" borderId="189" xfId="10" applyFont="1" applyFill="1" applyBorder="1" applyAlignment="1" applyProtection="1">
      <alignment horizontal="center" vertical="center"/>
      <protection hidden="1"/>
    </xf>
    <xf numFmtId="0" fontId="5" fillId="29" borderId="191" xfId="10" applyFont="1" applyFill="1" applyBorder="1" applyAlignment="1" applyProtection="1">
      <alignment vertical="center"/>
      <protection hidden="1"/>
    </xf>
    <xf numFmtId="0" fontId="5" fillId="29" borderId="194" xfId="10" applyFont="1" applyFill="1" applyBorder="1" applyAlignment="1" applyProtection="1">
      <alignment vertical="center"/>
      <protection hidden="1"/>
    </xf>
    <xf numFmtId="0" fontId="60" fillId="14" borderId="115" xfId="10" applyFont="1" applyFill="1" applyBorder="1" applyAlignment="1" applyProtection="1">
      <alignment horizontal="center" vertical="center" wrapText="1"/>
      <protection hidden="1"/>
    </xf>
    <xf numFmtId="0" fontId="37" fillId="14" borderId="67" xfId="10" applyFont="1" applyFill="1" applyBorder="1" applyAlignment="1" applyProtection="1">
      <alignment vertical="center"/>
      <protection hidden="1"/>
    </xf>
    <xf numFmtId="0" fontId="53" fillId="29" borderId="195" xfId="10" applyFont="1" applyFill="1" applyBorder="1" applyAlignment="1" applyProtection="1">
      <alignment horizontal="center" vertical="center" wrapText="1"/>
      <protection hidden="1"/>
    </xf>
    <xf numFmtId="0" fontId="5" fillId="29" borderId="196" xfId="10" applyFont="1" applyFill="1" applyBorder="1" applyAlignment="1" applyProtection="1">
      <alignment vertical="center"/>
      <protection hidden="1"/>
    </xf>
    <xf numFmtId="166" fontId="16" fillId="14" borderId="0" xfId="8" applyNumberFormat="1" applyFont="1" applyFill="1" applyAlignment="1" applyProtection="1">
      <alignment horizontal="center"/>
      <protection hidden="1"/>
    </xf>
    <xf numFmtId="0" fontId="5" fillId="28" borderId="0" xfId="0" applyFont="1" applyFill="1" applyAlignment="1">
      <alignment horizontal="center"/>
    </xf>
    <xf numFmtId="166" fontId="5" fillId="28" borderId="0" xfId="0" applyNumberFormat="1" applyFont="1" applyFill="1" applyAlignment="1">
      <alignment horizontal="center"/>
    </xf>
    <xf numFmtId="0" fontId="5" fillId="28" borderId="0" xfId="0" applyFont="1" applyFill="1" applyAlignment="1">
      <alignment horizontal="left" wrapText="1"/>
    </xf>
    <xf numFmtId="1" fontId="5" fillId="28" borderId="0" xfId="0" applyNumberFormat="1" applyFont="1" applyFill="1" applyAlignment="1">
      <alignment horizontal="center"/>
    </xf>
    <xf numFmtId="0" fontId="5" fillId="28" borderId="0" xfId="0" applyFont="1" applyFill="1" applyAlignment="1">
      <alignment horizontal="left"/>
    </xf>
    <xf numFmtId="5" fontId="5" fillId="28" borderId="0" xfId="1" applyNumberFormat="1" applyFont="1" applyFill="1"/>
    <xf numFmtId="164" fontId="5" fillId="28" borderId="0" xfId="0" applyNumberFormat="1" applyFont="1" applyFill="1"/>
    <xf numFmtId="0" fontId="5" fillId="28" borderId="0" xfId="0" applyFont="1" applyFill="1"/>
    <xf numFmtId="0" fontId="16" fillId="28" borderId="0" xfId="0" applyFont="1" applyFill="1"/>
    <xf numFmtId="0" fontId="16" fillId="28" borderId="0" xfId="0" applyFont="1" applyFill="1" applyAlignment="1">
      <alignment horizontal="center"/>
    </xf>
    <xf numFmtId="166" fontId="16" fillId="28" borderId="0" xfId="0" applyNumberFormat="1" applyFont="1" applyFill="1" applyAlignment="1">
      <alignment horizontal="center"/>
    </xf>
    <xf numFmtId="0" fontId="16" fillId="28" borderId="0" xfId="0" applyFont="1" applyFill="1" applyAlignment="1">
      <alignment horizontal="left" wrapText="1"/>
    </xf>
    <xf numFmtId="1" fontId="16" fillId="28" borderId="0" xfId="0" applyNumberFormat="1" applyFont="1" applyFill="1" applyAlignment="1">
      <alignment horizontal="center"/>
    </xf>
    <xf numFmtId="0" fontId="16" fillId="28" borderId="0" xfId="0" applyFont="1" applyFill="1" applyAlignment="1">
      <alignment horizontal="left"/>
    </xf>
    <xf numFmtId="5" fontId="16" fillId="28" borderId="0" xfId="1" applyNumberFormat="1" applyFont="1" applyFill="1"/>
    <xf numFmtId="164" fontId="16" fillId="28" borderId="0" xfId="0" applyNumberFormat="1" applyFont="1" applyFill="1"/>
    <xf numFmtId="0" fontId="16" fillId="28" borderId="153" xfId="0" applyFont="1" applyFill="1" applyBorder="1"/>
    <xf numFmtId="169" fontId="88" fillId="28" borderId="153" xfId="0" applyNumberFormat="1" applyFont="1" applyFill="1" applyBorder="1" applyAlignment="1">
      <alignment horizontal="right" vertical="center"/>
    </xf>
    <xf numFmtId="0" fontId="16" fillId="28" borderId="0" xfId="0" applyFont="1" applyFill="1" applyAlignment="1">
      <alignment vertical="center"/>
    </xf>
    <xf numFmtId="0" fontId="53" fillId="0" borderId="2" xfId="0" applyFont="1" applyBorder="1" applyAlignment="1">
      <alignment horizontal="left" vertical="top" wrapText="1"/>
    </xf>
    <xf numFmtId="171" fontId="77" fillId="29" borderId="171" xfId="0" applyNumberFormat="1" applyFont="1" applyFill="1" applyBorder="1" applyAlignment="1" applyProtection="1">
      <alignment horizontal="center" vertical="center"/>
      <protection hidden="1"/>
    </xf>
    <xf numFmtId="0" fontId="109" fillId="30" borderId="65" xfId="0" applyFont="1" applyFill="1" applyBorder="1" applyAlignment="1" applyProtection="1">
      <alignment horizontal="center" vertical="center" wrapText="1"/>
      <protection hidden="1"/>
    </xf>
    <xf numFmtId="0" fontId="109" fillId="30" borderId="20" xfId="0" applyFont="1" applyFill="1" applyBorder="1" applyAlignment="1" applyProtection="1">
      <alignment horizontal="center" vertical="center" wrapText="1"/>
      <protection hidden="1"/>
    </xf>
    <xf numFmtId="0" fontId="110" fillId="14" borderId="20" xfId="0" applyFont="1" applyFill="1" applyBorder="1" applyAlignment="1" applyProtection="1">
      <alignment horizontal="center" vertical="center" wrapText="1"/>
      <protection hidden="1"/>
    </xf>
    <xf numFmtId="0" fontId="109" fillId="14" borderId="20" xfId="0" applyFont="1" applyFill="1" applyBorder="1" applyAlignment="1" applyProtection="1">
      <alignment horizontal="center" vertical="center" wrapText="1"/>
      <protection hidden="1"/>
    </xf>
    <xf numFmtId="0" fontId="109" fillId="14" borderId="20" xfId="0" applyFont="1" applyFill="1" applyBorder="1" applyAlignment="1">
      <alignment horizontal="center" vertical="center" wrapText="1"/>
    </xf>
    <xf numFmtId="0" fontId="110" fillId="14" borderId="27" xfId="0" applyFont="1" applyFill="1" applyBorder="1" applyAlignment="1" applyProtection="1">
      <alignment horizontal="center" vertical="center" wrapText="1"/>
      <protection hidden="1"/>
    </xf>
    <xf numFmtId="0" fontId="109" fillId="30" borderId="27" xfId="0" applyFont="1" applyFill="1" applyBorder="1" applyAlignment="1" applyProtection="1">
      <alignment horizontal="center" vertical="center" wrapText="1"/>
      <protection hidden="1"/>
    </xf>
    <xf numFmtId="0" fontId="104" fillId="14" borderId="1" xfId="0" applyFont="1" applyFill="1" applyBorder="1" applyAlignment="1">
      <alignment wrapText="1"/>
    </xf>
    <xf numFmtId="0" fontId="80" fillId="5" borderId="0" xfId="0" applyFont="1" applyFill="1"/>
    <xf numFmtId="0" fontId="75" fillId="28" borderId="0" xfId="0" applyFont="1" applyFill="1"/>
    <xf numFmtId="0" fontId="75" fillId="28" borderId="0" xfId="0" applyFont="1" applyFill="1" applyAlignment="1">
      <alignment vertical="center"/>
    </xf>
    <xf numFmtId="0" fontId="85" fillId="0" borderId="179" xfId="8" applyFont="1" applyBorder="1" applyAlignment="1" applyProtection="1">
      <alignment horizontal="left" vertical="center"/>
      <protection hidden="1"/>
    </xf>
    <xf numFmtId="0" fontId="37" fillId="0" borderId="179" xfId="8" applyFont="1" applyBorder="1" applyAlignment="1" applyProtection="1">
      <alignment vertical="center"/>
      <protection hidden="1"/>
    </xf>
    <xf numFmtId="171" fontId="37" fillId="0" borderId="1" xfId="0" applyNumberFormat="1" applyFont="1" applyBorder="1" applyAlignment="1" applyProtection="1">
      <alignment horizontal="right" vertical="center" wrapText="1"/>
      <protection locked="0"/>
    </xf>
    <xf numFmtId="171" fontId="5" fillId="29" borderId="1" xfId="0" applyNumberFormat="1" applyFont="1" applyFill="1" applyBorder="1" applyAlignment="1">
      <alignment horizontal="right" vertical="center" wrapText="1"/>
    </xf>
    <xf numFmtId="166" fontId="95" fillId="14" borderId="0" xfId="25" quotePrefix="1" applyNumberFormat="1" applyFont="1" applyFill="1" applyAlignment="1" applyProtection="1">
      <alignment horizontal="left" vertical="center"/>
      <protection hidden="1"/>
    </xf>
    <xf numFmtId="0" fontId="105" fillId="14" borderId="177" xfId="0" applyFont="1" applyFill="1" applyBorder="1" applyAlignment="1" applyProtection="1">
      <alignment vertical="center" wrapText="1"/>
      <protection hidden="1"/>
    </xf>
    <xf numFmtId="166" fontId="95" fillId="14" borderId="0" xfId="25" quotePrefix="1" applyNumberFormat="1" applyFont="1" applyFill="1" applyAlignment="1" applyProtection="1">
      <alignment vertical="center"/>
      <protection hidden="1"/>
    </xf>
    <xf numFmtId="171" fontId="46" fillId="29" borderId="20" xfId="0" applyNumberFormat="1" applyFont="1" applyFill="1" applyBorder="1" applyAlignment="1" applyProtection="1">
      <alignment horizontal="right" vertical="center"/>
      <protection hidden="1"/>
    </xf>
    <xf numFmtId="171" fontId="46" fillId="29" borderId="1" xfId="0" applyNumberFormat="1" applyFont="1" applyFill="1" applyBorder="1" applyAlignment="1" applyProtection="1">
      <alignment horizontal="right" vertical="center"/>
      <protection hidden="1"/>
    </xf>
    <xf numFmtId="10" fontId="77" fillId="29" borderId="1" xfId="0" applyNumberFormat="1" applyFont="1" applyFill="1" applyBorder="1" applyAlignment="1" applyProtection="1">
      <alignment horizontal="right" vertical="center"/>
      <protection hidden="1"/>
    </xf>
    <xf numFmtId="14" fontId="77" fillId="29" borderId="1" xfId="0" applyNumberFormat="1" applyFont="1" applyFill="1" applyBorder="1" applyAlignment="1" applyProtection="1">
      <alignment horizontal="right" vertical="center"/>
      <protection hidden="1"/>
    </xf>
    <xf numFmtId="14" fontId="46" fillId="29" borderId="64" xfId="0" applyNumberFormat="1" applyFont="1" applyFill="1" applyBorder="1" applyAlignment="1" applyProtection="1">
      <alignment horizontal="right" vertical="center"/>
      <protection hidden="1"/>
    </xf>
    <xf numFmtId="14" fontId="46" fillId="29" borderId="175" xfId="0" applyNumberFormat="1" applyFont="1" applyFill="1" applyBorder="1" applyAlignment="1" applyProtection="1">
      <alignment horizontal="right" vertical="center"/>
      <protection hidden="1"/>
    </xf>
    <xf numFmtId="0" fontId="46" fillId="29" borderId="1" xfId="0" applyFont="1" applyFill="1" applyBorder="1" applyAlignment="1" applyProtection="1">
      <alignment horizontal="right" vertical="center" wrapText="1"/>
      <protection hidden="1"/>
    </xf>
    <xf numFmtId="171" fontId="106" fillId="29" borderId="1" xfId="0" applyNumberFormat="1" applyFont="1" applyFill="1" applyBorder="1" applyAlignment="1" applyProtection="1">
      <alignment horizontal="right" vertical="center" wrapText="1"/>
      <protection hidden="1"/>
    </xf>
    <xf numFmtId="171" fontId="46" fillId="29" borderId="174" xfId="0" applyNumberFormat="1" applyFont="1" applyFill="1" applyBorder="1" applyAlignment="1" applyProtection="1">
      <alignment horizontal="right" vertical="center"/>
      <protection hidden="1"/>
    </xf>
    <xf numFmtId="171" fontId="106" fillId="29" borderId="174" xfId="0" applyNumberFormat="1" applyFont="1" applyFill="1" applyBorder="1" applyAlignment="1" applyProtection="1">
      <alignment horizontal="right" vertical="center"/>
      <protection hidden="1"/>
    </xf>
    <xf numFmtId="2" fontId="80" fillId="5" borderId="0" xfId="25" applyNumberFormat="1" applyFont="1" applyFill="1" applyAlignment="1" applyProtection="1">
      <alignment horizontal="center" vertical="center"/>
      <protection locked="0" hidden="1"/>
    </xf>
    <xf numFmtId="0" fontId="80" fillId="5" borderId="0" xfId="25" applyFont="1" applyFill="1" applyAlignment="1" applyProtection="1">
      <alignment horizontal="center" vertical="center"/>
      <protection locked="0" hidden="1"/>
    </xf>
    <xf numFmtId="0" fontId="80" fillId="5" borderId="0" xfId="0" applyFont="1" applyFill="1" applyProtection="1">
      <protection hidden="1"/>
    </xf>
    <xf numFmtId="0" fontId="80" fillId="5" borderId="0" xfId="0" applyFont="1" applyFill="1" applyAlignment="1" applyProtection="1">
      <alignment horizontal="left"/>
      <protection hidden="1"/>
    </xf>
    <xf numFmtId="2" fontId="80" fillId="5" borderId="0" xfId="0" applyNumberFormat="1" applyFont="1" applyFill="1" applyAlignment="1" applyProtection="1">
      <alignment horizontal="left"/>
      <protection hidden="1"/>
    </xf>
    <xf numFmtId="0" fontId="80" fillId="5" borderId="0" xfId="0" applyFont="1" applyFill="1" applyAlignment="1">
      <alignment horizontal="left"/>
    </xf>
    <xf numFmtId="0" fontId="80" fillId="5" borderId="0" xfId="25" applyFont="1" applyFill="1" applyAlignment="1" applyProtection="1">
      <alignment horizontal="center" vertical="center"/>
      <protection hidden="1"/>
    </xf>
    <xf numFmtId="0" fontId="122" fillId="5" borderId="0" xfId="0" applyFont="1" applyFill="1" applyAlignment="1" applyProtection="1">
      <alignment horizontal="center" vertical="center"/>
      <protection hidden="1"/>
    </xf>
    <xf numFmtId="44" fontId="122" fillId="5" borderId="0" xfId="0" applyNumberFormat="1" applyFont="1" applyFill="1" applyAlignment="1" applyProtection="1">
      <alignment horizontal="center" vertical="center" wrapText="1"/>
      <protection hidden="1"/>
    </xf>
    <xf numFmtId="0" fontId="122" fillId="5" borderId="0" xfId="0" applyFont="1" applyFill="1" applyAlignment="1" applyProtection="1">
      <alignment horizontal="center" vertical="center" wrapText="1"/>
      <protection hidden="1"/>
    </xf>
    <xf numFmtId="2" fontId="80" fillId="5" borderId="0" xfId="25" applyNumberFormat="1" applyFont="1" applyFill="1" applyAlignment="1" applyProtection="1">
      <alignment horizontal="center" vertical="center"/>
      <protection hidden="1"/>
    </xf>
    <xf numFmtId="166" fontId="85" fillId="5" borderId="0" xfId="25" quotePrefix="1" applyNumberFormat="1" applyFont="1" applyFill="1" applyAlignment="1" applyProtection="1">
      <alignment vertical="center"/>
      <protection hidden="1"/>
    </xf>
    <xf numFmtId="14" fontId="122" fillId="5" borderId="0" xfId="0" applyNumberFormat="1" applyFont="1" applyFill="1" applyAlignment="1" applyProtection="1">
      <alignment horizontal="center" vertical="center"/>
      <protection hidden="1"/>
    </xf>
    <xf numFmtId="44" fontId="121" fillId="5" borderId="0" xfId="0" applyNumberFormat="1" applyFont="1" applyFill="1" applyAlignment="1" applyProtection="1">
      <alignment horizontal="center" vertical="center" wrapText="1"/>
      <protection hidden="1"/>
    </xf>
    <xf numFmtId="44" fontId="122" fillId="5" borderId="0" xfId="0" applyNumberFormat="1" applyFont="1" applyFill="1" applyAlignment="1">
      <alignment horizontal="center" vertical="center" wrapText="1"/>
    </xf>
    <xf numFmtId="0" fontId="122" fillId="5" borderId="0" xfId="26" applyFont="1" applyFill="1" applyAlignment="1" applyProtection="1">
      <alignment vertical="center" wrapText="1"/>
      <protection hidden="1"/>
    </xf>
    <xf numFmtId="0" fontId="122" fillId="5" borderId="0" xfId="0" applyFont="1" applyFill="1" applyAlignment="1" applyProtection="1">
      <alignment horizontal="left" vertical="center" wrapText="1"/>
      <protection hidden="1"/>
    </xf>
    <xf numFmtId="0" fontId="122" fillId="5" borderId="0" xfId="0" applyFont="1" applyFill="1" applyAlignment="1" applyProtection="1">
      <alignment vertical="center" wrapText="1"/>
      <protection hidden="1"/>
    </xf>
    <xf numFmtId="0" fontId="121" fillId="5" borderId="0" xfId="0" applyFont="1" applyFill="1" applyAlignment="1" applyProtection="1">
      <alignment vertical="center"/>
      <protection hidden="1"/>
    </xf>
    <xf numFmtId="0" fontId="122" fillId="5" borderId="0" xfId="0" applyFont="1" applyFill="1" applyAlignment="1" applyProtection="1">
      <alignment vertical="center"/>
      <protection hidden="1"/>
    </xf>
    <xf numFmtId="0" fontId="122" fillId="5" borderId="0" xfId="0" applyFont="1" applyFill="1" applyAlignment="1">
      <alignment vertical="center"/>
    </xf>
    <xf numFmtId="14" fontId="122" fillId="5" borderId="0" xfId="0" applyNumberFormat="1" applyFont="1" applyFill="1" applyAlignment="1">
      <alignment vertical="center" wrapText="1"/>
    </xf>
    <xf numFmtId="14" fontId="80" fillId="5" borderId="0" xfId="0" applyNumberFormat="1" applyFont="1" applyFill="1" applyAlignment="1">
      <alignment horizontal="left"/>
    </xf>
    <xf numFmtId="44" fontId="122" fillId="5" borderId="0" xfId="0" applyNumberFormat="1" applyFont="1" applyFill="1" applyAlignment="1" applyProtection="1">
      <alignment horizontal="right" vertical="center"/>
      <protection hidden="1"/>
    </xf>
    <xf numFmtId="175" fontId="38" fillId="0" borderId="1" xfId="8" applyNumberFormat="1" applyFont="1" applyBorder="1" applyAlignment="1" applyProtection="1">
      <alignment horizontal="left" vertical="center"/>
      <protection locked="0"/>
    </xf>
    <xf numFmtId="14" fontId="80" fillId="5" borderId="0" xfId="25" applyNumberFormat="1" applyFont="1" applyFill="1" applyAlignment="1" applyProtection="1">
      <alignment horizontal="center" vertical="center"/>
      <protection hidden="1"/>
    </xf>
    <xf numFmtId="171" fontId="106" fillId="5" borderId="0" xfId="0" applyNumberFormat="1" applyFont="1" applyFill="1" applyAlignment="1" applyProtection="1">
      <alignment horizontal="right" vertical="center" wrapText="1"/>
      <protection hidden="1"/>
    </xf>
    <xf numFmtId="0" fontId="121" fillId="5" borderId="0" xfId="25" applyFont="1" applyFill="1" applyAlignment="1" applyProtection="1">
      <alignment horizontal="center" vertical="center" wrapText="1"/>
      <protection hidden="1"/>
    </xf>
    <xf numFmtId="171" fontId="98" fillId="5" borderId="1" xfId="27" applyNumberFormat="1" applyFont="1" applyFill="1" applyBorder="1" applyAlignment="1" applyProtection="1">
      <alignment horizontal="center" vertical="center" wrapText="1"/>
      <protection locked="0" hidden="1"/>
    </xf>
    <xf numFmtId="14" fontId="75" fillId="28" borderId="0" xfId="0" applyNumberFormat="1" applyFont="1" applyFill="1"/>
    <xf numFmtId="14" fontId="75" fillId="25" borderId="0" xfId="0" applyNumberFormat="1" applyFont="1" applyFill="1"/>
    <xf numFmtId="171" fontId="106" fillId="29" borderId="1" xfId="25" applyNumberFormat="1" applyFont="1" applyFill="1" applyBorder="1" applyAlignment="1" applyProtection="1">
      <alignment horizontal="center" vertical="center" wrapText="1"/>
      <protection hidden="1"/>
    </xf>
    <xf numFmtId="14" fontId="122" fillId="5" borderId="0" xfId="0" applyNumberFormat="1" applyFont="1" applyFill="1" applyAlignment="1" applyProtection="1">
      <alignment horizontal="left" vertical="center" wrapText="1"/>
      <protection hidden="1"/>
    </xf>
    <xf numFmtId="171" fontId="75" fillId="28" borderId="0" xfId="0" applyNumberFormat="1" applyFont="1" applyFill="1"/>
    <xf numFmtId="0" fontId="99" fillId="5" borderId="0" xfId="25" applyFont="1" applyFill="1" applyAlignment="1" applyProtection="1">
      <alignment horizontal="left" vertical="top"/>
      <protection hidden="1"/>
    </xf>
    <xf numFmtId="0" fontId="85" fillId="5" borderId="0" xfId="25" applyFont="1" applyFill="1" applyAlignment="1" applyProtection="1">
      <alignment horizontal="left" vertical="top"/>
      <protection hidden="1"/>
    </xf>
    <xf numFmtId="0" fontId="75" fillId="25" borderId="0" xfId="0" applyFont="1" applyFill="1"/>
    <xf numFmtId="0" fontId="121" fillId="5" borderId="0" xfId="25" applyFont="1" applyFill="1" applyAlignment="1" applyProtection="1">
      <alignment horizontal="left" wrapText="1"/>
      <protection hidden="1"/>
    </xf>
    <xf numFmtId="0" fontId="116" fillId="5" borderId="0" xfId="25" applyFont="1" applyFill="1" applyAlignment="1" applyProtection="1">
      <alignment horizontal="right" vertical="center" wrapText="1"/>
      <protection hidden="1"/>
    </xf>
    <xf numFmtId="166" fontId="95" fillId="5" borderId="0" xfId="25" applyNumberFormat="1" applyFont="1" applyFill="1" applyAlignment="1" applyProtection="1">
      <alignment horizontal="left" vertical="center"/>
      <protection hidden="1"/>
    </xf>
    <xf numFmtId="0" fontId="124" fillId="5" borderId="0" xfId="0" applyFont="1" applyFill="1"/>
    <xf numFmtId="14" fontId="98" fillId="29" borderId="1" xfId="1" applyNumberFormat="1" applyFont="1" applyFill="1" applyBorder="1" applyAlignment="1" applyProtection="1">
      <alignment horizontal="center" vertical="center" wrapText="1"/>
      <protection hidden="1"/>
    </xf>
    <xf numFmtId="1" fontId="98" fillId="5" borderId="1" xfId="1" applyNumberFormat="1" applyFont="1" applyFill="1" applyBorder="1" applyAlignment="1" applyProtection="1">
      <alignment horizontal="center" vertical="center" wrapText="1"/>
      <protection locked="0" hidden="1"/>
    </xf>
    <xf numFmtId="0" fontId="27" fillId="0" borderId="51" xfId="4" applyFont="1" applyBorder="1" applyAlignment="1">
      <alignment horizontal="left" vertical="center" wrapText="1"/>
    </xf>
    <xf numFmtId="1" fontId="77" fillId="29" borderId="171" xfId="0" applyNumberFormat="1" applyFont="1" applyFill="1" applyBorder="1" applyAlignment="1" applyProtection="1">
      <alignment horizontal="center" vertical="center"/>
      <protection hidden="1"/>
    </xf>
    <xf numFmtId="14" fontId="38" fillId="0" borderId="1" xfId="8" applyNumberFormat="1" applyFont="1" applyBorder="1" applyAlignment="1" applyProtection="1">
      <alignment horizontal="left" vertical="center"/>
      <protection locked="0"/>
    </xf>
    <xf numFmtId="0" fontId="88" fillId="0" borderId="0" xfId="0" applyFont="1"/>
    <xf numFmtId="2" fontId="113" fillId="5" borderId="18" xfId="0" applyNumberFormat="1" applyFont="1" applyFill="1" applyBorder="1"/>
    <xf numFmtId="2" fontId="125" fillId="5" borderId="18" xfId="0" applyNumberFormat="1" applyFont="1" applyFill="1" applyBorder="1"/>
    <xf numFmtId="0" fontId="0" fillId="29" borderId="1" xfId="0" applyFill="1" applyBorder="1" applyAlignment="1">
      <alignment horizontal="center" vertical="center"/>
    </xf>
    <xf numFmtId="0" fontId="21" fillId="14" borderId="85" xfId="0" applyFont="1" applyFill="1" applyBorder="1" applyAlignment="1">
      <alignment horizontal="center"/>
    </xf>
    <xf numFmtId="0" fontId="21" fillId="14" borderId="86" xfId="0" applyFont="1" applyFill="1" applyBorder="1" applyAlignment="1">
      <alignment horizontal="center"/>
    </xf>
    <xf numFmtId="0" fontId="21" fillId="14" borderId="87" xfId="0" applyFont="1" applyFill="1" applyBorder="1" applyAlignment="1">
      <alignment horizontal="center"/>
    </xf>
    <xf numFmtId="0" fontId="45" fillId="5" borderId="0" xfId="0" applyFont="1" applyFill="1" applyAlignment="1">
      <alignment horizontal="left" vertical="top"/>
    </xf>
    <xf numFmtId="0" fontId="5" fillId="5" borderId="0" xfId="0" applyFont="1" applyFill="1" applyAlignment="1">
      <alignment horizontal="left" vertical="top" wrapText="1"/>
    </xf>
    <xf numFmtId="0" fontId="5" fillId="5" borderId="84" xfId="0" applyFont="1" applyFill="1" applyBorder="1" applyAlignment="1">
      <alignment horizontal="left" vertical="top" wrapText="1"/>
    </xf>
    <xf numFmtId="0" fontId="21" fillId="5" borderId="16" xfId="0" applyFont="1" applyFill="1" applyBorder="1" applyAlignment="1">
      <alignment horizontal="left" vertical="top" wrapText="1"/>
    </xf>
    <xf numFmtId="0" fontId="21" fillId="5" borderId="2" xfId="0" applyFont="1" applyFill="1" applyBorder="1" applyAlignment="1">
      <alignment horizontal="left" vertical="top" wrapText="1"/>
    </xf>
    <xf numFmtId="0" fontId="21" fillId="5" borderId="3" xfId="0" applyFont="1" applyFill="1" applyBorder="1" applyAlignment="1">
      <alignment horizontal="left" vertical="top" wrapText="1"/>
    </xf>
    <xf numFmtId="0" fontId="21" fillId="5" borderId="15" xfId="0" applyFont="1" applyFill="1" applyBorder="1" applyAlignment="1">
      <alignment horizontal="left" vertical="top" wrapText="1"/>
    </xf>
    <xf numFmtId="0" fontId="21" fillId="5" borderId="0" xfId="0" applyFont="1" applyFill="1" applyAlignment="1">
      <alignment horizontal="left" vertical="top" wrapText="1"/>
    </xf>
    <xf numFmtId="0" fontId="21" fillId="5" borderId="4" xfId="0" applyFont="1" applyFill="1" applyBorder="1" applyAlignment="1">
      <alignment horizontal="left" vertical="top" wrapText="1"/>
    </xf>
    <xf numFmtId="0" fontId="21" fillId="5" borderId="5" xfId="0" applyFont="1" applyFill="1" applyBorder="1" applyAlignment="1">
      <alignment horizontal="left" vertical="top" wrapText="1"/>
    </xf>
    <xf numFmtId="0" fontId="21" fillId="5" borderId="6" xfId="0" applyFont="1" applyFill="1" applyBorder="1" applyAlignment="1">
      <alignment horizontal="left" vertical="top" wrapText="1"/>
    </xf>
    <xf numFmtId="0" fontId="21" fillId="5" borderId="7" xfId="0" applyFont="1" applyFill="1" applyBorder="1" applyAlignment="1">
      <alignment horizontal="left" vertical="top" wrapText="1"/>
    </xf>
    <xf numFmtId="0" fontId="21" fillId="0" borderId="80" xfId="0" applyFont="1" applyBorder="1" applyAlignment="1">
      <alignment horizontal="center"/>
    </xf>
    <xf numFmtId="0" fontId="21" fillId="0" borderId="81" xfId="0" applyFont="1" applyBorder="1" applyAlignment="1">
      <alignment horizontal="center"/>
    </xf>
    <xf numFmtId="0" fontId="21" fillId="0" borderId="82" xfId="0" applyFont="1" applyBorder="1" applyAlignment="1">
      <alignment horizontal="center"/>
    </xf>
    <xf numFmtId="0" fontId="42" fillId="5" borderId="0" xfId="2" applyFont="1" applyFill="1" applyBorder="1" applyAlignment="1" applyProtection="1">
      <alignment horizontal="left" vertical="top" wrapText="1"/>
      <protection locked="0"/>
    </xf>
    <xf numFmtId="0" fontId="44" fillId="5" borderId="0" xfId="0" applyFont="1" applyFill="1" applyAlignment="1">
      <alignment horizontal="left" vertical="top" wrapText="1"/>
    </xf>
    <xf numFmtId="0" fontId="44" fillId="5" borderId="84" xfId="0" applyFont="1" applyFill="1" applyBorder="1" applyAlignment="1">
      <alignment horizontal="left" vertical="top" wrapText="1"/>
    </xf>
    <xf numFmtId="0" fontId="42" fillId="5" borderId="0" xfId="2" applyFont="1" applyFill="1" applyBorder="1" applyAlignment="1" applyProtection="1">
      <alignment horizontal="left" vertical="top" wrapText="1"/>
    </xf>
    <xf numFmtId="0" fontId="78" fillId="5" borderId="0" xfId="0" applyFont="1" applyFill="1" applyAlignment="1">
      <alignment horizontal="left" vertical="center"/>
    </xf>
    <xf numFmtId="0" fontId="34" fillId="5" borderId="0" xfId="0" applyFont="1" applyFill="1" applyAlignment="1">
      <alignment horizontal="left" vertical="center"/>
    </xf>
    <xf numFmtId="0" fontId="5" fillId="0" borderId="69" xfId="0" applyFont="1" applyBorder="1" applyAlignment="1" applyProtection="1">
      <alignment horizontal="left" vertical="center" wrapText="1"/>
      <protection locked="0"/>
    </xf>
    <xf numFmtId="0" fontId="5" fillId="0" borderId="57" xfId="0" applyFont="1" applyBorder="1" applyAlignment="1" applyProtection="1">
      <alignment horizontal="left" vertical="center" wrapText="1"/>
      <protection locked="0"/>
    </xf>
    <xf numFmtId="166" fontId="33" fillId="14" borderId="108" xfId="0" applyNumberFormat="1" applyFont="1" applyFill="1" applyBorder="1" applyAlignment="1">
      <alignment horizontal="left" vertical="center"/>
    </xf>
    <xf numFmtId="166" fontId="33" fillId="14" borderId="109" xfId="0" applyNumberFormat="1" applyFont="1" applyFill="1" applyBorder="1" applyAlignment="1">
      <alignment horizontal="left" vertical="center"/>
    </xf>
    <xf numFmtId="0" fontId="33" fillId="14" borderId="37" xfId="0" applyFont="1" applyFill="1" applyBorder="1" applyAlignment="1">
      <alignment horizontal="center" vertical="center" wrapText="1"/>
    </xf>
    <xf numFmtId="0" fontId="33" fillId="14" borderId="38" xfId="0" applyFont="1" applyFill="1" applyBorder="1" applyAlignment="1">
      <alignment horizontal="center" vertical="center" wrapText="1"/>
    </xf>
    <xf numFmtId="164" fontId="51" fillId="5" borderId="47" xfId="0" applyNumberFormat="1" applyFont="1" applyFill="1" applyBorder="1" applyAlignment="1">
      <alignment horizontal="center" vertical="center" wrapText="1"/>
    </xf>
    <xf numFmtId="164" fontId="51" fillId="5" borderId="0" xfId="0" applyNumberFormat="1" applyFont="1" applyFill="1" applyAlignment="1">
      <alignment horizontal="center" vertical="center" wrapText="1"/>
    </xf>
    <xf numFmtId="14" fontId="27" fillId="5" borderId="109" xfId="0" applyNumberFormat="1" applyFont="1" applyFill="1" applyBorder="1" applyAlignment="1" applyProtection="1">
      <alignment horizontal="left" vertical="center"/>
      <protection locked="0"/>
    </xf>
    <xf numFmtId="14" fontId="27" fillId="5" borderId="110" xfId="0" applyNumberFormat="1" applyFont="1" applyFill="1" applyBorder="1" applyAlignment="1" applyProtection="1">
      <alignment horizontal="left" vertical="center"/>
      <protection locked="0"/>
    </xf>
    <xf numFmtId="0" fontId="50" fillId="5" borderId="0" xfId="0" applyFont="1" applyFill="1" applyAlignment="1">
      <alignment horizontal="center" vertical="center"/>
    </xf>
    <xf numFmtId="0" fontId="39" fillId="15" borderId="166" xfId="0" applyFont="1" applyFill="1" applyBorder="1" applyAlignment="1">
      <alignment horizontal="left" vertical="center" wrapText="1"/>
    </xf>
    <xf numFmtId="0" fontId="39" fillId="15" borderId="81" xfId="0" applyFont="1" applyFill="1" applyBorder="1" applyAlignment="1">
      <alignment horizontal="left" vertical="center" wrapText="1"/>
    </xf>
    <xf numFmtId="0" fontId="39" fillId="15" borderId="82" xfId="0" applyFont="1" applyFill="1" applyBorder="1" applyAlignment="1">
      <alignment horizontal="left" vertical="center" wrapText="1"/>
    </xf>
    <xf numFmtId="0" fontId="53" fillId="15" borderId="5" xfId="0" applyFont="1" applyFill="1" applyBorder="1" applyAlignment="1">
      <alignment horizontal="left" vertical="top" wrapText="1"/>
    </xf>
    <xf numFmtId="0" fontId="53" fillId="15" borderId="6" xfId="0" applyFont="1" applyFill="1" applyBorder="1" applyAlignment="1">
      <alignment horizontal="left" vertical="top" wrapText="1"/>
    </xf>
    <xf numFmtId="0" fontId="53" fillId="15" borderId="7" xfId="0" applyFont="1" applyFill="1" applyBorder="1" applyAlignment="1">
      <alignment horizontal="left" vertical="top" wrapText="1"/>
    </xf>
    <xf numFmtId="0" fontId="5" fillId="14" borderId="0" xfId="0" applyFont="1" applyFill="1" applyAlignment="1">
      <alignment horizontal="center"/>
    </xf>
    <xf numFmtId="0" fontId="5" fillId="15" borderId="15" xfId="0" applyFont="1" applyFill="1" applyBorder="1" applyAlignment="1">
      <alignment horizontal="left" vertical="top" wrapText="1"/>
    </xf>
    <xf numFmtId="0" fontId="5" fillId="15" borderId="0" xfId="0" applyFont="1" applyFill="1" applyAlignment="1">
      <alignment horizontal="left" vertical="top" wrapText="1"/>
    </xf>
    <xf numFmtId="0" fontId="5" fillId="15" borderId="84" xfId="0" applyFont="1" applyFill="1" applyBorder="1" applyAlignment="1">
      <alignment horizontal="left" vertical="top" wrapText="1"/>
    </xf>
    <xf numFmtId="0" fontId="33" fillId="14" borderId="12" xfId="0" applyFont="1" applyFill="1" applyBorder="1" applyAlignment="1">
      <alignment horizontal="center" vertical="center" wrapText="1"/>
    </xf>
    <xf numFmtId="0" fontId="33" fillId="14" borderId="17" xfId="0" applyFont="1" applyFill="1" applyBorder="1" applyAlignment="1">
      <alignment horizontal="center" vertical="center" wrapText="1"/>
    </xf>
    <xf numFmtId="0" fontId="27" fillId="5" borderId="104" xfId="0" applyFont="1" applyFill="1" applyBorder="1" applyAlignment="1" applyProtection="1">
      <alignment horizontal="left" vertical="center"/>
      <protection locked="0"/>
    </xf>
    <xf numFmtId="0" fontId="27" fillId="5" borderId="105" xfId="0" applyFont="1" applyFill="1" applyBorder="1" applyAlignment="1" applyProtection="1">
      <alignment horizontal="left" vertical="center"/>
      <protection locked="0"/>
    </xf>
    <xf numFmtId="166" fontId="33" fillId="14" borderId="103" xfId="0" applyNumberFormat="1" applyFont="1" applyFill="1" applyBorder="1" applyAlignment="1">
      <alignment horizontal="left" vertical="center"/>
    </xf>
    <xf numFmtId="166" fontId="33" fillId="14" borderId="104" xfId="0" applyNumberFormat="1" applyFont="1" applyFill="1" applyBorder="1" applyAlignment="1">
      <alignment horizontal="left" vertical="center"/>
    </xf>
    <xf numFmtId="0" fontId="34" fillId="0" borderId="6" xfId="0" applyFont="1" applyBorder="1" applyAlignment="1">
      <alignment horizontal="center"/>
    </xf>
    <xf numFmtId="0" fontId="34" fillId="0" borderId="7" xfId="0" applyFont="1" applyBorder="1" applyAlignment="1">
      <alignment horizontal="center"/>
    </xf>
    <xf numFmtId="0" fontId="27" fillId="5" borderId="0" xfId="0" applyFont="1" applyFill="1" applyAlignment="1">
      <alignment horizontal="center"/>
    </xf>
    <xf numFmtId="0" fontId="27" fillId="5" borderId="4" xfId="0" applyFont="1" applyFill="1" applyBorder="1" applyAlignment="1">
      <alignment horizontal="center"/>
    </xf>
    <xf numFmtId="1" fontId="5" fillId="0" borderId="37" xfId="0" applyNumberFormat="1" applyFont="1" applyBorder="1" applyAlignment="1" applyProtection="1">
      <alignment horizontal="left" vertical="center" wrapText="1"/>
      <protection locked="0"/>
    </xf>
    <xf numFmtId="1" fontId="5" fillId="0" borderId="12" xfId="0" applyNumberFormat="1" applyFont="1" applyBorder="1" applyAlignment="1" applyProtection="1">
      <alignment horizontal="left" vertical="center" wrapText="1"/>
      <protection locked="0"/>
    </xf>
    <xf numFmtId="1" fontId="5" fillId="0" borderId="17" xfId="0" applyNumberFormat="1" applyFont="1" applyBorder="1" applyAlignment="1" applyProtection="1">
      <alignment horizontal="left" vertical="center" wrapText="1"/>
      <protection locked="0"/>
    </xf>
    <xf numFmtId="0" fontId="35" fillId="15" borderId="14" xfId="0" applyFont="1" applyFill="1" applyBorder="1" applyAlignment="1" applyProtection="1">
      <alignment horizontal="center" vertical="center" wrapText="1"/>
      <protection hidden="1"/>
    </xf>
    <xf numFmtId="0" fontId="35" fillId="15" borderId="17" xfId="0" applyFont="1" applyFill="1" applyBorder="1" applyAlignment="1" applyProtection="1">
      <alignment horizontal="center" vertical="center" wrapText="1"/>
      <protection hidden="1"/>
    </xf>
    <xf numFmtId="0" fontId="33" fillId="14" borderId="14" xfId="0" applyFont="1" applyFill="1" applyBorder="1" applyAlignment="1">
      <alignment horizontal="center" vertical="center" wrapText="1"/>
    </xf>
    <xf numFmtId="0" fontId="86" fillId="5" borderId="0" xfId="0" applyFont="1" applyFill="1" applyAlignment="1">
      <alignment horizontal="left" vertical="center"/>
    </xf>
    <xf numFmtId="49" fontId="59" fillId="0" borderId="18" xfId="8" applyNumberFormat="1" applyFont="1" applyBorder="1" applyAlignment="1" applyProtection="1">
      <alignment horizontal="left" vertical="top" wrapText="1"/>
      <protection locked="0"/>
    </xf>
    <xf numFmtId="49" fontId="59" fillId="0" borderId="34" xfId="8" applyNumberFormat="1" applyFont="1" applyBorder="1" applyAlignment="1" applyProtection="1">
      <alignment horizontal="left" vertical="top" wrapText="1"/>
      <protection locked="0"/>
    </xf>
    <xf numFmtId="49" fontId="59" fillId="0" borderId="30" xfId="8" applyNumberFormat="1" applyFont="1" applyBorder="1" applyAlignment="1" applyProtection="1">
      <alignment horizontal="left" vertical="top" wrapText="1"/>
      <protection locked="0"/>
    </xf>
    <xf numFmtId="0" fontId="37" fillId="0" borderId="18" xfId="8" applyFont="1" applyBorder="1" applyAlignment="1" applyProtection="1">
      <alignment horizontal="left" vertical="top" wrapText="1"/>
      <protection locked="0" hidden="1"/>
    </xf>
    <xf numFmtId="0" fontId="37" fillId="0" borderId="34" xfId="8" applyFont="1" applyBorder="1" applyAlignment="1" applyProtection="1">
      <alignment horizontal="left" vertical="top"/>
      <protection locked="0" hidden="1"/>
    </xf>
    <xf numFmtId="0" fontId="37" fillId="0" borderId="30" xfId="8" applyFont="1" applyBorder="1" applyAlignment="1" applyProtection="1">
      <alignment horizontal="left" vertical="top"/>
      <protection locked="0" hidden="1"/>
    </xf>
    <xf numFmtId="0" fontId="117" fillId="0" borderId="0" xfId="8" applyFont="1" applyAlignment="1" applyProtection="1">
      <alignment horizontal="left" vertical="top"/>
      <protection hidden="1"/>
    </xf>
    <xf numFmtId="0" fontId="117" fillId="0" borderId="0" xfId="0" applyFont="1" applyAlignment="1" applyProtection="1">
      <alignment horizontal="left" vertical="center" wrapText="1"/>
      <protection hidden="1"/>
    </xf>
    <xf numFmtId="0" fontId="117" fillId="0" borderId="0" xfId="8" applyFont="1" applyAlignment="1" applyProtection="1">
      <alignment horizontal="left" vertical="top" wrapText="1"/>
      <protection hidden="1"/>
    </xf>
    <xf numFmtId="49" fontId="37" fillId="0" borderId="1" xfId="8" applyNumberFormat="1" applyFont="1" applyBorder="1" applyAlignment="1" applyProtection="1">
      <alignment horizontal="left" vertical="top" wrapText="1"/>
      <protection locked="0"/>
    </xf>
    <xf numFmtId="0" fontId="99" fillId="0" borderId="0" xfId="8" applyFont="1" applyAlignment="1" applyProtection="1">
      <alignment horizontal="left" wrapText="1"/>
      <protection hidden="1"/>
    </xf>
    <xf numFmtId="0" fontId="58" fillId="0" borderId="0" xfId="0" applyFont="1" applyAlignment="1" applyProtection="1">
      <alignment horizontal="center" vertical="center" wrapText="1"/>
      <protection hidden="1"/>
    </xf>
    <xf numFmtId="0" fontId="99" fillId="0" borderId="0" xfId="0" applyFont="1" applyAlignment="1" applyProtection="1">
      <alignment horizontal="left" vertical="center" wrapText="1"/>
      <protection hidden="1"/>
    </xf>
    <xf numFmtId="0" fontId="119" fillId="0" borderId="0" xfId="0" applyFont="1" applyAlignment="1" applyProtection="1">
      <alignment horizontal="left" vertical="center" wrapText="1"/>
      <protection hidden="1"/>
    </xf>
    <xf numFmtId="0" fontId="5" fillId="0" borderId="0" xfId="8" applyFont="1" applyAlignment="1" applyProtection="1">
      <alignment horizontal="right" vertical="top" wrapText="1"/>
      <protection hidden="1"/>
    </xf>
    <xf numFmtId="49" fontId="37" fillId="0" borderId="180" xfId="8" applyNumberFormat="1" applyFont="1" applyBorder="1" applyAlignment="1" applyProtection="1">
      <alignment horizontal="left" vertical="top" wrapText="1"/>
      <protection locked="0"/>
    </xf>
    <xf numFmtId="49" fontId="37" fillId="0" borderId="181" xfId="8" applyNumberFormat="1" applyFont="1" applyBorder="1" applyAlignment="1" applyProtection="1">
      <alignment horizontal="left" vertical="top" wrapText="1"/>
      <protection locked="0"/>
    </xf>
    <xf numFmtId="49" fontId="37" fillId="0" borderId="182" xfId="8" applyNumberFormat="1" applyFont="1" applyBorder="1" applyAlignment="1" applyProtection="1">
      <alignment horizontal="left" vertical="top" wrapText="1"/>
      <protection locked="0"/>
    </xf>
    <xf numFmtId="0" fontId="53" fillId="29" borderId="198" xfId="10" applyFont="1" applyFill="1" applyBorder="1" applyAlignment="1" applyProtection="1">
      <alignment horizontal="center" vertical="center" wrapText="1"/>
      <protection hidden="1"/>
    </xf>
    <xf numFmtId="0" fontId="53" fillId="29" borderId="199" xfId="10" applyFont="1" applyFill="1" applyBorder="1" applyAlignment="1" applyProtection="1">
      <alignment horizontal="center" vertical="center" wrapText="1"/>
      <protection hidden="1"/>
    </xf>
    <xf numFmtId="0" fontId="53" fillId="29" borderId="197" xfId="10" applyFont="1" applyFill="1" applyBorder="1" applyAlignment="1" applyProtection="1">
      <alignment horizontal="center" vertical="center" wrapText="1"/>
      <protection hidden="1"/>
    </xf>
    <xf numFmtId="0" fontId="53" fillId="29" borderId="190" xfId="10" applyFont="1" applyFill="1" applyBorder="1" applyAlignment="1" applyProtection="1">
      <alignment horizontal="center" vertical="center"/>
      <protection hidden="1"/>
    </xf>
    <xf numFmtId="0" fontId="53" fillId="29" borderId="192" xfId="10" applyFont="1" applyFill="1" applyBorder="1" applyAlignment="1" applyProtection="1">
      <alignment horizontal="center" vertical="center"/>
      <protection hidden="1"/>
    </xf>
    <xf numFmtId="0" fontId="53" fillId="29" borderId="193" xfId="10" applyFont="1" applyFill="1" applyBorder="1" applyAlignment="1" applyProtection="1">
      <alignment horizontal="center" vertical="center"/>
      <protection hidden="1"/>
    </xf>
    <xf numFmtId="0" fontId="117" fillId="0" borderId="0" xfId="8" applyFont="1" applyProtection="1">
      <protection hidden="1"/>
    </xf>
    <xf numFmtId="49" fontId="37" fillId="0" borderId="18" xfId="8" applyNumberFormat="1" applyFont="1" applyBorder="1" applyAlignment="1" applyProtection="1">
      <alignment horizontal="left" vertical="top" wrapText="1"/>
      <protection locked="0"/>
    </xf>
    <xf numFmtId="49" fontId="37" fillId="0" borderId="34" xfId="8" applyNumberFormat="1" applyFont="1" applyBorder="1" applyAlignment="1" applyProtection="1">
      <alignment horizontal="left" vertical="top" wrapText="1"/>
      <protection locked="0"/>
    </xf>
    <xf numFmtId="49" fontId="37" fillId="0" borderId="30" xfId="8" applyNumberFormat="1" applyFont="1" applyBorder="1" applyAlignment="1" applyProtection="1">
      <alignment horizontal="left" vertical="top" wrapText="1"/>
      <protection locked="0"/>
    </xf>
    <xf numFmtId="0" fontId="117" fillId="0" borderId="0" xfId="8" applyFont="1" applyAlignment="1" applyProtection="1">
      <alignment horizontal="left" wrapText="1"/>
      <protection hidden="1"/>
    </xf>
    <xf numFmtId="49" fontId="37" fillId="0" borderId="23" xfId="8" applyNumberFormat="1" applyFont="1" applyBorder="1" applyAlignment="1" applyProtection="1">
      <alignment horizontal="left" vertical="top" wrapText="1"/>
      <protection locked="0"/>
    </xf>
    <xf numFmtId="49" fontId="37" fillId="0" borderId="24" xfId="8" applyNumberFormat="1" applyFont="1" applyBorder="1" applyAlignment="1" applyProtection="1">
      <alignment horizontal="left" vertical="top" wrapText="1"/>
      <protection locked="0"/>
    </xf>
    <xf numFmtId="0" fontId="117" fillId="0" borderId="0" xfId="8" applyFont="1" applyAlignment="1" applyProtection="1">
      <alignment horizontal="left" vertical="center" wrapText="1"/>
      <protection hidden="1"/>
    </xf>
    <xf numFmtId="0" fontId="33" fillId="14" borderId="183" xfId="10" applyFont="1" applyFill="1" applyBorder="1" applyAlignment="1" applyProtection="1">
      <alignment horizontal="center" vertical="center" wrapText="1"/>
      <protection hidden="1"/>
    </xf>
    <xf numFmtId="0" fontId="33" fillId="14" borderId="186" xfId="10" applyFont="1" applyFill="1" applyBorder="1" applyAlignment="1" applyProtection="1">
      <alignment horizontal="center" vertical="center" wrapText="1"/>
      <protection hidden="1"/>
    </xf>
    <xf numFmtId="49" fontId="37" fillId="0" borderId="21" xfId="8" applyNumberFormat="1" applyFont="1" applyBorder="1" applyAlignment="1" applyProtection="1">
      <alignment horizontal="left" vertical="top" wrapText="1"/>
      <protection locked="0"/>
    </xf>
    <xf numFmtId="49" fontId="37" fillId="0" borderId="54" xfId="8" applyNumberFormat="1" applyFont="1" applyBorder="1" applyAlignment="1" applyProtection="1">
      <alignment horizontal="left" vertical="top" wrapText="1"/>
      <protection locked="0"/>
    </xf>
    <xf numFmtId="49" fontId="37" fillId="0" borderId="55" xfId="8" applyNumberFormat="1" applyFont="1" applyBorder="1" applyAlignment="1" applyProtection="1">
      <alignment horizontal="left" vertical="top" wrapText="1"/>
      <protection locked="0"/>
    </xf>
    <xf numFmtId="49" fontId="37" fillId="0" borderId="1" xfId="8" applyNumberFormat="1" applyFont="1" applyBorder="1" applyAlignment="1" applyProtection="1">
      <alignment vertical="center" wrapText="1"/>
      <protection locked="0"/>
    </xf>
    <xf numFmtId="49" fontId="44" fillId="0" borderId="1" xfId="2" applyNumberFormat="1" applyFont="1" applyBorder="1" applyAlignment="1">
      <alignment horizontal="left" vertical="center" wrapText="1"/>
      <protection locked="0"/>
    </xf>
    <xf numFmtId="49" fontId="43" fillId="0" borderId="1" xfId="8" applyNumberFormat="1" applyFont="1" applyBorder="1" applyAlignment="1" applyProtection="1">
      <alignment horizontal="left" vertical="center" wrapText="1"/>
      <protection locked="0"/>
    </xf>
    <xf numFmtId="49" fontId="117" fillId="0" borderId="0" xfId="8" applyNumberFormat="1" applyFont="1" applyAlignment="1">
      <alignment horizontal="left" vertical="top" wrapText="1"/>
    </xf>
    <xf numFmtId="49" fontId="37" fillId="0" borderId="1" xfId="8" applyNumberFormat="1" applyFont="1" applyBorder="1" applyAlignment="1" applyProtection="1">
      <alignment horizontal="left" vertical="center" wrapText="1"/>
      <protection locked="0"/>
    </xf>
    <xf numFmtId="0" fontId="55" fillId="0" borderId="0" xfId="8" applyFont="1" applyAlignment="1" applyProtection="1">
      <alignment horizontal="left" vertical="center" wrapText="1"/>
      <protection hidden="1"/>
    </xf>
    <xf numFmtId="49" fontId="38" fillId="0" borderId="18" xfId="8" applyNumberFormat="1" applyFont="1" applyBorder="1" applyAlignment="1" applyProtection="1">
      <alignment horizontal="left" vertical="center" wrapText="1"/>
      <protection locked="0"/>
    </xf>
    <xf numFmtId="49" fontId="38" fillId="0" borderId="34" xfId="8" applyNumberFormat="1" applyFont="1" applyBorder="1" applyAlignment="1" applyProtection="1">
      <alignment horizontal="left" vertical="center" wrapText="1"/>
      <protection locked="0"/>
    </xf>
    <xf numFmtId="49" fontId="38" fillId="0" borderId="30" xfId="8" applyNumberFormat="1" applyFont="1" applyBorder="1" applyAlignment="1" applyProtection="1">
      <alignment horizontal="left" vertical="center" wrapText="1"/>
      <protection locked="0"/>
    </xf>
    <xf numFmtId="0" fontId="38" fillId="29" borderId="18" xfId="8" applyFont="1" applyFill="1" applyBorder="1" applyAlignment="1">
      <alignment horizontal="left" vertical="center" wrapText="1"/>
    </xf>
    <xf numFmtId="0" fontId="38" fillId="29" borderId="34" xfId="8" applyFont="1" applyFill="1" applyBorder="1" applyAlignment="1">
      <alignment horizontal="left" vertical="center" wrapText="1"/>
    </xf>
    <xf numFmtId="0" fontId="38" fillId="29" borderId="30" xfId="8" applyFont="1" applyFill="1" applyBorder="1" applyAlignment="1">
      <alignment horizontal="left" vertical="center" wrapText="1"/>
    </xf>
    <xf numFmtId="49" fontId="37" fillId="0" borderId="64" xfId="8" applyNumberFormat="1" applyFont="1" applyBorder="1" applyAlignment="1" applyProtection="1">
      <alignment horizontal="left" vertical="center" wrapText="1"/>
      <protection locked="0"/>
    </xf>
    <xf numFmtId="0" fontId="33" fillId="5" borderId="0" xfId="0" applyFont="1" applyFill="1" applyAlignment="1">
      <alignment horizontal="center" vertical="center"/>
    </xf>
    <xf numFmtId="0" fontId="82" fillId="14" borderId="18" xfId="0" applyFont="1" applyFill="1" applyBorder="1" applyAlignment="1" applyProtection="1">
      <alignment horizontal="center" vertical="center"/>
      <protection hidden="1"/>
    </xf>
    <xf numFmtId="0" fontId="82" fillId="14" borderId="30" xfId="0" applyFont="1" applyFill="1" applyBorder="1" applyAlignment="1" applyProtection="1">
      <alignment horizontal="center" vertical="center"/>
      <protection hidden="1"/>
    </xf>
    <xf numFmtId="0" fontId="82" fillId="14" borderId="173" xfId="0" applyFont="1" applyFill="1" applyBorder="1" applyAlignment="1" applyProtection="1">
      <alignment horizontal="center" vertical="center" wrapText="1"/>
      <protection hidden="1"/>
    </xf>
    <xf numFmtId="0" fontId="82" fillId="14" borderId="174" xfId="0" applyFont="1" applyFill="1" applyBorder="1" applyAlignment="1" applyProtection="1">
      <alignment horizontal="center" vertical="center" wrapText="1"/>
      <protection hidden="1"/>
    </xf>
    <xf numFmtId="0" fontId="82" fillId="14" borderId="1" xfId="0" applyFont="1" applyFill="1" applyBorder="1" applyAlignment="1" applyProtection="1">
      <alignment horizontal="center" vertical="center" wrapText="1"/>
      <protection hidden="1"/>
    </xf>
    <xf numFmtId="0" fontId="76" fillId="5" borderId="47" xfId="26" applyFont="1" applyFill="1" applyBorder="1" applyAlignment="1" applyProtection="1">
      <alignment horizontal="left" vertical="top" wrapText="1"/>
      <protection locked="0"/>
    </xf>
    <xf numFmtId="0" fontId="76" fillId="5" borderId="178" xfId="26" applyFont="1" applyFill="1" applyBorder="1" applyAlignment="1" applyProtection="1">
      <alignment horizontal="left" vertical="top" wrapText="1"/>
      <protection locked="0"/>
    </xf>
    <xf numFmtId="0" fontId="76" fillId="5" borderId="0" xfId="26" applyFont="1" applyFill="1" applyAlignment="1" applyProtection="1">
      <alignment horizontal="left" vertical="top" wrapText="1"/>
      <protection locked="0"/>
    </xf>
    <xf numFmtId="0" fontId="76" fillId="5" borderId="63" xfId="26" applyFont="1" applyFill="1" applyBorder="1" applyAlignment="1" applyProtection="1">
      <alignment horizontal="left" vertical="top" wrapText="1"/>
      <protection locked="0"/>
    </xf>
    <xf numFmtId="0" fontId="76" fillId="5" borderId="48" xfId="26" applyFont="1" applyFill="1" applyBorder="1" applyAlignment="1" applyProtection="1">
      <alignment horizontal="left" vertical="top" wrapText="1"/>
      <protection locked="0"/>
    </xf>
    <xf numFmtId="0" fontId="76" fillId="5" borderId="65" xfId="26" applyFont="1" applyFill="1" applyBorder="1" applyAlignment="1" applyProtection="1">
      <alignment horizontal="left" vertical="top" wrapText="1"/>
      <protection locked="0"/>
    </xf>
    <xf numFmtId="0" fontId="99" fillId="5" borderId="0" xfId="25" applyFont="1" applyFill="1" applyAlignment="1" applyProtection="1">
      <alignment horizontal="left" vertical="top" wrapText="1"/>
      <protection hidden="1"/>
    </xf>
    <xf numFmtId="166" fontId="95" fillId="14" borderId="0" xfId="25" quotePrefix="1" applyNumberFormat="1" applyFont="1" applyFill="1" applyAlignment="1" applyProtection="1">
      <alignment horizontal="left" vertical="center"/>
      <protection hidden="1"/>
    </xf>
    <xf numFmtId="0" fontId="80" fillId="5" borderId="0" xfId="25" applyFont="1" applyFill="1" applyAlignment="1" applyProtection="1">
      <alignment horizontal="left" vertical="center" wrapText="1"/>
      <protection hidden="1"/>
    </xf>
    <xf numFmtId="0" fontId="121" fillId="29" borderId="64" xfId="25" applyFont="1" applyFill="1" applyBorder="1" applyAlignment="1" applyProtection="1">
      <alignment horizontal="center" vertical="center" wrapText="1"/>
      <protection hidden="1"/>
    </xf>
    <xf numFmtId="0" fontId="121" fillId="29" borderId="172" xfId="25" applyFont="1" applyFill="1" applyBorder="1" applyAlignment="1" applyProtection="1">
      <alignment horizontal="center" vertical="center" wrapText="1"/>
      <protection hidden="1"/>
    </xf>
    <xf numFmtId="0" fontId="121" fillId="29" borderId="20" xfId="25" applyFont="1" applyFill="1" applyBorder="1" applyAlignment="1" applyProtection="1">
      <alignment horizontal="center" vertical="center" wrapText="1"/>
      <protection hidden="1"/>
    </xf>
    <xf numFmtId="0" fontId="80" fillId="5" borderId="0" xfId="26" applyFont="1" applyFill="1" applyAlignment="1" applyProtection="1">
      <alignment horizontal="left" vertical="top" wrapText="1"/>
      <protection hidden="1"/>
    </xf>
    <xf numFmtId="0" fontId="85" fillId="5" borderId="0" xfId="25" applyFont="1" applyFill="1" applyAlignment="1" applyProtection="1">
      <alignment horizontal="left" vertical="top" wrapText="1"/>
      <protection hidden="1"/>
    </xf>
    <xf numFmtId="0" fontId="27" fillId="5" borderId="167" xfId="4" applyFont="1" applyFill="1" applyBorder="1" applyAlignment="1">
      <alignment horizontal="left" vertical="top" wrapText="1"/>
    </xf>
    <xf numFmtId="0" fontId="27" fillId="5" borderId="86" xfId="4" applyFont="1" applyFill="1" applyBorder="1" applyAlignment="1">
      <alignment horizontal="left" vertical="top" wrapText="1"/>
    </xf>
    <xf numFmtId="0" fontId="27" fillId="5" borderId="170" xfId="4" applyFont="1" applyFill="1" applyBorder="1" applyAlignment="1">
      <alignment horizontal="left" vertical="top" wrapText="1"/>
    </xf>
    <xf numFmtId="0" fontId="86" fillId="0" borderId="0" xfId="0" applyFont="1" applyAlignment="1" applyProtection="1">
      <alignment horizontal="left" vertical="center" wrapText="1"/>
      <protection hidden="1"/>
    </xf>
    <xf numFmtId="0" fontId="86" fillId="0" borderId="149" xfId="0" applyFont="1" applyBorder="1" applyAlignment="1" applyProtection="1">
      <alignment horizontal="left" vertical="center" wrapText="1"/>
      <protection hidden="1"/>
    </xf>
    <xf numFmtId="0" fontId="85" fillId="0" borderId="148" xfId="0" applyFont="1" applyBorder="1" applyAlignment="1" applyProtection="1">
      <alignment horizontal="left" wrapText="1"/>
      <protection hidden="1"/>
    </xf>
    <xf numFmtId="0" fontId="76" fillId="0" borderId="0" xfId="0" applyFont="1" applyAlignment="1" applyProtection="1">
      <alignment horizontal="left" vertical="top" wrapText="1"/>
      <protection hidden="1"/>
    </xf>
    <xf numFmtId="0" fontId="82" fillId="14" borderId="0" xfId="0" applyFont="1" applyFill="1" applyAlignment="1" applyProtection="1">
      <alignment horizontal="left" vertical="center" wrapText="1"/>
      <protection hidden="1"/>
    </xf>
    <xf numFmtId="0" fontId="5" fillId="0" borderId="0" xfId="18" applyFont="1" applyAlignment="1" applyProtection="1">
      <alignment horizontal="left" vertical="top" wrapText="1"/>
      <protection hidden="1"/>
    </xf>
    <xf numFmtId="0" fontId="5" fillId="0" borderId="83" xfId="18" applyFont="1" applyBorder="1" applyAlignment="1" applyProtection="1">
      <alignment horizontal="left" vertical="center" wrapText="1"/>
      <protection hidden="1"/>
    </xf>
    <xf numFmtId="0" fontId="38" fillId="0" borderId="83" xfId="18" applyFont="1" applyBorder="1" applyAlignment="1" applyProtection="1">
      <alignment horizontal="left" vertical="center" wrapText="1"/>
      <protection hidden="1"/>
    </xf>
    <xf numFmtId="0" fontId="38" fillId="0" borderId="0" xfId="18" applyFont="1" applyAlignment="1" applyProtection="1">
      <alignment horizontal="left" vertical="center" wrapText="1"/>
      <protection hidden="1"/>
    </xf>
    <xf numFmtId="0" fontId="38" fillId="0" borderId="84" xfId="18" applyFont="1" applyBorder="1" applyAlignment="1" applyProtection="1">
      <alignment horizontal="left" vertical="center" wrapText="1"/>
      <protection hidden="1"/>
    </xf>
    <xf numFmtId="0" fontId="37" fillId="0" borderId="1" xfId="18" applyFont="1" applyBorder="1" applyAlignment="1" applyProtection="1">
      <alignment horizontal="left" vertical="center" wrapText="1"/>
      <protection hidden="1"/>
    </xf>
    <xf numFmtId="0" fontId="37" fillId="0" borderId="93" xfId="18" applyFont="1" applyBorder="1" applyAlignment="1" applyProtection="1">
      <alignment horizontal="left" vertical="center" wrapText="1"/>
      <protection hidden="1"/>
    </xf>
    <xf numFmtId="0" fontId="27" fillId="0" borderId="18" xfId="17" applyFont="1" applyBorder="1" applyAlignment="1" applyProtection="1">
      <alignment horizontal="left" vertical="top" wrapText="1"/>
      <protection locked="0"/>
    </xf>
    <xf numFmtId="0" fontId="27" fillId="0" borderId="34" xfId="17" applyFont="1" applyBorder="1" applyAlignment="1" applyProtection="1">
      <alignment horizontal="left" vertical="top" wrapText="1"/>
      <protection locked="0"/>
    </xf>
    <xf numFmtId="0" fontId="27" fillId="0" borderId="92" xfId="17" applyFont="1" applyBorder="1" applyAlignment="1" applyProtection="1">
      <alignment horizontal="left" vertical="top" wrapText="1"/>
      <protection locked="0"/>
    </xf>
    <xf numFmtId="0" fontId="5" fillId="0" borderId="83" xfId="18" applyFont="1" applyBorder="1" applyAlignment="1" applyProtection="1">
      <alignment horizontal="left" vertical="top" wrapText="1"/>
      <protection hidden="1"/>
    </xf>
    <xf numFmtId="0" fontId="36" fillId="16" borderId="62" xfId="17" applyFont="1" applyFill="1" applyBorder="1" applyAlignment="1" applyProtection="1">
      <alignment horizontal="left" vertical="top" wrapText="1"/>
      <protection hidden="1"/>
    </xf>
    <xf numFmtId="0" fontId="36" fillId="16" borderId="0" xfId="17" applyFont="1" applyFill="1" applyAlignment="1" applyProtection="1">
      <alignment horizontal="left" vertical="top" wrapText="1"/>
      <protection hidden="1"/>
    </xf>
    <xf numFmtId="0" fontId="36" fillId="16" borderId="63" xfId="17" applyFont="1" applyFill="1" applyBorder="1" applyAlignment="1" applyProtection="1">
      <alignment horizontal="left" vertical="top" wrapText="1"/>
      <protection hidden="1"/>
    </xf>
    <xf numFmtId="0" fontId="27" fillId="0" borderId="27" xfId="17" applyFont="1" applyBorder="1" applyAlignment="1" applyProtection="1">
      <alignment horizontal="left" vertical="top" wrapText="1"/>
      <protection locked="0"/>
    </xf>
    <xf numFmtId="0" fontId="27" fillId="0" borderId="48" xfId="17" applyFont="1" applyBorder="1" applyAlignment="1" applyProtection="1">
      <alignment horizontal="left" vertical="top" wrapText="1"/>
      <protection locked="0"/>
    </xf>
    <xf numFmtId="0" fontId="27" fillId="0" borderId="95" xfId="17" applyFont="1" applyBorder="1" applyAlignment="1" applyProtection="1">
      <alignment horizontal="left" vertical="top" wrapText="1"/>
      <protection locked="0"/>
    </xf>
    <xf numFmtId="0" fontId="27" fillId="0" borderId="83" xfId="17" applyFont="1" applyBorder="1" applyAlignment="1" applyProtection="1">
      <alignment horizontal="left" vertical="center" wrapText="1"/>
      <protection hidden="1"/>
    </xf>
    <xf numFmtId="0" fontId="27" fillId="0" borderId="63" xfId="17" applyFont="1" applyBorder="1" applyAlignment="1" applyProtection="1">
      <alignment horizontal="left" vertical="center" wrapText="1"/>
      <protection hidden="1"/>
    </xf>
    <xf numFmtId="0" fontId="17" fillId="0" borderId="96" xfId="17" applyFont="1" applyBorder="1" applyAlignment="1" applyProtection="1">
      <alignment horizontal="center" vertical="center" wrapText="1"/>
      <protection hidden="1"/>
    </xf>
    <xf numFmtId="0" fontId="17" fillId="0" borderId="48" xfId="17" applyFont="1" applyBorder="1" applyAlignment="1" applyProtection="1">
      <alignment horizontal="center" vertical="center" wrapText="1"/>
      <protection hidden="1"/>
    </xf>
    <xf numFmtId="0" fontId="17" fillId="0" borderId="95" xfId="17" applyFont="1" applyBorder="1" applyAlignment="1" applyProtection="1">
      <alignment horizontal="center" vertical="center" wrapText="1"/>
      <protection hidden="1"/>
    </xf>
    <xf numFmtId="0" fontId="27" fillId="0" borderId="98" xfId="17" applyFont="1" applyBorder="1" applyAlignment="1" applyProtection="1">
      <alignment horizontal="center" vertical="top" wrapText="1"/>
      <protection hidden="1"/>
    </xf>
    <xf numFmtId="0" fontId="27" fillId="0" borderId="34" xfId="17" applyFont="1" applyBorder="1" applyAlignment="1" applyProtection="1">
      <alignment horizontal="center" vertical="top" wrapText="1"/>
      <protection hidden="1"/>
    </xf>
    <xf numFmtId="0" fontId="27" fillId="0" borderId="92" xfId="17" applyFont="1" applyBorder="1" applyAlignment="1" applyProtection="1">
      <alignment horizontal="center" vertical="top" wrapText="1"/>
      <protection hidden="1"/>
    </xf>
    <xf numFmtId="0" fontId="27" fillId="0" borderId="1" xfId="17" applyFont="1" applyBorder="1" applyAlignment="1" applyProtection="1">
      <alignment horizontal="left" vertical="top" wrapText="1"/>
      <protection locked="0"/>
    </xf>
    <xf numFmtId="0" fontId="27" fillId="0" borderId="93" xfId="17" applyFont="1" applyBorder="1" applyAlignment="1" applyProtection="1">
      <alignment horizontal="left" vertical="top" wrapText="1"/>
      <protection locked="0"/>
    </xf>
    <xf numFmtId="0" fontId="71" fillId="0" borderId="96" xfId="12" applyFont="1" applyBorder="1" applyAlignment="1" applyProtection="1">
      <alignment horizontal="center" vertical="center" wrapText="1"/>
      <protection hidden="1"/>
    </xf>
    <xf numFmtId="0" fontId="71" fillId="0" borderId="48" xfId="12" applyFont="1" applyBorder="1" applyAlignment="1" applyProtection="1">
      <alignment horizontal="center" vertical="center" wrapText="1"/>
      <protection hidden="1"/>
    </xf>
    <xf numFmtId="0" fontId="71" fillId="0" borderId="95" xfId="12" applyFont="1" applyBorder="1" applyAlignment="1" applyProtection="1">
      <alignment horizontal="center" vertical="center" wrapText="1"/>
      <protection hidden="1"/>
    </xf>
    <xf numFmtId="0" fontId="47" fillId="0" borderId="97" xfId="17" applyFont="1" applyBorder="1" applyAlignment="1" applyProtection="1">
      <alignment horizontal="left" vertical="top" wrapText="1"/>
      <protection hidden="1"/>
    </xf>
    <xf numFmtId="0" fontId="35" fillId="0" borderId="1" xfId="18" applyFont="1" applyBorder="1" applyAlignment="1" applyProtection="1">
      <alignment horizontal="center" vertical="center"/>
      <protection locked="0"/>
    </xf>
    <xf numFmtId="0" fontId="21" fillId="0" borderId="61" xfId="18" applyFont="1" applyBorder="1" applyAlignment="1" applyProtection="1">
      <alignment horizontal="left" vertical="top"/>
      <protection locked="0"/>
    </xf>
    <xf numFmtId="0" fontId="21" fillId="0" borderId="47" xfId="18" applyFont="1" applyBorder="1" applyAlignment="1" applyProtection="1">
      <alignment horizontal="left" vertical="top"/>
      <protection locked="0"/>
    </xf>
    <xf numFmtId="0" fontId="21" fillId="0" borderId="94" xfId="18" applyFont="1" applyBorder="1" applyAlignment="1" applyProtection="1">
      <alignment horizontal="left" vertical="top"/>
      <protection locked="0"/>
    </xf>
    <xf numFmtId="0" fontId="21" fillId="0" borderId="27" xfId="18" applyFont="1" applyBorder="1" applyAlignment="1" applyProtection="1">
      <alignment horizontal="left" vertical="top"/>
      <protection locked="0"/>
    </xf>
    <xf numFmtId="0" fontId="21" fillId="0" borderId="48" xfId="18" applyFont="1" applyBorder="1" applyAlignment="1" applyProtection="1">
      <alignment horizontal="left" vertical="top"/>
      <protection locked="0"/>
    </xf>
    <xf numFmtId="0" fontId="21" fillId="0" borderId="95" xfId="18" applyFont="1" applyBorder="1" applyAlignment="1" applyProtection="1">
      <alignment horizontal="left" vertical="top"/>
      <protection locked="0"/>
    </xf>
    <xf numFmtId="0" fontId="5" fillId="0" borderId="0" xfId="18" applyFont="1" applyAlignment="1" applyProtection="1">
      <alignment vertical="center" wrapText="1"/>
      <protection hidden="1"/>
    </xf>
    <xf numFmtId="0" fontId="71" fillId="0" borderId="98" xfId="17" applyFont="1" applyBorder="1" applyAlignment="1" applyProtection="1">
      <alignment horizontal="center" vertical="top" wrapText="1"/>
      <protection hidden="1"/>
    </xf>
    <xf numFmtId="0" fontId="71" fillId="0" borderId="34" xfId="17" applyFont="1" applyBorder="1" applyAlignment="1" applyProtection="1">
      <alignment horizontal="center" vertical="top" wrapText="1"/>
      <protection hidden="1"/>
    </xf>
    <xf numFmtId="0" fontId="71" fillId="0" borderId="92" xfId="17" applyFont="1" applyBorder="1" applyAlignment="1" applyProtection="1">
      <alignment horizontal="center" vertical="top" wrapText="1"/>
      <protection hidden="1"/>
    </xf>
    <xf numFmtId="0" fontId="47" fillId="0" borderId="99" xfId="17" applyFont="1" applyBorder="1" applyAlignment="1" applyProtection="1">
      <alignment horizontal="left" vertical="top" wrapText="1"/>
      <protection hidden="1"/>
    </xf>
    <xf numFmtId="0" fontId="35" fillId="0" borderId="20" xfId="18" applyFont="1" applyBorder="1" applyAlignment="1" applyProtection="1">
      <alignment horizontal="center" vertical="center"/>
      <protection locked="0"/>
    </xf>
    <xf numFmtId="0" fontId="21" fillId="0" borderId="62" xfId="18" applyFont="1" applyBorder="1" applyAlignment="1" applyProtection="1">
      <alignment horizontal="left" vertical="top"/>
      <protection locked="0"/>
    </xf>
    <xf numFmtId="0" fontId="21" fillId="0" borderId="0" xfId="18" applyFont="1" applyAlignment="1" applyProtection="1">
      <alignment horizontal="left" vertical="top"/>
      <protection locked="0"/>
    </xf>
    <xf numFmtId="0" fontId="21" fillId="0" borderId="84" xfId="18" applyFont="1" applyBorder="1" applyAlignment="1" applyProtection="1">
      <alignment horizontal="left" vertical="top"/>
      <protection locked="0"/>
    </xf>
    <xf numFmtId="0" fontId="5" fillId="0" borderId="0" xfId="18" applyFont="1" applyAlignment="1" applyProtection="1">
      <alignment horizontal="left" vertical="center"/>
      <protection hidden="1"/>
    </xf>
    <xf numFmtId="0" fontId="21" fillId="0" borderId="18" xfId="18" applyFont="1" applyBorder="1" applyAlignment="1" applyProtection="1">
      <alignment horizontal="left" vertical="top"/>
      <protection locked="0"/>
    </xf>
    <xf numFmtId="0" fontId="21" fillId="0" borderId="34" xfId="18" applyFont="1" applyBorder="1" applyAlignment="1" applyProtection="1">
      <alignment horizontal="left" vertical="top"/>
      <protection locked="0"/>
    </xf>
    <xf numFmtId="0" fontId="21" fillId="0" borderId="92" xfId="18" applyFont="1" applyBorder="1" applyAlignment="1" applyProtection="1">
      <alignment horizontal="left" vertical="top"/>
      <protection locked="0"/>
    </xf>
    <xf numFmtId="2" fontId="5" fillId="0" borderId="1" xfId="18" applyNumberFormat="1" applyFont="1" applyBorder="1" applyAlignment="1" applyProtection="1">
      <alignment horizontal="center" vertical="center" wrapText="1"/>
      <protection locked="0"/>
    </xf>
    <xf numFmtId="49" fontId="5" fillId="0" borderId="18" xfId="18" applyNumberFormat="1" applyFont="1" applyBorder="1" applyAlignment="1" applyProtection="1">
      <alignment horizontal="center" vertical="center" wrapText="1"/>
      <protection locked="0"/>
    </xf>
    <xf numFmtId="49" fontId="5" fillId="0" borderId="34" xfId="18" applyNumberFormat="1" applyFont="1" applyBorder="1" applyAlignment="1" applyProtection="1">
      <alignment horizontal="center" vertical="center" wrapText="1"/>
      <protection locked="0"/>
    </xf>
    <xf numFmtId="49" fontId="5" fillId="0" borderId="30" xfId="18" applyNumberFormat="1" applyFont="1" applyBorder="1" applyAlignment="1" applyProtection="1">
      <alignment horizontal="center" vertical="center" wrapText="1"/>
      <protection locked="0"/>
    </xf>
    <xf numFmtId="172" fontId="5" fillId="0" borderId="18" xfId="18" applyNumberFormat="1" applyFont="1" applyBorder="1" applyAlignment="1" applyProtection="1">
      <alignment horizontal="center" vertical="center" wrapText="1"/>
      <protection locked="0"/>
    </xf>
    <xf numFmtId="172" fontId="5" fillId="0" borderId="30" xfId="18" applyNumberFormat="1" applyFont="1" applyBorder="1" applyAlignment="1" applyProtection="1">
      <alignment horizontal="center" vertical="center" wrapText="1"/>
      <protection locked="0"/>
    </xf>
    <xf numFmtId="0" fontId="27" fillId="5" borderId="1" xfId="17" applyFont="1" applyFill="1" applyBorder="1" applyAlignment="1" applyProtection="1">
      <alignment horizontal="left" vertical="center" wrapText="1"/>
      <protection hidden="1"/>
    </xf>
    <xf numFmtId="0" fontId="27" fillId="5" borderId="93" xfId="17" applyFont="1" applyFill="1" applyBorder="1" applyAlignment="1" applyProtection="1">
      <alignment horizontal="left" vertical="center" wrapText="1"/>
      <protection hidden="1"/>
    </xf>
    <xf numFmtId="49" fontId="75" fillId="0" borderId="97" xfId="18" applyNumberFormat="1" applyFont="1" applyBorder="1" applyAlignment="1" applyProtection="1">
      <alignment horizontal="left" vertical="top" wrapText="1"/>
      <protection locked="0"/>
    </xf>
    <xf numFmtId="49" fontId="75" fillId="0" borderId="1" xfId="18" applyNumberFormat="1" applyFont="1" applyBorder="1" applyAlignment="1" applyProtection="1">
      <alignment horizontal="left" vertical="top" wrapText="1"/>
      <protection locked="0"/>
    </xf>
    <xf numFmtId="49" fontId="75" fillId="0" borderId="93" xfId="18" applyNumberFormat="1" applyFont="1" applyBorder="1" applyAlignment="1" applyProtection="1">
      <alignment horizontal="left" vertical="top" wrapText="1"/>
      <protection locked="0"/>
    </xf>
    <xf numFmtId="49" fontId="5" fillId="0" borderId="97" xfId="18" applyNumberFormat="1" applyFont="1" applyBorder="1" applyAlignment="1" applyProtection="1">
      <alignment horizontal="left" vertical="top" wrapText="1"/>
      <protection locked="0"/>
    </xf>
    <xf numFmtId="49" fontId="5" fillId="0" borderId="1" xfId="18" applyNumberFormat="1" applyFont="1" applyBorder="1" applyAlignment="1" applyProtection="1">
      <alignment horizontal="left" vertical="top" wrapText="1"/>
      <protection locked="0"/>
    </xf>
    <xf numFmtId="49" fontId="5" fillId="0" borderId="93" xfId="18" applyNumberFormat="1" applyFont="1" applyBorder="1" applyAlignment="1" applyProtection="1">
      <alignment horizontal="left" vertical="top" wrapText="1"/>
      <protection locked="0"/>
    </xf>
    <xf numFmtId="49" fontId="5" fillId="0" borderId="97" xfId="18" applyNumberFormat="1" applyFont="1" applyBorder="1" applyAlignment="1" applyProtection="1">
      <alignment horizontal="left" vertical="top" wrapText="1"/>
      <protection hidden="1"/>
    </xf>
    <xf numFmtId="49" fontId="5" fillId="0" borderId="1" xfId="18" applyNumberFormat="1" applyFont="1" applyBorder="1" applyAlignment="1" applyProtection="1">
      <alignment horizontal="left" vertical="top" wrapText="1"/>
      <protection hidden="1"/>
    </xf>
    <xf numFmtId="49" fontId="5" fillId="0" borderId="93" xfId="18" applyNumberFormat="1" applyFont="1" applyBorder="1" applyAlignment="1" applyProtection="1">
      <alignment horizontal="left" vertical="top" wrapText="1"/>
      <protection hidden="1"/>
    </xf>
    <xf numFmtId="0" fontId="5" fillId="5" borderId="15" xfId="0" applyFont="1" applyFill="1" applyBorder="1" applyAlignment="1">
      <alignment horizontal="left" vertical="center" wrapText="1"/>
    </xf>
    <xf numFmtId="0" fontId="5" fillId="5" borderId="0" xfId="0" applyFont="1" applyFill="1" applyAlignment="1">
      <alignment horizontal="left" vertical="center" wrapText="1"/>
    </xf>
    <xf numFmtId="0" fontId="5" fillId="5" borderId="4"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6" xfId="0" applyFont="1" applyFill="1" applyBorder="1" applyAlignment="1">
      <alignment horizontal="left" vertical="center" wrapText="1"/>
    </xf>
    <xf numFmtId="0" fontId="5" fillId="5" borderId="7" xfId="0" applyFont="1" applyFill="1" applyBorder="1" applyAlignment="1">
      <alignment horizontal="left" vertical="center" wrapText="1"/>
    </xf>
    <xf numFmtId="0" fontId="18" fillId="14" borderId="14" xfId="2" applyFont="1" applyFill="1" applyBorder="1" applyAlignment="1" applyProtection="1">
      <alignment horizontal="center" vertical="center"/>
    </xf>
    <xf numFmtId="0" fontId="18" fillId="14" borderId="12" xfId="2" applyFont="1" applyFill="1" applyBorder="1" applyAlignment="1" applyProtection="1">
      <alignment horizontal="center" vertical="center"/>
    </xf>
    <xf numFmtId="0" fontId="18" fillId="14" borderId="17" xfId="2" applyFont="1" applyFill="1" applyBorder="1" applyAlignment="1" applyProtection="1">
      <alignment horizontal="center" vertical="center"/>
    </xf>
    <xf numFmtId="0" fontId="5" fillId="5" borderId="15"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5" fillId="5" borderId="51"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5" fillId="5" borderId="34"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5" fillId="5" borderId="5" xfId="0" applyFont="1" applyFill="1" applyBorder="1" applyAlignment="1">
      <alignment horizontal="center" vertical="center" wrapText="1"/>
    </xf>
    <xf numFmtId="0" fontId="5" fillId="5" borderId="60" xfId="0" applyFont="1" applyFill="1" applyBorder="1" applyAlignment="1">
      <alignment horizontal="center" vertical="center" wrapText="1"/>
    </xf>
  </cellXfs>
  <cellStyles count="28">
    <cellStyle name="Comma" xfId="1" builtinId="3"/>
    <cellStyle name="Comma 2" xfId="16" xr:uid="{198090A5-DB3D-4717-AFBE-53328CBC628A}"/>
    <cellStyle name="Currency" xfId="27" builtinId="4"/>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4 8 2 2 2" xfId="26" xr:uid="{8D52D294-C024-46C7-86C9-7D7B9026CAC6}"/>
    <cellStyle name="Normal 4 9 2 2" xfId="25" xr:uid="{B9A3B12C-40AD-46F1-BE57-C606712DF965}"/>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143">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ill>
        <patternFill>
          <bgColor rgb="FFFF0000"/>
        </patternFill>
      </fill>
    </dxf>
    <dxf>
      <fill>
        <patternFill>
          <bgColor rgb="FFFF000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ill>
        <patternFill>
          <bgColor rgb="FFFF000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bgColor theme="0"/>
        </patternFill>
      </fill>
    </dxf>
    <dxf>
      <font>
        <color theme="0"/>
      </font>
      <fill>
        <patternFill patternType="solid">
          <bgColor theme="0"/>
        </patternFill>
      </fill>
    </dxf>
    <dxf>
      <font>
        <color rgb="FF9C0006"/>
      </font>
      <fill>
        <patternFill>
          <bgColor rgb="FFFFC7CE"/>
        </patternFill>
      </fill>
    </dxf>
    <dxf>
      <fill>
        <patternFill>
          <bgColor rgb="FFEB4B4B"/>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b/>
        <strike val="0"/>
        <outline val="0"/>
        <shadow val="0"/>
        <u val="none"/>
        <vertAlign val="baseline"/>
        <sz val="8"/>
        <name val="Verdana"/>
        <family val="2"/>
        <scheme val="none"/>
      </font>
      <fill>
        <patternFill patternType="solid">
          <bgColor theme="0"/>
        </patternFill>
      </fill>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Verdana"/>
        <family val="2"/>
        <scheme val="none"/>
      </font>
      <numFmt numFmtId="2"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Verdana"/>
        <family val="2"/>
        <scheme val="none"/>
      </font>
      <numFmt numFmtId="2"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1"/>
    </dxf>
    <dxf>
      <font>
        <strike val="0"/>
        <outline val="0"/>
        <shadow val="0"/>
        <u val="none"/>
        <vertAlign val="baseline"/>
        <sz val="8"/>
        <name val="Verdana"/>
        <family val="2"/>
        <scheme val="none"/>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 formatCode="0"/>
      <fill>
        <patternFill patternType="solid">
          <fgColor rgb="FFA6A6A6"/>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2" formatCode="0.00"/>
      <fill>
        <patternFill patternType="solid">
          <fgColor rgb="FFA6A6A6"/>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2" formatCode="0.00"/>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Verdana"/>
        <family val="2"/>
        <scheme val="none"/>
      </font>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Verdana"/>
        <family val="2"/>
        <scheme val="none"/>
      </font>
      <numFmt numFmtId="0" formatCode="General"/>
      <fill>
        <patternFill patternType="solid">
          <fgColor rgb="FFD9D9D9"/>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9" formatCode="dd/mm/yyyy"/>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9" formatCode="dd/mm/yyyy"/>
      <fill>
        <patternFill patternType="solid">
          <fgColor rgb="FFD9D9D9"/>
          <bgColor theme="0"/>
        </patternFill>
      </fill>
      <border diagonalUp="0" diagonalDown="0">
        <left/>
        <right style="thin">
          <color indexed="64"/>
        </right>
        <top style="thin">
          <color indexed="64"/>
        </top>
        <bottom style="thin">
          <color indexed="64"/>
        </bottom>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fill>
        <patternFill patternType="solid">
          <bgColor theme="0"/>
        </patternFill>
      </fill>
    </dxf>
    <dxf>
      <border>
        <bottom style="thin">
          <color indexed="64"/>
        </bottom>
      </border>
    </dxf>
    <dxf>
      <font>
        <strike val="0"/>
        <outline val="0"/>
        <shadow val="0"/>
        <u val="none"/>
        <vertAlign val="baseline"/>
        <sz val="8"/>
        <color theme="0"/>
        <name val="Verdana"/>
        <family val="2"/>
        <scheme val="none"/>
      </font>
      <fill>
        <patternFill patternType="solid">
          <bgColor rgb="FF2DAE7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D0F2E3"/>
      <color rgb="FFFF0000"/>
      <color rgb="FF382573"/>
      <color rgb="FF2DAE76"/>
      <color rgb="FFACEACF"/>
      <color rgb="FFD0F2CF"/>
      <color rgb="FFE4DFEC"/>
      <color rgb="FFBDB0E6"/>
      <color rgb="FF00B050"/>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12428008</xdr:colOff>
      <xdr:row>5</xdr:row>
      <xdr:rowOff>25400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30624</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430120</xdr:colOff>
      <xdr:row>21</xdr:row>
      <xdr:rowOff>31636</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11765</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354292</xdr:colOff>
      <xdr:row>33</xdr:row>
      <xdr:rowOff>179684</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426296</xdr:colOff>
      <xdr:row>41</xdr:row>
      <xdr:rowOff>64477</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629424</xdr:colOff>
      <xdr:row>4</xdr:row>
      <xdr:rowOff>250280</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613834</xdr:colOff>
      <xdr:row>1</xdr:row>
      <xdr:rowOff>134056</xdr:rowOff>
    </xdr:from>
    <xdr:to>
      <xdr:col>8</xdr:col>
      <xdr:colOff>1323903</xdr:colOff>
      <xdr:row>6</xdr:row>
      <xdr:rowOff>225633</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27</xdr:col>
      <xdr:colOff>250032</xdr:colOff>
      <xdr:row>2</xdr:row>
      <xdr:rowOff>61685</xdr:rowOff>
    </xdr:from>
    <xdr:ext cx="1689974" cy="837751"/>
    <xdr:pic>
      <xdr:nvPicPr>
        <xdr:cNvPr id="7" name="Picture 2">
          <a:hlinkClick xmlns:r="http://schemas.openxmlformats.org/officeDocument/2006/relationships" r:id="rId1"/>
          <a:extLst>
            <a:ext uri="{FF2B5EF4-FFF2-40B4-BE49-F238E27FC236}">
              <a16:creationId xmlns:a16="http://schemas.microsoft.com/office/drawing/2014/main" id="{C693EADC-8689-4C49-B103-CA61484ED322}"/>
            </a:ext>
          </a:extLst>
        </xdr:cNvPr>
        <xdr:cNvPicPr>
          <a:picLocks noChangeAspect="1"/>
        </xdr:cNvPicPr>
      </xdr:nvPicPr>
      <xdr:blipFill>
        <a:blip xmlns:r="http://schemas.openxmlformats.org/officeDocument/2006/relationships" r:embed="rId2"/>
        <a:stretch>
          <a:fillRect/>
        </a:stretch>
      </xdr:blipFill>
      <xdr:spPr>
        <a:xfrm>
          <a:off x="28967907" y="323623"/>
          <a:ext cx="1689974" cy="837751"/>
        </a:xfrm>
        <a:prstGeom prst="rect">
          <a:avLst/>
        </a:prstGeom>
      </xdr:spPr>
    </xdr:pic>
    <xdr:clientData/>
  </xdr:oneCellAnchor>
  <xdr:twoCellAnchor editAs="oneCell">
    <xdr:from>
      <xdr:col>27</xdr:col>
      <xdr:colOff>2076791</xdr:colOff>
      <xdr:row>2</xdr:row>
      <xdr:rowOff>59531</xdr:rowOff>
    </xdr:from>
    <xdr:to>
      <xdr:col>31</xdr:col>
      <xdr:colOff>368434</xdr:colOff>
      <xdr:row>5</xdr:row>
      <xdr:rowOff>387464</xdr:rowOff>
    </xdr:to>
    <xdr:pic>
      <xdr:nvPicPr>
        <xdr:cNvPr id="8" name="Picture 4">
          <a:extLst>
            <a:ext uri="{FF2B5EF4-FFF2-40B4-BE49-F238E27FC236}">
              <a16:creationId xmlns:a16="http://schemas.microsoft.com/office/drawing/2014/main" id="{22AD6BFC-A093-4F79-8A64-266296D8F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794666" y="321469"/>
          <a:ext cx="869743" cy="867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1275193</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lix365.sharepoint.com/Tec/Docs/C.%20Other%20scheme/Wales%20Scheme/1.%20Planning/Application%20Form%20Log/Wales%20FTC%20Application%20Form%20V0.2%20-%20Extended.xlsx" TargetMode="External"/><Relationship Id="rId1" Type="http://schemas.openxmlformats.org/officeDocument/2006/relationships/externalLinkPath" Target="/Tec/Docs/C.%20Other%20scheme/Wales%20Scheme/1.%20Planning/Application%20Form%20Log/Wales%20FTC%20Application%20Form%20V0.2%20-%20Extend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OtherProgrammes/Phase%203%20PSDS/2.%20Applications/4.%20NHS/Northampton%20General%20Hospital%20NHS%20Trust%20-%2030168/Application%20Form/phase-3-psds-application-form---northampt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ixfs01/shared/Documents%20and%20Settings/dobl1733/Local%20Settings/Temporary%20Internet%20Files/Content.Outlook/BV6CWOUN/SEELS%20Project%20Compliance%20Tool%20v22%20Fuel%20Conversion%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lixfs01/shared/SEELS/England/DfE/Academies/SEEF/3.%20SEEF%203%202018-19/Revised%20Application%20Documents%20Drafts/Application%20Form/Final%20Version/SEEF%20Application%20Form%202018-1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Users/OnaSabotie/Downloads/Wales%20Application%20Form%20V4%20_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mattc.SALIX/Downloads/Cost%20Saving%20Analysis%20Tool%20-%20V%201.1%20-%20Queens%20Park%20Hig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ccstorage1/t&amp;e$/Technical%20Services%20-%20Nov09/13.%20Technology%20Specific%20Work/22.%20Swimming%20pool%20cover/Pool%20Heatloss%20-%20Version%2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a Building Project Design"/>
      <sheetName val="Step 2b EV Proposal"/>
      <sheetName val="Step 3a Site Details"/>
      <sheetName val="Step 3b Building Details"/>
      <sheetName val="Step 3c Heating System"/>
      <sheetName val="Step 4 Measure Details"/>
      <sheetName val="Step 5a Project Governance"/>
      <sheetName val="Step 5b Social Contribution"/>
      <sheetName val="Step 6 Loan Amortisation"/>
      <sheetName val="Draft LAT"/>
      <sheetName val="QC Check"/>
      <sheetName val="Assessment Form"/>
      <sheetName val="Extra look-up - Incomplete"/>
      <sheetName val="Eligible Technologies"/>
      <sheetName val="Scoring Criteria - Incomplete"/>
      <sheetName val="Backing Sheet - Buildings"/>
      <sheetName val="Terms of Use"/>
      <sheetName val="Revision History"/>
      <sheetName val="Data Outputs"/>
      <sheetName val="Boiler Age Data"/>
      <sheetName val="PETREAD - Incomp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 val="Step 1 Application Form"/>
      <sheetName val="Step 2 ECM 1"/>
      <sheetName val="ECM 2"/>
      <sheetName val="ECM 3"/>
      <sheetName val="ECM 4"/>
      <sheetName val="ECM 5"/>
      <sheetName val="Step 3 Business Case"/>
      <sheetName val="Step 4 Submission"/>
      <sheetName val="Terms and Conditions"/>
      <sheetName val="Revision History"/>
      <sheetName val="Backing 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User Notes"/>
      <sheetName val="Project Compliance Tool"/>
      <sheetName val="Project 1 data input"/>
      <sheetName val="Project 2 data input"/>
      <sheetName val="Project 3 data input"/>
      <sheetName val="Project 4 data input"/>
      <sheetName val="Project 5 data input"/>
      <sheetName val="Extra look-up"/>
      <sheetName val="Additionality Criteria"/>
      <sheetName val="Assessment Criteria"/>
      <sheetName val="Q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C6DE7-78E1-40FE-AB04-71F1A8FBFD48}" name="Table145242" displayName="Table145242" ref="C69:AB93" totalsRowShown="0" headerRowDxfId="142" dataDxfId="140" headerRowBorderDxfId="141" tableBorderDxfId="139" totalsRowBorderDxfId="138">
  <autoFilter ref="C69:AB93" xr:uid="{F389C94A-51B3-484B-8EF5-7DD131962147}"/>
  <tableColumns count="26">
    <tableColumn id="1" xr3:uid="{91F43F19-070C-44D7-AECF-5C15A3B8FD84}" name="Dechrau'r Flwyddyn" dataDxfId="137"/>
    <tableColumn id="2" xr3:uid="{D6C4FC04-4235-4609-8767-DD13A45DE158}" name="Diwedd y Flwyddyn" dataDxfId="136"/>
    <tableColumn id="3" xr3:uid="{40B8725F-12A8-43ED-BC90-3F75C9B9FC87}" name="Rhif Talu Ad-daliad Cyfalaf" dataDxfId="135"/>
    <tableColumn id="19" xr3:uid="{48E5BBC1-4107-4FA0-974A-430CC29F823E}" name="Rhif Ad-dalu Llog" dataDxfId="134"/>
    <tableColumn id="4" xr3:uid="{910F0E81-8AAC-490D-B48A-4A8156A2CEDE}" name="Blwyddyn Ariannol y Taliad" dataDxfId="133"/>
    <tableColumn id="16" xr3:uid="{B91FFA86-A11C-477A-B4F6-C709E1DE9319}" name="Cuddio Colofn, BT Gyntaf" dataDxfId="132">
      <calculatedColumnFormula>LEFT(Table145242[[#This Row],[Blwyddyn Ariannol y Taliad]],4)</calculatedColumnFormula>
    </tableColumn>
    <tableColumn id="20" xr3:uid="{91186221-ED07-478B-8FDE-54E293BB1255}" name="Cuddio Colofn" dataDxfId="131">
      <calculatedColumnFormula>TRIM(Table145242[[#This Row],[Cuddio Colofn, BT Gyntaf]])</calculatedColumnFormula>
    </tableColumn>
    <tableColumn id="17" xr3:uid="{9028ECBA-0D1F-483D-8EB7-3BBD7981952C}" name="Cuddio Colofn Blwyddyn Ariannol" dataDxfId="130">
      <calculatedColumnFormula>#REF!</calculatedColumnFormula>
    </tableColumn>
    <tableColumn id="5" xr3:uid="{2280F1E7-9E0C-4E7D-BC94-F9F2D20A4CC1}" name="Cuddio - Taliad Benthyciad Cychwynnol" dataDxfId="129"/>
    <tableColumn id="6" xr3:uid="{6554CE89-A6A4-4D5C-9679-3EBF54C28D7C}" name="Balans Cyfalaf Cychwynnol" dataDxfId="128"/>
    <tableColumn id="7" xr3:uid="{A8F4241B-ED55-4D0C-926F-37A5E078F785}" name="Isafswm gwerth ad-dalu gofynnol (y flwyddyn)" dataDxfId="127"/>
    <tableColumn id="22" xr3:uid="{64975D51-CFA8-4D20-AB58-3B98C12F5C93}" name="Taliad Llog" dataDxfId="126">
      <calculatedColumnFormula>IF(Table145242[[#This Row],[Rhif Ad-dalu Llog]]="1",#REF!,"N/A")</calculatedColumnFormula>
    </tableColumn>
    <tableColumn id="9" xr3:uid="{A463158D-4DEA-4D34-9F1D-9C27B958D7C2}" name="Ad-daliad Cyfalaf" dataDxfId="125">
      <calculatedColumnFormula>IF(AB71="Ad-daliadau cyfalaf wedi gorffen",Table145242[[#This Row],[Balans Cyfalaf Cychwynnol]],IF(Table145242[[#This Row],[Cuddio Colofn]]&gt;=AO26,IFERROR((Table145242[[#This Row],[Isafswm gwerth ad-dalu gofynnol (y flwyddyn)]]-Table145242[[#This Row],[Taliad Llog]]),0),0))</calculatedColumnFormula>
    </tableColumn>
    <tableColumn id="25" xr3:uid="{006DB695-6D28-4BF9-A5CC-E066CBA94F17}" name="Hide - " dataDxfId="124">
      <calculatedColumnFormula>TRIM(Table145242[[#This Row],[Ad-daliad Cyfalaf]])</calculatedColumnFormula>
    </tableColumn>
    <tableColumn id="10" xr3:uid="{43624142-8AD4-4D79-B54A-F7D7C2B7F0DF}" name="Ad-daliad Cyfalaf Cynnar" dataDxfId="123"/>
    <tableColumn id="11" xr3:uid="{F7E716D9-AF17-41AF-A30A-9E4F851D3792}" name="Cyfanswm Ad-daliad (heb gynnwys taliadau llog)" dataDxfId="122">
      <calculatedColumnFormula>SUM(Table145242[[#This Row],[Ad-daliad Cyfalaf]:[Ad-daliad Cyfalaf Cynnar]])</calculatedColumnFormula>
    </tableColumn>
    <tableColumn id="8" xr3:uid="{4085529A-7AE0-4C9E-BD32-E3F03E2C0E12}" name="Hide - All payments" dataDxfId="121">
      <calculatedColumnFormula>SUM(Table145242[[#This Row],[Taliad Llog]:[Ad-daliad Cyfalaf Cynnar]])</calculatedColumnFormula>
    </tableColumn>
    <tableColumn id="12" xr3:uid="{3E07A880-79FC-4615-9BF8-AA1B16968530}" name="Balans Cyfalaf ar y Diwedd" dataDxfId="120">
      <calculatedColumnFormula>IF(Table145242[[#This Row],[Cyfanswm Ad-daliad (heb gynnwys taliadau llog)]]=0,Table145242[[#This Row],[Balans Cyfalaf Cychwynnol]],L70-R70)</calculatedColumnFormula>
    </tableColumn>
    <tableColumn id="13" xr3:uid="{83248607-B588-48D9-8BEE-433E71B95957}" name="Taliadau Cyfalaf Cronnol" dataDxfId="119">
      <calculatedColumnFormula>SUM($M$70:$M70)</calculatedColumnFormula>
    </tableColumn>
    <tableColumn id="14" xr3:uid="{3C93CE42-4624-4DE7-8D14-B6ABE6C33B64}" name="Taliadau Llog Cronnol" dataDxfId="118">
      <calculatedColumnFormula>IF(#REF!&gt;0,SUM(#REF!),"N/A")</calculatedColumnFormula>
    </tableColumn>
    <tableColumn id="18" xr3:uid="{1405638D-9D3A-4E85-96A7-74695130A68C}" name="Prawf Balans ar y Diwedd - mae'n dangos beth ddylai'r taliad terfynol fod" dataDxfId="117"/>
    <tableColumn id="21" xr3:uid="{6EEBC3F1-F194-4BEB-A009-5C45081C1AD5}" name="Hide" dataDxfId="116">
      <calculatedColumnFormula>IF(Table145242[[#This Row],[Prawf Balans ar y Diwedd - mae''n dangos beth ddylai''r taliad terfynol fod]]&lt;M65,Table145242[[#This Row],[Prawf Balans ar y Diwedd - mae''n dangos beth ddylai''r taliad terfynol fod]],"")</calculatedColumnFormula>
    </tableColumn>
    <tableColumn id="23" xr3:uid="{169A00BE-83D8-4D2C-938C-8B8B323BA49A}" name="Hide 3" dataDxfId="115">
      <calculatedColumnFormula>TRIM(Table145242[[#This Row],[Taliadau Cyfalaf Cronnol]])</calculatedColumnFormula>
    </tableColumn>
    <tableColumn id="26" xr3:uid="{1802A334-404C-4E67-8997-7B4B439AF39A}" name="Os yw'r cyfalaf ar y diwedd yn fenthyciad" dataDxfId="114">
      <calculatedColumnFormula>IF(Table145242[[#This Row],[Balans Cyfalaf ar y Diwedd]]=D49,Table145242[[#This Row],[Balans Cyfalaf ar y Diwedd]],0)</calculatedColumnFormula>
    </tableColumn>
    <tableColumn id="24" xr3:uid="{8F1ACE0A-7F17-40C6-9E1C-C1D0EEAA30D8}" name="Hide 4" dataDxfId="113">
      <calculatedColumnFormula>IFERROR(VALUE(Table145242[[#This Row],[Rhif Talu Ad-daliad Cyfalaf]]), 0)</calculatedColumnFormula>
    </tableColumn>
    <tableColumn id="15" xr3:uid="{8767C452-248A-46DE-BEF4-8E3B3DEAE120}" name="Statws Ad-dalu" dataDxfId="112">
      <calculatedColumnFormula>IF(OR(L69&lt;=$N$18,AB69="Ad-daliadau cyfalaf wedi gorffen"),"Ad-daliadau Cyfalaf wedi Gorffen","Ad-daliadau cyfalaf yn anghyflawn")</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1640625" defaultRowHeight="12.5" x14ac:dyDescent="0.25"/>
  <sheetData>
    <row r="1" spans="22:22" x14ac:dyDescent="0.25">
      <c r="V1" s="1" t="s">
        <v>0</v>
      </c>
    </row>
  </sheetData>
  <pageMargins left="0.7" right="0.7" top="0.75" bottom="0.75" header="0.3" footer="0.3"/>
  <customProperties>
    <customPr name="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382573"/>
  </sheetPr>
  <dimension ref="A1:B12"/>
  <sheetViews>
    <sheetView showRowColHeaders="0" tabSelected="1" zoomScale="83" zoomScaleNormal="83" workbookViewId="0">
      <selection activeCell="B9" sqref="B9"/>
    </sheetView>
  </sheetViews>
  <sheetFormatPr defaultColWidth="9.1796875" defaultRowHeight="12.5" x14ac:dyDescent="0.25"/>
  <cols>
    <col min="1" max="1" width="4.1796875" style="27" customWidth="1"/>
    <col min="2" max="2" width="187.54296875" style="27" customWidth="1"/>
    <col min="3" max="16384" width="9.1796875" style="27"/>
  </cols>
  <sheetData>
    <row r="1" spans="1:2" ht="16" thickBot="1" x14ac:dyDescent="0.3">
      <c r="A1" s="31"/>
      <c r="B1" s="32"/>
    </row>
    <row r="2" spans="1:2" ht="15.5" x14ac:dyDescent="0.25">
      <c r="A2" s="31"/>
      <c r="B2" s="80"/>
    </row>
    <row r="3" spans="1:2" ht="34.5" customHeight="1" x14ac:dyDescent="0.25">
      <c r="B3" s="81" t="s">
        <v>1</v>
      </c>
    </row>
    <row r="4" spans="1:2" ht="13.5" customHeight="1" x14ac:dyDescent="0.25">
      <c r="B4" s="82" t="str">
        <f ca="1">"© Salix Finance "&amp;YEAR(NOW())</f>
        <v>© Salix Finance 2024</v>
      </c>
    </row>
    <row r="5" spans="1:2" ht="13.5" customHeight="1" x14ac:dyDescent="0.25">
      <c r="B5" s="82"/>
    </row>
    <row r="6" spans="1:2" ht="21" customHeight="1" x14ac:dyDescent="0.25">
      <c r="B6" s="83" t="s">
        <v>2</v>
      </c>
    </row>
    <row r="7" spans="1:2" ht="58.5" customHeight="1" x14ac:dyDescent="0.25">
      <c r="B7" s="84" t="s">
        <v>724</v>
      </c>
    </row>
    <row r="8" spans="1:2" ht="21.75" customHeight="1" x14ac:dyDescent="0.25">
      <c r="B8" s="83" t="s">
        <v>3</v>
      </c>
    </row>
    <row r="9" spans="1:2" ht="73.5" customHeight="1" x14ac:dyDescent="0.25">
      <c r="B9" s="84" t="s">
        <v>4</v>
      </c>
    </row>
    <row r="10" spans="1:2" ht="23.5" customHeight="1" x14ac:dyDescent="0.25">
      <c r="B10" s="83" t="s">
        <v>5</v>
      </c>
    </row>
    <row r="11" spans="1:2" ht="97" customHeight="1" x14ac:dyDescent="0.25">
      <c r="B11" s="84" t="s">
        <v>6</v>
      </c>
    </row>
    <row r="12" spans="1:2" ht="16" thickBot="1" x14ac:dyDescent="0.3">
      <c r="A12" s="32"/>
      <c r="B12" s="85"/>
    </row>
  </sheetData>
  <sheetProtection algorithmName="SHA-512" hashValue="pX2SlNenAClyYWqeDehvUR7QyNfuOtyuGAkDs4k5MheuY1zFkIi13Mcef6XORXm4RfPn54rVdd1ueUcrVeveOw==" saltValue="33nLe9LBU9d2aZVOri0A4Q==" spinCount="100000" sheet="1" objects="1" scenarios="1"/>
  <pageMargins left="0.7" right="0.7" top="0.75" bottom="0.75" header="0.3" footer="0.3"/>
  <pageSetup paperSize="9" scale="84" orientation="portrait" r:id="rId1"/>
  <colBreaks count="1" manualBreakCount="1">
    <brk id="2" max="13" man="1"/>
  </colBreaks>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82573"/>
    <pageSetUpPr fitToPage="1"/>
  </sheetPr>
  <dimension ref="A1:S72"/>
  <sheetViews>
    <sheetView showGridLines="0" showRowColHeaders="0" topLeftCell="A17" zoomScale="90" zoomScaleNormal="90" workbookViewId="0">
      <selection activeCell="S14" sqref="S14"/>
    </sheetView>
  </sheetViews>
  <sheetFormatPr defaultColWidth="9.1796875" defaultRowHeight="15.5" x14ac:dyDescent="0.35"/>
  <cols>
    <col min="1" max="1" width="4.54296875" style="13" customWidth="1"/>
    <col min="2" max="2" width="2.453125" style="13" customWidth="1"/>
    <col min="3" max="16384" width="9.1796875" style="13"/>
  </cols>
  <sheetData>
    <row r="1" spans="1:18" ht="15" customHeight="1" thickBot="1" x14ac:dyDescent="0.4"/>
    <row r="2" spans="1:18" ht="15" customHeight="1" x14ac:dyDescent="0.35">
      <c r="B2" s="837"/>
      <c r="C2" s="838"/>
      <c r="D2" s="838"/>
      <c r="E2" s="838"/>
      <c r="F2" s="838"/>
      <c r="G2" s="838"/>
      <c r="H2" s="838"/>
      <c r="I2" s="838"/>
      <c r="J2" s="838"/>
      <c r="K2" s="838"/>
      <c r="L2" s="838"/>
      <c r="M2" s="838"/>
      <c r="N2" s="838"/>
      <c r="O2" s="838"/>
      <c r="P2" s="838"/>
      <c r="Q2" s="838"/>
      <c r="R2" s="839"/>
    </row>
    <row r="3" spans="1:18" ht="24.5" x14ac:dyDescent="0.35">
      <c r="B3" s="86"/>
      <c r="C3" s="825" t="s">
        <v>7</v>
      </c>
      <c r="D3" s="825"/>
      <c r="E3" s="825"/>
      <c r="F3" s="825"/>
      <c r="G3" s="825"/>
      <c r="H3" s="825"/>
      <c r="I3" s="825"/>
      <c r="J3" s="825"/>
      <c r="K3" s="825"/>
      <c r="L3" s="825"/>
      <c r="M3" s="825"/>
      <c r="N3" s="825"/>
      <c r="O3" s="825"/>
      <c r="P3" s="92"/>
      <c r="Q3" s="92"/>
      <c r="R3" s="93"/>
    </row>
    <row r="4" spans="1:18" ht="14.5" customHeight="1" x14ac:dyDescent="0.35">
      <c r="A4" s="14"/>
      <c r="B4" s="89"/>
      <c r="C4" s="94"/>
      <c r="D4" s="94"/>
      <c r="E4" s="94"/>
      <c r="F4" s="94"/>
      <c r="G4" s="95"/>
      <c r="H4" s="95"/>
      <c r="I4" s="95"/>
      <c r="J4" s="95"/>
      <c r="K4" s="95"/>
      <c r="L4" s="95"/>
      <c r="M4" s="95"/>
      <c r="N4" s="95"/>
      <c r="O4" s="95"/>
      <c r="P4" s="95"/>
      <c r="Q4" s="95"/>
      <c r="R4" s="93"/>
    </row>
    <row r="5" spans="1:18" ht="20.5" customHeight="1" x14ac:dyDescent="0.35">
      <c r="B5" s="86"/>
      <c r="C5" s="101" t="s">
        <v>8</v>
      </c>
      <c r="D5" s="96"/>
      <c r="E5" s="96"/>
      <c r="F5" s="96"/>
      <c r="G5" s="96"/>
      <c r="H5" s="96"/>
      <c r="I5" s="96"/>
      <c r="J5" s="96"/>
      <c r="K5" s="96"/>
      <c r="L5" s="96"/>
      <c r="M5" s="95"/>
      <c r="N5" s="96"/>
      <c r="O5" s="96"/>
      <c r="P5" s="96"/>
      <c r="Q5" s="96"/>
      <c r="R5" s="93"/>
    </row>
    <row r="6" spans="1:18" ht="67.5" customHeight="1" x14ac:dyDescent="0.35">
      <c r="A6" s="15"/>
      <c r="B6" s="90"/>
      <c r="C6" s="826" t="s">
        <v>9</v>
      </c>
      <c r="D6" s="826"/>
      <c r="E6" s="826"/>
      <c r="F6" s="826"/>
      <c r="G6" s="826"/>
      <c r="H6" s="826"/>
      <c r="I6" s="826"/>
      <c r="J6" s="826"/>
      <c r="K6" s="826"/>
      <c r="L6" s="826"/>
      <c r="M6" s="826"/>
      <c r="N6" s="826"/>
      <c r="O6" s="826"/>
      <c r="P6" s="826"/>
      <c r="Q6" s="826"/>
      <c r="R6" s="827"/>
    </row>
    <row r="7" spans="1:18" ht="19.5" customHeight="1" x14ac:dyDescent="0.35">
      <c r="A7" s="15"/>
      <c r="B7" s="90"/>
      <c r="C7" s="843" t="s">
        <v>10</v>
      </c>
      <c r="D7" s="843"/>
      <c r="E7" s="843"/>
      <c r="F7" s="843"/>
      <c r="G7" s="843"/>
      <c r="H7" s="843"/>
      <c r="I7" s="843"/>
      <c r="J7" s="97"/>
      <c r="K7" s="843"/>
      <c r="L7" s="843"/>
      <c r="M7" s="843"/>
      <c r="N7" s="97"/>
      <c r="O7" s="843"/>
      <c r="P7" s="843"/>
      <c r="Q7" s="843"/>
      <c r="R7" s="98"/>
    </row>
    <row r="8" spans="1:18" ht="18.75" customHeight="1" x14ac:dyDescent="0.35">
      <c r="A8" s="15"/>
      <c r="B8" s="90"/>
      <c r="C8" s="841" t="s">
        <v>11</v>
      </c>
      <c r="D8" s="841"/>
      <c r="E8" s="841"/>
      <c r="F8" s="841"/>
      <c r="G8" s="841"/>
      <c r="H8" s="841"/>
      <c r="I8" s="841"/>
      <c r="J8" s="841"/>
      <c r="K8" s="841"/>
      <c r="L8" s="841"/>
      <c r="M8" s="841"/>
      <c r="N8" s="841"/>
      <c r="O8" s="841"/>
      <c r="P8" s="841"/>
      <c r="Q8" s="841"/>
      <c r="R8" s="842"/>
    </row>
    <row r="9" spans="1:18" ht="2.25" customHeight="1" x14ac:dyDescent="0.35">
      <c r="A9" s="15"/>
      <c r="B9" s="90"/>
      <c r="C9" s="840"/>
      <c r="D9" s="840"/>
      <c r="E9" s="840"/>
      <c r="F9" s="840"/>
      <c r="G9" s="840"/>
      <c r="H9" s="840"/>
      <c r="I9" s="840"/>
      <c r="J9" s="840"/>
      <c r="K9" s="840"/>
      <c r="L9" s="840"/>
      <c r="M9" s="97"/>
      <c r="N9" s="97"/>
      <c r="O9" s="97"/>
      <c r="P9" s="97"/>
      <c r="Q9" s="97"/>
      <c r="R9" s="98"/>
    </row>
    <row r="10" spans="1:18" ht="15.75" customHeight="1" x14ac:dyDescent="0.35">
      <c r="B10" s="86"/>
      <c r="C10" s="844" t="s">
        <v>12</v>
      </c>
      <c r="D10" s="845"/>
      <c r="E10" s="845"/>
      <c r="F10" s="845"/>
      <c r="G10" s="845"/>
      <c r="H10" s="845"/>
      <c r="I10" s="845"/>
      <c r="J10" s="845"/>
      <c r="K10" s="845"/>
      <c r="L10" s="845"/>
      <c r="M10" s="845"/>
      <c r="N10" s="845"/>
      <c r="O10" s="845"/>
      <c r="P10" s="845"/>
      <c r="Q10" s="845"/>
      <c r="R10" s="100"/>
    </row>
    <row r="11" spans="1:18" ht="15.75" customHeight="1" x14ac:dyDescent="0.35">
      <c r="B11" s="86"/>
      <c r="C11" s="845"/>
      <c r="D11" s="845"/>
      <c r="E11" s="845"/>
      <c r="F11" s="845"/>
      <c r="G11" s="845"/>
      <c r="H11" s="845"/>
      <c r="I11" s="845"/>
      <c r="J11" s="845"/>
      <c r="K11" s="845"/>
      <c r="L11" s="845"/>
      <c r="M11" s="845"/>
      <c r="N11" s="845"/>
      <c r="O11" s="845"/>
      <c r="P11" s="845"/>
      <c r="Q11" s="845"/>
      <c r="R11" s="100"/>
    </row>
    <row r="12" spans="1:18" x14ac:dyDescent="0.35">
      <c r="B12" s="86"/>
      <c r="C12" s="99" t="s">
        <v>13</v>
      </c>
      <c r="D12" s="99"/>
      <c r="E12" s="99"/>
      <c r="F12" s="99"/>
      <c r="G12" s="99"/>
      <c r="H12" s="99"/>
      <c r="I12" s="99"/>
      <c r="J12" s="99"/>
      <c r="K12" s="99"/>
      <c r="L12" s="99"/>
      <c r="M12" s="99"/>
      <c r="N12" s="99"/>
      <c r="O12" s="99"/>
      <c r="P12" s="99"/>
      <c r="Q12" s="99"/>
      <c r="R12" s="100"/>
    </row>
    <row r="13" spans="1:18" x14ac:dyDescent="0.35">
      <c r="B13" s="86"/>
      <c r="C13" s="99"/>
      <c r="D13" s="99"/>
      <c r="E13" s="99"/>
      <c r="F13" s="99"/>
      <c r="G13" s="99"/>
      <c r="H13" s="99"/>
      <c r="I13" s="99"/>
      <c r="J13" s="99"/>
      <c r="K13" s="99"/>
      <c r="L13" s="99"/>
      <c r="M13" s="99"/>
      <c r="N13" s="99"/>
      <c r="O13" s="99"/>
      <c r="P13" s="99"/>
      <c r="Q13" s="99"/>
      <c r="R13" s="100"/>
    </row>
    <row r="14" spans="1:18" ht="28" customHeight="1" x14ac:dyDescent="0.35">
      <c r="B14" s="86"/>
      <c r="C14" s="99"/>
      <c r="D14" s="99"/>
      <c r="E14" s="99"/>
      <c r="F14" s="99"/>
      <c r="G14" s="99"/>
      <c r="H14" s="99"/>
      <c r="I14" s="99"/>
      <c r="J14" s="99"/>
      <c r="K14" s="99"/>
      <c r="L14" s="99"/>
      <c r="M14" s="99"/>
      <c r="N14" s="99"/>
      <c r="O14" s="99"/>
      <c r="P14" s="99"/>
      <c r="Q14" s="99"/>
      <c r="R14" s="100"/>
    </row>
    <row r="15" spans="1:18" ht="24" customHeight="1" x14ac:dyDescent="0.35">
      <c r="B15" s="86"/>
      <c r="C15" s="99"/>
      <c r="D15" s="99"/>
      <c r="E15" s="99"/>
      <c r="F15" s="99"/>
      <c r="G15" s="99"/>
      <c r="H15" s="99"/>
      <c r="I15" s="99"/>
      <c r="J15" s="99"/>
      <c r="K15" s="99"/>
      <c r="L15" s="99"/>
      <c r="M15" s="99"/>
      <c r="N15" s="99"/>
      <c r="O15" s="99"/>
      <c r="P15" s="99"/>
      <c r="Q15" s="99"/>
      <c r="R15" s="100"/>
    </row>
    <row r="16" spans="1:18" ht="8.25" customHeight="1" x14ac:dyDescent="0.35">
      <c r="B16" s="86"/>
      <c r="C16" s="99"/>
      <c r="D16" s="99"/>
      <c r="E16" s="99"/>
      <c r="F16" s="99"/>
      <c r="G16" s="99"/>
      <c r="H16" s="99"/>
      <c r="I16" s="99"/>
      <c r="J16" s="99"/>
      <c r="K16" s="99"/>
      <c r="L16" s="99"/>
      <c r="M16" s="99"/>
      <c r="N16" s="99"/>
      <c r="O16" s="99"/>
      <c r="P16" s="99"/>
      <c r="Q16" s="99"/>
      <c r="R16" s="100"/>
    </row>
    <row r="17" spans="2:19" x14ac:dyDescent="0.35">
      <c r="B17" s="86"/>
      <c r="C17" s="826" t="s">
        <v>14</v>
      </c>
      <c r="D17" s="826"/>
      <c r="E17" s="826"/>
      <c r="F17" s="826"/>
      <c r="G17" s="826"/>
      <c r="H17" s="826"/>
      <c r="I17" s="826"/>
      <c r="J17" s="826"/>
      <c r="K17" s="826"/>
      <c r="L17" s="826"/>
      <c r="M17" s="826"/>
      <c r="N17" s="826"/>
      <c r="O17" s="826"/>
      <c r="P17" s="826"/>
      <c r="Q17" s="826"/>
      <c r="R17" s="827"/>
    </row>
    <row r="18" spans="2:19" x14ac:dyDescent="0.35">
      <c r="B18" s="86"/>
      <c r="C18" s="826"/>
      <c r="D18" s="826"/>
      <c r="E18" s="826"/>
      <c r="F18" s="826"/>
      <c r="G18" s="826"/>
      <c r="H18" s="826"/>
      <c r="I18" s="826"/>
      <c r="J18" s="826"/>
      <c r="K18" s="826"/>
      <c r="L18" s="826"/>
      <c r="M18" s="826"/>
      <c r="N18" s="826"/>
      <c r="O18" s="826"/>
      <c r="P18" s="826"/>
      <c r="Q18" s="826"/>
      <c r="R18" s="827"/>
    </row>
    <row r="19" spans="2:19" ht="29.5" customHeight="1" x14ac:dyDescent="0.35">
      <c r="B19" s="86"/>
      <c r="C19" s="99"/>
      <c r="D19" s="99"/>
      <c r="E19" s="99"/>
      <c r="F19" s="99"/>
      <c r="G19" s="99"/>
      <c r="H19" s="99"/>
      <c r="I19" s="99"/>
      <c r="J19" s="99"/>
      <c r="K19" s="99"/>
      <c r="L19" s="99"/>
      <c r="M19" s="99"/>
      <c r="N19" s="99"/>
      <c r="O19" s="99"/>
      <c r="P19" s="99"/>
      <c r="Q19" s="99"/>
      <c r="R19" s="100"/>
    </row>
    <row r="20" spans="2:19" ht="28.5" customHeight="1" x14ac:dyDescent="0.35">
      <c r="B20" s="86"/>
      <c r="C20" s="99"/>
      <c r="D20" s="99"/>
      <c r="E20" s="99"/>
      <c r="F20" s="99"/>
      <c r="G20" s="99"/>
      <c r="H20" s="99"/>
      <c r="I20" s="99"/>
      <c r="J20" s="99"/>
      <c r="K20" s="99"/>
      <c r="L20" s="99"/>
      <c r="M20" s="99"/>
      <c r="N20" s="99"/>
      <c r="O20" s="99"/>
      <c r="P20" s="99"/>
      <c r="Q20" s="99"/>
      <c r="R20" s="100"/>
    </row>
    <row r="21" spans="2:19" x14ac:dyDescent="0.35">
      <c r="B21" s="86"/>
      <c r="C21" s="99"/>
      <c r="D21" s="99"/>
      <c r="E21" s="99"/>
      <c r="F21" s="99"/>
      <c r="G21" s="99"/>
      <c r="H21" s="99"/>
      <c r="I21" s="99"/>
      <c r="J21" s="99"/>
      <c r="K21" s="99"/>
      <c r="L21" s="99"/>
      <c r="M21" s="99"/>
      <c r="N21" s="99"/>
      <c r="O21" s="99"/>
      <c r="P21" s="99"/>
      <c r="Q21" s="99"/>
      <c r="R21" s="100"/>
    </row>
    <row r="22" spans="2:19" x14ac:dyDescent="0.35">
      <c r="B22" s="86"/>
      <c r="C22" s="99"/>
      <c r="D22" s="99"/>
      <c r="E22" s="99"/>
      <c r="F22" s="99"/>
      <c r="G22" s="99"/>
      <c r="H22" s="99"/>
      <c r="I22" s="99"/>
      <c r="J22" s="99"/>
      <c r="K22" s="99"/>
      <c r="L22" s="99"/>
      <c r="M22" s="99"/>
      <c r="N22" s="99"/>
      <c r="O22" s="99"/>
      <c r="P22" s="99"/>
      <c r="Q22" s="99"/>
      <c r="R22" s="100"/>
    </row>
    <row r="23" spans="2:19" x14ac:dyDescent="0.35">
      <c r="B23" s="86"/>
      <c r="C23" s="99" t="s">
        <v>15</v>
      </c>
      <c r="D23" s="99"/>
      <c r="E23" s="99"/>
      <c r="F23" s="99"/>
      <c r="G23" s="99"/>
      <c r="H23" s="99"/>
      <c r="I23" s="99"/>
      <c r="J23" s="99"/>
      <c r="K23" s="99"/>
      <c r="L23" s="99"/>
      <c r="M23" s="99"/>
      <c r="N23" s="99"/>
      <c r="O23" s="99"/>
      <c r="P23" s="99"/>
      <c r="Q23" s="99"/>
      <c r="R23" s="100"/>
    </row>
    <row r="24" spans="2:19" ht="28.5" customHeight="1" x14ac:dyDescent="0.35">
      <c r="B24" s="86"/>
      <c r="C24" s="99"/>
      <c r="D24" s="99"/>
      <c r="E24" s="99"/>
      <c r="F24" s="99"/>
      <c r="G24" s="99"/>
      <c r="H24" s="99"/>
      <c r="I24" s="99"/>
      <c r="J24" s="99"/>
      <c r="K24" s="99"/>
      <c r="L24" s="99"/>
      <c r="M24" s="99"/>
      <c r="N24" s="99"/>
      <c r="O24" s="99"/>
      <c r="P24" s="99"/>
      <c r="Q24" s="99"/>
      <c r="R24" s="100"/>
    </row>
    <row r="25" spans="2:19" x14ac:dyDescent="0.35">
      <c r="B25" s="86"/>
      <c r="C25" s="99"/>
      <c r="D25" s="99"/>
      <c r="E25" s="99"/>
      <c r="F25" s="99"/>
      <c r="G25" s="99"/>
      <c r="H25" s="99"/>
      <c r="I25" s="99"/>
      <c r="J25" s="99"/>
      <c r="K25" s="99"/>
      <c r="L25" s="99"/>
      <c r="M25" s="99"/>
      <c r="N25" s="99"/>
      <c r="O25" s="99"/>
      <c r="P25" s="99"/>
      <c r="Q25" s="99"/>
      <c r="R25" s="100"/>
    </row>
    <row r="26" spans="2:19" x14ac:dyDescent="0.35">
      <c r="B26" s="86"/>
      <c r="C26" s="99"/>
      <c r="D26" s="99"/>
      <c r="E26" s="99"/>
      <c r="F26" s="99"/>
      <c r="G26" s="99"/>
      <c r="H26" s="99"/>
      <c r="I26" s="99"/>
      <c r="J26" s="99"/>
      <c r="K26" s="99"/>
      <c r="L26" s="99"/>
      <c r="M26" s="99"/>
      <c r="N26" s="99"/>
      <c r="O26" s="99"/>
      <c r="P26" s="99"/>
      <c r="Q26" s="99"/>
      <c r="R26" s="100"/>
    </row>
    <row r="27" spans="2:19" x14ac:dyDescent="0.35">
      <c r="B27" s="86"/>
      <c r="C27" s="99"/>
      <c r="D27" s="99"/>
      <c r="E27" s="99"/>
      <c r="F27" s="99"/>
      <c r="G27" s="99"/>
      <c r="H27" s="99"/>
      <c r="I27" s="99"/>
      <c r="J27" s="99"/>
      <c r="K27" s="99"/>
      <c r="L27" s="99"/>
      <c r="M27" s="99"/>
      <c r="N27" s="99"/>
      <c r="O27" s="99"/>
      <c r="P27" s="99"/>
      <c r="Q27" s="99"/>
      <c r="R27" s="100"/>
    </row>
    <row r="28" spans="2:19" x14ac:dyDescent="0.35">
      <c r="B28" s="86"/>
      <c r="C28" s="99"/>
      <c r="D28" s="99"/>
      <c r="E28" s="99"/>
      <c r="F28" s="99"/>
      <c r="G28" s="99"/>
      <c r="H28" s="99"/>
      <c r="I28" s="99"/>
      <c r="J28" s="99"/>
      <c r="K28" s="99"/>
      <c r="L28" s="99"/>
      <c r="M28" s="99"/>
      <c r="N28" s="99"/>
      <c r="O28" s="99"/>
      <c r="P28" s="99"/>
      <c r="Q28" s="99"/>
      <c r="R28" s="100"/>
    </row>
    <row r="29" spans="2:19" ht="19.5" customHeight="1" x14ac:dyDescent="0.35">
      <c r="B29" s="86"/>
      <c r="C29" s="826" t="s">
        <v>16</v>
      </c>
      <c r="D29" s="826"/>
      <c r="E29" s="826"/>
      <c r="F29" s="826"/>
      <c r="G29" s="826"/>
      <c r="H29" s="826"/>
      <c r="I29" s="826"/>
      <c r="J29" s="826"/>
      <c r="K29" s="826"/>
      <c r="L29" s="826"/>
      <c r="M29" s="826"/>
      <c r="N29" s="826"/>
      <c r="O29" s="826"/>
      <c r="P29" s="826"/>
      <c r="Q29" s="826"/>
      <c r="R29" s="827"/>
      <c r="S29" s="16"/>
    </row>
    <row r="30" spans="2:19" x14ac:dyDescent="0.35">
      <c r="B30" s="86"/>
      <c r="C30" s="826"/>
      <c r="D30" s="826"/>
      <c r="E30" s="826"/>
      <c r="F30" s="826"/>
      <c r="G30" s="826"/>
      <c r="H30" s="826"/>
      <c r="I30" s="826"/>
      <c r="J30" s="826"/>
      <c r="K30" s="826"/>
      <c r="L30" s="826"/>
      <c r="M30" s="826"/>
      <c r="N30" s="826"/>
      <c r="O30" s="826"/>
      <c r="P30" s="826"/>
      <c r="Q30" s="826"/>
      <c r="R30" s="827"/>
      <c r="S30" s="16"/>
    </row>
    <row r="31" spans="2:19" x14ac:dyDescent="0.35">
      <c r="B31" s="86"/>
      <c r="C31" s="97"/>
      <c r="D31" s="97"/>
      <c r="E31" s="97"/>
      <c r="F31" s="97"/>
      <c r="G31" s="97"/>
      <c r="H31" s="97"/>
      <c r="I31" s="97"/>
      <c r="J31" s="97"/>
      <c r="K31" s="97"/>
      <c r="L31" s="97"/>
      <c r="M31" s="97"/>
      <c r="N31" s="97"/>
      <c r="O31" s="97"/>
      <c r="P31" s="97"/>
      <c r="Q31" s="97"/>
      <c r="R31" s="98"/>
      <c r="S31" s="16"/>
    </row>
    <row r="32" spans="2:19" x14ac:dyDescent="0.35">
      <c r="B32" s="86"/>
      <c r="C32" s="99"/>
      <c r="D32" s="99"/>
      <c r="E32" s="99"/>
      <c r="F32" s="99"/>
      <c r="G32" s="99"/>
      <c r="H32" s="99"/>
      <c r="I32" s="99"/>
      <c r="J32" s="99"/>
      <c r="K32" s="99"/>
      <c r="L32" s="99"/>
      <c r="M32" s="99"/>
      <c r="N32" s="99"/>
      <c r="O32" s="99"/>
      <c r="P32" s="99"/>
      <c r="Q32" s="99"/>
      <c r="R32" s="100"/>
    </row>
    <row r="33" spans="2:18" x14ac:dyDescent="0.35">
      <c r="B33" s="86"/>
      <c r="C33" s="99"/>
      <c r="D33" s="99"/>
      <c r="E33" s="99"/>
      <c r="F33" s="99"/>
      <c r="G33" s="99"/>
      <c r="H33" s="99"/>
      <c r="I33" s="99"/>
      <c r="J33" s="99"/>
      <c r="K33" s="99"/>
      <c r="L33" s="99"/>
      <c r="M33" s="99"/>
      <c r="N33" s="99"/>
      <c r="O33" s="99"/>
      <c r="P33" s="99"/>
      <c r="Q33" s="99"/>
      <c r="R33" s="100"/>
    </row>
    <row r="34" spans="2:18" x14ac:dyDescent="0.35">
      <c r="B34" s="86"/>
      <c r="C34" s="99"/>
      <c r="D34" s="99"/>
      <c r="E34" s="99"/>
      <c r="F34" s="99"/>
      <c r="G34" s="99"/>
      <c r="H34" s="99"/>
      <c r="I34" s="99"/>
      <c r="J34" s="99"/>
      <c r="K34" s="99"/>
      <c r="L34" s="99"/>
      <c r="M34" s="99"/>
      <c r="N34" s="99"/>
      <c r="O34" s="99"/>
      <c r="P34" s="99"/>
      <c r="Q34" s="99"/>
      <c r="R34" s="100"/>
    </row>
    <row r="35" spans="2:18" x14ac:dyDescent="0.35">
      <c r="B35" s="86"/>
      <c r="C35" s="99"/>
      <c r="D35" s="99"/>
      <c r="E35" s="99"/>
      <c r="F35" s="99"/>
      <c r="G35" s="99"/>
      <c r="H35" s="99"/>
      <c r="I35" s="99"/>
      <c r="J35" s="99"/>
      <c r="K35" s="99"/>
      <c r="L35" s="99"/>
      <c r="M35" s="99"/>
      <c r="N35" s="99"/>
      <c r="O35" s="99"/>
      <c r="P35" s="99"/>
      <c r="Q35" s="99"/>
      <c r="R35" s="100"/>
    </row>
    <row r="36" spans="2:18" x14ac:dyDescent="0.35">
      <c r="B36" s="86"/>
      <c r="C36" s="826" t="s">
        <v>17</v>
      </c>
      <c r="D36" s="826"/>
      <c r="E36" s="826"/>
      <c r="F36" s="826"/>
      <c r="G36" s="826"/>
      <c r="H36" s="826"/>
      <c r="I36" s="826"/>
      <c r="J36" s="826"/>
      <c r="K36" s="826"/>
      <c r="L36" s="826"/>
      <c r="M36" s="826"/>
      <c r="N36" s="826"/>
      <c r="O36" s="826"/>
      <c r="P36" s="826"/>
      <c r="Q36" s="826"/>
      <c r="R36" s="827"/>
    </row>
    <row r="37" spans="2:18" x14ac:dyDescent="0.35">
      <c r="B37" s="86"/>
      <c r="C37" s="826"/>
      <c r="D37" s="826"/>
      <c r="E37" s="826"/>
      <c r="F37" s="826"/>
      <c r="G37" s="826"/>
      <c r="H37" s="826"/>
      <c r="I37" s="826"/>
      <c r="J37" s="826"/>
      <c r="K37" s="826"/>
      <c r="L37" s="826"/>
      <c r="M37" s="826"/>
      <c r="N37" s="826"/>
      <c r="O37" s="826"/>
      <c r="P37" s="826"/>
      <c r="Q37" s="826"/>
      <c r="R37" s="827"/>
    </row>
    <row r="38" spans="2:18" x14ac:dyDescent="0.35">
      <c r="B38" s="86"/>
      <c r="C38" s="332"/>
      <c r="D38" s="332"/>
      <c r="E38" s="332"/>
      <c r="F38" s="332"/>
      <c r="G38" s="332"/>
      <c r="H38" s="332"/>
      <c r="I38" s="332"/>
      <c r="J38" s="332"/>
      <c r="K38" s="332"/>
      <c r="L38" s="332"/>
      <c r="M38" s="332"/>
      <c r="N38" s="332"/>
      <c r="O38" s="332"/>
      <c r="P38" s="332"/>
      <c r="Q38" s="332"/>
      <c r="R38" s="91"/>
    </row>
    <row r="39" spans="2:18" x14ac:dyDescent="0.35">
      <c r="B39" s="86"/>
      <c r="C39" s="87"/>
      <c r="D39" s="87"/>
      <c r="E39" s="87"/>
      <c r="F39" s="87"/>
      <c r="G39" s="87"/>
      <c r="H39" s="87"/>
      <c r="I39" s="87"/>
      <c r="J39" s="87"/>
      <c r="K39" s="87"/>
      <c r="L39" s="87"/>
      <c r="M39" s="87"/>
      <c r="N39" s="87"/>
      <c r="O39" s="87"/>
      <c r="P39" s="87"/>
      <c r="Q39" s="87"/>
      <c r="R39" s="88"/>
    </row>
    <row r="40" spans="2:18" x14ac:dyDescent="0.35">
      <c r="B40" s="86"/>
      <c r="C40" s="87"/>
      <c r="D40" s="87"/>
      <c r="E40" s="87"/>
      <c r="F40" s="87"/>
      <c r="G40" s="87"/>
      <c r="H40" s="87"/>
      <c r="I40" s="87"/>
      <c r="J40" s="87"/>
      <c r="K40" s="87"/>
      <c r="L40" s="87"/>
      <c r="M40" s="87"/>
      <c r="N40" s="87"/>
      <c r="O40" s="87"/>
      <c r="P40" s="87"/>
      <c r="Q40" s="87"/>
      <c r="R40" s="88"/>
    </row>
    <row r="41" spans="2:18" x14ac:dyDescent="0.35">
      <c r="B41" s="86"/>
      <c r="C41" s="87"/>
      <c r="D41" s="87"/>
      <c r="E41" s="87"/>
      <c r="F41" s="87"/>
      <c r="G41" s="87"/>
      <c r="H41" s="87"/>
      <c r="I41" s="87"/>
      <c r="J41" s="87"/>
      <c r="K41" s="87"/>
      <c r="L41" s="87"/>
      <c r="M41" s="87"/>
      <c r="N41" s="87"/>
      <c r="O41" s="87"/>
      <c r="P41" s="87"/>
      <c r="Q41" s="87"/>
      <c r="R41" s="88"/>
    </row>
    <row r="42" spans="2:18" x14ac:dyDescent="0.35">
      <c r="B42" s="86"/>
      <c r="C42" s="87"/>
      <c r="D42" s="87"/>
      <c r="E42" s="87"/>
      <c r="F42" s="87"/>
      <c r="G42" s="87"/>
      <c r="H42" s="87"/>
      <c r="I42" s="87"/>
      <c r="J42" s="87"/>
      <c r="K42" s="87"/>
      <c r="L42" s="87"/>
      <c r="M42" s="87"/>
      <c r="N42" s="87"/>
      <c r="O42" s="87"/>
      <c r="P42" s="87"/>
      <c r="Q42" s="87"/>
      <c r="R42" s="88"/>
    </row>
    <row r="43" spans="2:18" x14ac:dyDescent="0.35">
      <c r="B43" s="86"/>
      <c r="C43" s="826" t="s">
        <v>18</v>
      </c>
      <c r="D43" s="826"/>
      <c r="E43" s="826"/>
      <c r="F43" s="826"/>
      <c r="G43" s="826"/>
      <c r="H43" s="826"/>
      <c r="I43" s="826"/>
      <c r="J43" s="826"/>
      <c r="K43" s="826"/>
      <c r="L43" s="826"/>
      <c r="M43" s="826"/>
      <c r="N43" s="826"/>
      <c r="O43" s="826"/>
      <c r="P43" s="826"/>
      <c r="Q43" s="826"/>
      <c r="R43" s="827"/>
    </row>
    <row r="44" spans="2:18" x14ac:dyDescent="0.35">
      <c r="B44" s="86"/>
      <c r="C44" s="826"/>
      <c r="D44" s="826"/>
      <c r="E44" s="826"/>
      <c r="F44" s="826"/>
      <c r="G44" s="826"/>
      <c r="H44" s="826"/>
      <c r="I44" s="826"/>
      <c r="J44" s="826"/>
      <c r="K44" s="826"/>
      <c r="L44" s="826"/>
      <c r="M44" s="826"/>
      <c r="N44" s="826"/>
      <c r="O44" s="826"/>
      <c r="P44" s="826"/>
      <c r="Q44" s="826"/>
      <c r="R44" s="827"/>
    </row>
    <row r="45" spans="2:18" x14ac:dyDescent="0.35">
      <c r="B45" s="86"/>
      <c r="C45" s="87"/>
      <c r="D45" s="87"/>
      <c r="E45" s="87"/>
      <c r="F45" s="87"/>
      <c r="G45" s="87"/>
      <c r="H45" s="87"/>
      <c r="I45" s="87"/>
      <c r="J45" s="87"/>
      <c r="K45" s="87"/>
      <c r="L45" s="87"/>
      <c r="M45" s="87"/>
      <c r="N45" s="87"/>
      <c r="O45" s="87"/>
      <c r="P45" s="87"/>
      <c r="Q45" s="87"/>
      <c r="R45" s="88"/>
    </row>
    <row r="46" spans="2:18" x14ac:dyDescent="0.35">
      <c r="B46" s="86"/>
      <c r="C46" s="87"/>
      <c r="D46" s="87"/>
      <c r="E46" s="87"/>
      <c r="F46" s="87"/>
      <c r="G46" s="87"/>
      <c r="H46" s="87"/>
      <c r="I46" s="87"/>
      <c r="J46" s="87"/>
      <c r="K46" s="87"/>
      <c r="L46" s="87"/>
      <c r="M46" s="87"/>
      <c r="N46" s="87"/>
      <c r="O46" s="87"/>
      <c r="P46" s="87"/>
      <c r="Q46" s="87"/>
      <c r="R46" s="88"/>
    </row>
    <row r="47" spans="2:18" ht="19.5" customHeight="1" x14ac:dyDescent="0.35">
      <c r="B47" s="86"/>
      <c r="C47" s="87"/>
      <c r="D47" s="87"/>
      <c r="E47" s="87"/>
      <c r="F47" s="87"/>
      <c r="G47" s="87"/>
      <c r="H47" s="87"/>
      <c r="I47" s="87"/>
      <c r="J47" s="87"/>
      <c r="K47" s="87"/>
      <c r="L47" s="87"/>
      <c r="M47" s="87"/>
      <c r="N47" s="87"/>
      <c r="O47" s="87"/>
      <c r="P47" s="87"/>
      <c r="Q47" s="87"/>
      <c r="R47" s="88"/>
    </row>
    <row r="48" spans="2:18" ht="21.65" customHeight="1" thickBot="1" x14ac:dyDescent="0.4">
      <c r="B48" s="86"/>
      <c r="C48" s="87"/>
      <c r="D48" s="87"/>
      <c r="E48" s="87"/>
      <c r="F48" s="87"/>
      <c r="G48" s="87"/>
      <c r="H48" s="87"/>
      <c r="I48" s="87"/>
      <c r="J48" s="87"/>
      <c r="K48" s="87"/>
      <c r="L48" s="87"/>
      <c r="M48" s="87"/>
      <c r="N48" s="87"/>
      <c r="O48" s="87"/>
      <c r="P48" s="87"/>
      <c r="Q48" s="87"/>
      <c r="R48" s="88"/>
    </row>
    <row r="49" spans="2:18" ht="16" thickBot="1" x14ac:dyDescent="0.4">
      <c r="B49" s="822"/>
      <c r="C49" s="823"/>
      <c r="D49" s="823"/>
      <c r="E49" s="823"/>
      <c r="F49" s="823"/>
      <c r="G49" s="823"/>
      <c r="H49" s="823"/>
      <c r="I49" s="823"/>
      <c r="J49" s="823"/>
      <c r="K49" s="823"/>
      <c r="L49" s="823"/>
      <c r="M49" s="823"/>
      <c r="N49" s="823"/>
      <c r="O49" s="823"/>
      <c r="P49" s="823"/>
      <c r="Q49" s="823"/>
      <c r="R49" s="824"/>
    </row>
    <row r="51" spans="2:18" ht="16" thickBot="1" x14ac:dyDescent="0.4"/>
    <row r="52" spans="2:18" ht="15.75" customHeight="1" x14ac:dyDescent="0.35">
      <c r="B52" s="828" t="s">
        <v>19</v>
      </c>
      <c r="C52" s="829"/>
      <c r="D52" s="829"/>
      <c r="E52" s="829"/>
      <c r="F52" s="829"/>
      <c r="G52" s="829"/>
      <c r="H52" s="829"/>
      <c r="I52" s="829"/>
      <c r="J52" s="829"/>
      <c r="K52" s="829"/>
      <c r="L52" s="829"/>
      <c r="M52" s="829"/>
      <c r="N52" s="829"/>
      <c r="O52" s="829"/>
      <c r="P52" s="829"/>
      <c r="Q52" s="829"/>
      <c r="R52" s="830"/>
    </row>
    <row r="53" spans="2:18" x14ac:dyDescent="0.35">
      <c r="B53" s="831"/>
      <c r="C53" s="832"/>
      <c r="D53" s="832"/>
      <c r="E53" s="832"/>
      <c r="F53" s="832"/>
      <c r="G53" s="832"/>
      <c r="H53" s="832"/>
      <c r="I53" s="832"/>
      <c r="J53" s="832"/>
      <c r="K53" s="832"/>
      <c r="L53" s="832"/>
      <c r="M53" s="832"/>
      <c r="N53" s="832"/>
      <c r="O53" s="832"/>
      <c r="P53" s="832"/>
      <c r="Q53" s="832"/>
      <c r="R53" s="833"/>
    </row>
    <row r="54" spans="2:18" x14ac:dyDescent="0.35">
      <c r="B54" s="831"/>
      <c r="C54" s="832"/>
      <c r="D54" s="832"/>
      <c r="E54" s="832"/>
      <c r="F54" s="832"/>
      <c r="G54" s="832"/>
      <c r="H54" s="832"/>
      <c r="I54" s="832"/>
      <c r="J54" s="832"/>
      <c r="K54" s="832"/>
      <c r="L54" s="832"/>
      <c r="M54" s="832"/>
      <c r="N54" s="832"/>
      <c r="O54" s="832"/>
      <c r="P54" s="832"/>
      <c r="Q54" s="832"/>
      <c r="R54" s="833"/>
    </row>
    <row r="55" spans="2:18" x14ac:dyDescent="0.35">
      <c r="B55" s="831"/>
      <c r="C55" s="832"/>
      <c r="D55" s="832"/>
      <c r="E55" s="832"/>
      <c r="F55" s="832"/>
      <c r="G55" s="832"/>
      <c r="H55" s="832"/>
      <c r="I55" s="832"/>
      <c r="J55" s="832"/>
      <c r="K55" s="832"/>
      <c r="L55" s="832"/>
      <c r="M55" s="832"/>
      <c r="N55" s="832"/>
      <c r="O55" s="832"/>
      <c r="P55" s="832"/>
      <c r="Q55" s="832"/>
      <c r="R55" s="833"/>
    </row>
    <row r="56" spans="2:18" x14ac:dyDescent="0.35">
      <c r="B56" s="831"/>
      <c r="C56" s="832"/>
      <c r="D56" s="832"/>
      <c r="E56" s="832"/>
      <c r="F56" s="832"/>
      <c r="G56" s="832"/>
      <c r="H56" s="832"/>
      <c r="I56" s="832"/>
      <c r="J56" s="832"/>
      <c r="K56" s="832"/>
      <c r="L56" s="832"/>
      <c r="M56" s="832"/>
      <c r="N56" s="832"/>
      <c r="O56" s="832"/>
      <c r="P56" s="832"/>
      <c r="Q56" s="832"/>
      <c r="R56" s="833"/>
    </row>
    <row r="57" spans="2:18" x14ac:dyDescent="0.35">
      <c r="B57" s="831"/>
      <c r="C57" s="832"/>
      <c r="D57" s="832"/>
      <c r="E57" s="832"/>
      <c r="F57" s="832"/>
      <c r="G57" s="832"/>
      <c r="H57" s="832"/>
      <c r="I57" s="832"/>
      <c r="J57" s="832"/>
      <c r="K57" s="832"/>
      <c r="L57" s="832"/>
      <c r="M57" s="832"/>
      <c r="N57" s="832"/>
      <c r="O57" s="832"/>
      <c r="P57" s="832"/>
      <c r="Q57" s="832"/>
      <c r="R57" s="833"/>
    </row>
    <row r="58" spans="2:18" x14ac:dyDescent="0.35">
      <c r="B58" s="831"/>
      <c r="C58" s="832"/>
      <c r="D58" s="832"/>
      <c r="E58" s="832"/>
      <c r="F58" s="832"/>
      <c r="G58" s="832"/>
      <c r="H58" s="832"/>
      <c r="I58" s="832"/>
      <c r="J58" s="832"/>
      <c r="K58" s="832"/>
      <c r="L58" s="832"/>
      <c r="M58" s="832"/>
      <c r="N58" s="832"/>
      <c r="O58" s="832"/>
      <c r="P58" s="832"/>
      <c r="Q58" s="832"/>
      <c r="R58" s="833"/>
    </row>
    <row r="59" spans="2:18" x14ac:dyDescent="0.35">
      <c r="B59" s="831"/>
      <c r="C59" s="832"/>
      <c r="D59" s="832"/>
      <c r="E59" s="832"/>
      <c r="F59" s="832"/>
      <c r="G59" s="832"/>
      <c r="H59" s="832"/>
      <c r="I59" s="832"/>
      <c r="J59" s="832"/>
      <c r="K59" s="832"/>
      <c r="L59" s="832"/>
      <c r="M59" s="832"/>
      <c r="N59" s="832"/>
      <c r="O59" s="832"/>
      <c r="P59" s="832"/>
      <c r="Q59" s="832"/>
      <c r="R59" s="833"/>
    </row>
    <row r="60" spans="2:18" x14ac:dyDescent="0.35">
      <c r="B60" s="831"/>
      <c r="C60" s="832"/>
      <c r="D60" s="832"/>
      <c r="E60" s="832"/>
      <c r="F60" s="832"/>
      <c r="G60" s="832"/>
      <c r="H60" s="832"/>
      <c r="I60" s="832"/>
      <c r="J60" s="832"/>
      <c r="K60" s="832"/>
      <c r="L60" s="832"/>
      <c r="M60" s="832"/>
      <c r="N60" s="832"/>
      <c r="O60" s="832"/>
      <c r="P60" s="832"/>
      <c r="Q60" s="832"/>
      <c r="R60" s="833"/>
    </row>
    <row r="61" spans="2:18" x14ac:dyDescent="0.35">
      <c r="B61" s="831"/>
      <c r="C61" s="832"/>
      <c r="D61" s="832"/>
      <c r="E61" s="832"/>
      <c r="F61" s="832"/>
      <c r="G61" s="832"/>
      <c r="H61" s="832"/>
      <c r="I61" s="832"/>
      <c r="J61" s="832"/>
      <c r="K61" s="832"/>
      <c r="L61" s="832"/>
      <c r="M61" s="832"/>
      <c r="N61" s="832"/>
      <c r="O61" s="832"/>
      <c r="P61" s="832"/>
      <c r="Q61" s="832"/>
      <c r="R61" s="833"/>
    </row>
    <row r="62" spans="2:18" x14ac:dyDescent="0.35">
      <c r="B62" s="831"/>
      <c r="C62" s="832"/>
      <c r="D62" s="832"/>
      <c r="E62" s="832"/>
      <c r="F62" s="832"/>
      <c r="G62" s="832"/>
      <c r="H62" s="832"/>
      <c r="I62" s="832"/>
      <c r="J62" s="832"/>
      <c r="K62" s="832"/>
      <c r="L62" s="832"/>
      <c r="M62" s="832"/>
      <c r="N62" s="832"/>
      <c r="O62" s="832"/>
      <c r="P62" s="832"/>
      <c r="Q62" s="832"/>
      <c r="R62" s="833"/>
    </row>
    <row r="63" spans="2:18" x14ac:dyDescent="0.35">
      <c r="B63" s="831"/>
      <c r="C63" s="832"/>
      <c r="D63" s="832"/>
      <c r="E63" s="832"/>
      <c r="F63" s="832"/>
      <c r="G63" s="832"/>
      <c r="H63" s="832"/>
      <c r="I63" s="832"/>
      <c r="J63" s="832"/>
      <c r="K63" s="832"/>
      <c r="L63" s="832"/>
      <c r="M63" s="832"/>
      <c r="N63" s="832"/>
      <c r="O63" s="832"/>
      <c r="P63" s="832"/>
      <c r="Q63" s="832"/>
      <c r="R63" s="833"/>
    </row>
    <row r="64" spans="2:18" x14ac:dyDescent="0.35">
      <c r="B64" s="831"/>
      <c r="C64" s="832"/>
      <c r="D64" s="832"/>
      <c r="E64" s="832"/>
      <c r="F64" s="832"/>
      <c r="G64" s="832"/>
      <c r="H64" s="832"/>
      <c r="I64" s="832"/>
      <c r="J64" s="832"/>
      <c r="K64" s="832"/>
      <c r="L64" s="832"/>
      <c r="M64" s="832"/>
      <c r="N64" s="832"/>
      <c r="O64" s="832"/>
      <c r="P64" s="832"/>
      <c r="Q64" s="832"/>
      <c r="R64" s="833"/>
    </row>
    <row r="65" spans="2:18" x14ac:dyDescent="0.35">
      <c r="B65" s="831"/>
      <c r="C65" s="832"/>
      <c r="D65" s="832"/>
      <c r="E65" s="832"/>
      <c r="F65" s="832"/>
      <c r="G65" s="832"/>
      <c r="H65" s="832"/>
      <c r="I65" s="832"/>
      <c r="J65" s="832"/>
      <c r="K65" s="832"/>
      <c r="L65" s="832"/>
      <c r="M65" s="832"/>
      <c r="N65" s="832"/>
      <c r="O65" s="832"/>
      <c r="P65" s="832"/>
      <c r="Q65" s="832"/>
      <c r="R65" s="833"/>
    </row>
    <row r="66" spans="2:18" x14ac:dyDescent="0.35">
      <c r="B66" s="831"/>
      <c r="C66" s="832"/>
      <c r="D66" s="832"/>
      <c r="E66" s="832"/>
      <c r="F66" s="832"/>
      <c r="G66" s="832"/>
      <c r="H66" s="832"/>
      <c r="I66" s="832"/>
      <c r="J66" s="832"/>
      <c r="K66" s="832"/>
      <c r="L66" s="832"/>
      <c r="M66" s="832"/>
      <c r="N66" s="832"/>
      <c r="O66" s="832"/>
      <c r="P66" s="832"/>
      <c r="Q66" s="832"/>
      <c r="R66" s="833"/>
    </row>
    <row r="67" spans="2:18" x14ac:dyDescent="0.35">
      <c r="B67" s="831"/>
      <c r="C67" s="832"/>
      <c r="D67" s="832"/>
      <c r="E67" s="832"/>
      <c r="F67" s="832"/>
      <c r="G67" s="832"/>
      <c r="H67" s="832"/>
      <c r="I67" s="832"/>
      <c r="J67" s="832"/>
      <c r="K67" s="832"/>
      <c r="L67" s="832"/>
      <c r="M67" s="832"/>
      <c r="N67" s="832"/>
      <c r="O67" s="832"/>
      <c r="P67" s="832"/>
      <c r="Q67" s="832"/>
      <c r="R67" s="833"/>
    </row>
    <row r="68" spans="2:18" x14ac:dyDescent="0.35">
      <c r="B68" s="831"/>
      <c r="C68" s="832"/>
      <c r="D68" s="832"/>
      <c r="E68" s="832"/>
      <c r="F68" s="832"/>
      <c r="G68" s="832"/>
      <c r="H68" s="832"/>
      <c r="I68" s="832"/>
      <c r="J68" s="832"/>
      <c r="K68" s="832"/>
      <c r="L68" s="832"/>
      <c r="M68" s="832"/>
      <c r="N68" s="832"/>
      <c r="O68" s="832"/>
      <c r="P68" s="832"/>
      <c r="Q68" s="832"/>
      <c r="R68" s="833"/>
    </row>
    <row r="69" spans="2:18" x14ac:dyDescent="0.35">
      <c r="B69" s="831"/>
      <c r="C69" s="832"/>
      <c r="D69" s="832"/>
      <c r="E69" s="832"/>
      <c r="F69" s="832"/>
      <c r="G69" s="832"/>
      <c r="H69" s="832"/>
      <c r="I69" s="832"/>
      <c r="J69" s="832"/>
      <c r="K69" s="832"/>
      <c r="L69" s="832"/>
      <c r="M69" s="832"/>
      <c r="N69" s="832"/>
      <c r="O69" s="832"/>
      <c r="P69" s="832"/>
      <c r="Q69" s="832"/>
      <c r="R69" s="833"/>
    </row>
    <row r="70" spans="2:18" x14ac:dyDescent="0.35">
      <c r="B70" s="831"/>
      <c r="C70" s="832"/>
      <c r="D70" s="832"/>
      <c r="E70" s="832"/>
      <c r="F70" s="832"/>
      <c r="G70" s="832"/>
      <c r="H70" s="832"/>
      <c r="I70" s="832"/>
      <c r="J70" s="832"/>
      <c r="K70" s="832"/>
      <c r="L70" s="832"/>
      <c r="M70" s="832"/>
      <c r="N70" s="832"/>
      <c r="O70" s="832"/>
      <c r="P70" s="832"/>
      <c r="Q70" s="832"/>
      <c r="R70" s="833"/>
    </row>
    <row r="71" spans="2:18" ht="61.5" customHeight="1" thickBot="1" x14ac:dyDescent="0.4">
      <c r="B71" s="834"/>
      <c r="C71" s="835"/>
      <c r="D71" s="835"/>
      <c r="E71" s="835"/>
      <c r="F71" s="835"/>
      <c r="G71" s="835"/>
      <c r="H71" s="835"/>
      <c r="I71" s="835"/>
      <c r="J71" s="835"/>
      <c r="K71" s="835"/>
      <c r="L71" s="835"/>
      <c r="M71" s="835"/>
      <c r="N71" s="835"/>
      <c r="O71" s="835"/>
      <c r="P71" s="835"/>
      <c r="Q71" s="835"/>
      <c r="R71" s="836"/>
    </row>
    <row r="72" spans="2:18" ht="16" thickBot="1" x14ac:dyDescent="0.4">
      <c r="B72" s="822"/>
      <c r="C72" s="823"/>
      <c r="D72" s="823"/>
      <c r="E72" s="823"/>
      <c r="F72" s="823"/>
      <c r="G72" s="823"/>
      <c r="H72" s="823"/>
      <c r="I72" s="823"/>
      <c r="J72" s="823"/>
      <c r="K72" s="823"/>
      <c r="L72" s="823"/>
      <c r="M72" s="823"/>
      <c r="N72" s="823"/>
      <c r="O72" s="823"/>
      <c r="P72" s="823"/>
      <c r="Q72" s="823"/>
      <c r="R72" s="824"/>
    </row>
  </sheetData>
  <sheetProtection algorithmName="SHA-512" hashValue="B/yHy7FuC4p5Y9dioAzuRAeraLALrZkLvFHFo/wZBKLrtJ/ocVqLoACvdcMSgdLuIAICXgzeDYu5sAGc9xjZxQ==" saltValue="Dx1UJ9gDPJ73Pv3BE7dKHQ==" spinCount="100000" sheet="1" objects="1" scenarios="1"/>
  <mergeCells count="17">
    <mergeCell ref="B2:R2"/>
    <mergeCell ref="C29:R30"/>
    <mergeCell ref="C36:R37"/>
    <mergeCell ref="C6:R6"/>
    <mergeCell ref="C9:L9"/>
    <mergeCell ref="C8:R8"/>
    <mergeCell ref="G7:I7"/>
    <mergeCell ref="K7:M7"/>
    <mergeCell ref="O7:Q7"/>
    <mergeCell ref="C10:Q11"/>
    <mergeCell ref="C7:F7"/>
    <mergeCell ref="B49:R49"/>
    <mergeCell ref="C3:O3"/>
    <mergeCell ref="C43:R44"/>
    <mergeCell ref="B72:R72"/>
    <mergeCell ref="B52:R71"/>
    <mergeCell ref="C17:R18"/>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customProperties>
    <customPr name="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zoomScale="89" zoomScaleNormal="89" zoomScaleSheetLayoutView="80" workbookViewId="0">
      <selection activeCell="H15" sqref="H15"/>
    </sheetView>
  </sheetViews>
  <sheetFormatPr defaultColWidth="9.1796875" defaultRowHeight="13" x14ac:dyDescent="0.3"/>
  <cols>
    <col min="1" max="1" width="4.453125" style="732" customWidth="1"/>
    <col min="2" max="2" width="21.81640625" style="733" customWidth="1"/>
    <col min="3" max="3" width="16.1796875" style="733" customWidth="1"/>
    <col min="4" max="4" width="15.54296875" style="734" customWidth="1"/>
    <col min="5" max="5" width="12.1796875" style="735" customWidth="1"/>
    <col min="6" max="6" width="23.7265625" style="735" customWidth="1"/>
    <col min="7" max="7" width="11.453125" style="735" customWidth="1"/>
    <col min="8" max="8" width="19.453125" style="736" customWidth="1"/>
    <col min="9" max="9" width="16" style="736" customWidth="1"/>
    <col min="10" max="10" width="21.54296875" style="736" customWidth="1"/>
    <col min="11" max="11" width="18.1796875" style="737" customWidth="1"/>
    <col min="12" max="12" width="19" style="737" customWidth="1"/>
    <col min="13" max="13" width="15.54296875" style="738" customWidth="1"/>
    <col min="14" max="14" width="16.453125" style="738" customWidth="1"/>
    <col min="15" max="15" width="18.453125" style="731" customWidth="1"/>
    <col min="16" max="17" width="15.54296875" style="731" customWidth="1"/>
    <col min="18" max="18" width="13.453125" style="732" hidden="1" customWidth="1"/>
    <col min="19" max="19" width="20.26953125" style="731" customWidth="1"/>
    <col min="20" max="20" width="3.54296875" style="731" hidden="1" customWidth="1"/>
    <col min="21" max="21" width="15.54296875" style="731" customWidth="1"/>
    <col min="22" max="22" width="20.1796875" style="731" customWidth="1"/>
    <col min="23" max="23" width="9.1796875" style="731" hidden="1" customWidth="1"/>
    <col min="24" max="24" width="13.54296875" style="731" hidden="1" customWidth="1"/>
    <col min="25" max="25" width="17.54296875" style="731" hidden="1" customWidth="1"/>
    <col min="26" max="26" width="6.453125" style="731" hidden="1" customWidth="1"/>
    <col min="27" max="27" width="9.1796875" style="731" hidden="1" customWidth="1"/>
    <col min="28" max="28" width="5.54296875" style="731" hidden="1" customWidth="1"/>
    <col min="29" max="32" width="16" style="731" hidden="1" customWidth="1"/>
    <col min="33" max="36" width="15.54296875" style="731" hidden="1" customWidth="1"/>
    <col min="37" max="37" width="17.453125" style="731" hidden="1" customWidth="1"/>
    <col min="38" max="38" width="21.453125" style="731" hidden="1" customWidth="1"/>
    <col min="39" max="43" width="9.1796875" style="731" hidden="1" customWidth="1"/>
    <col min="44" max="63" width="9.1796875" style="731" customWidth="1"/>
    <col min="64" max="16384" width="9.1796875" style="731"/>
  </cols>
  <sheetData>
    <row r="1" spans="1:43" ht="13.5" thickBot="1" x14ac:dyDescent="0.35">
      <c r="A1" s="17"/>
      <c r="B1" s="18"/>
      <c r="C1" s="18"/>
      <c r="D1" s="19"/>
      <c r="E1" s="20"/>
      <c r="F1" s="20"/>
      <c r="G1" s="20"/>
      <c r="H1" s="21"/>
      <c r="I1" s="21"/>
      <c r="J1" s="21"/>
      <c r="K1" s="22"/>
      <c r="L1" s="22"/>
      <c r="M1" s="23"/>
      <c r="N1" s="23"/>
      <c r="O1" s="24"/>
      <c r="P1" s="24"/>
      <c r="Q1" s="24"/>
      <c r="R1" s="17" t="s">
        <v>20</v>
      </c>
      <c r="S1" s="24"/>
      <c r="T1" s="24" t="s">
        <v>21</v>
      </c>
      <c r="U1" s="24"/>
      <c r="V1" s="24"/>
      <c r="W1" s="24"/>
      <c r="X1" s="24"/>
      <c r="Y1" s="24"/>
      <c r="Z1" s="24"/>
      <c r="AA1" s="24"/>
      <c r="AB1" s="24"/>
      <c r="AC1" s="24"/>
      <c r="AD1" s="24"/>
      <c r="AE1" s="24"/>
      <c r="AF1" s="24"/>
      <c r="AG1" s="24"/>
      <c r="AH1" s="24"/>
      <c r="AI1" s="24"/>
      <c r="AJ1" s="24"/>
      <c r="AK1" s="24"/>
      <c r="AL1" s="24"/>
      <c r="AM1" s="24"/>
      <c r="AN1" s="24"/>
      <c r="AO1" s="24"/>
      <c r="AP1" s="24"/>
      <c r="AQ1" s="24"/>
    </row>
    <row r="2" spans="1:43" ht="13.5" customHeight="1" thickBot="1" x14ac:dyDescent="0.35">
      <c r="A2" s="486"/>
      <c r="B2" s="487"/>
      <c r="C2" s="487"/>
      <c r="D2" s="488"/>
      <c r="E2" s="489"/>
      <c r="F2" s="489"/>
      <c r="G2" s="489"/>
      <c r="H2" s="490"/>
      <c r="I2" s="490"/>
      <c r="J2" s="490"/>
      <c r="K2" s="491"/>
      <c r="L2" s="491"/>
      <c r="M2" s="492"/>
      <c r="N2" s="492"/>
      <c r="O2" s="493"/>
      <c r="P2" s="493"/>
      <c r="Q2" s="493"/>
      <c r="R2" s="494"/>
      <c r="S2" s="493"/>
      <c r="T2" s="493"/>
      <c r="U2" s="493"/>
      <c r="V2" s="495"/>
      <c r="W2" s="24"/>
      <c r="X2" s="24"/>
      <c r="Y2" s="24"/>
      <c r="Z2" s="24"/>
      <c r="AA2" s="24"/>
      <c r="AB2" s="24"/>
      <c r="AC2" s="24"/>
      <c r="AD2" s="24"/>
      <c r="AE2" s="24"/>
      <c r="AF2" s="24"/>
      <c r="AG2" s="24"/>
      <c r="AH2" s="24"/>
      <c r="AI2" s="24"/>
      <c r="AJ2" s="24"/>
      <c r="AK2" s="24"/>
      <c r="AL2" s="24"/>
      <c r="AM2" s="24"/>
      <c r="AN2" s="24"/>
      <c r="AO2" s="24"/>
      <c r="AP2" s="24"/>
      <c r="AQ2" s="24" t="s">
        <v>22</v>
      </c>
    </row>
    <row r="3" spans="1:43" ht="26.25" customHeight="1" x14ac:dyDescent="0.35">
      <c r="A3" s="496"/>
      <c r="B3" s="871" t="s">
        <v>23</v>
      </c>
      <c r="C3" s="872"/>
      <c r="D3" s="869"/>
      <c r="E3" s="869"/>
      <c r="F3" s="869"/>
      <c r="G3" s="870"/>
      <c r="H3" s="497"/>
      <c r="I3" s="498"/>
      <c r="J3" s="499" t="s">
        <v>24</v>
      </c>
      <c r="K3" s="498"/>
      <c r="L3" s="500"/>
      <c r="M3" s="501"/>
      <c r="N3" s="122" t="s">
        <v>25</v>
      </c>
      <c r="O3" s="123"/>
      <c r="P3" s="502"/>
      <c r="Q3" s="503"/>
      <c r="R3" s="504" t="str">
        <f>IF($D$4="Recycling Fund","Client Additional Fund:","")</f>
        <v/>
      </c>
      <c r="S3" s="505"/>
      <c r="T3" s="505"/>
      <c r="U3" s="875"/>
      <c r="V3" s="876"/>
      <c r="W3" s="11"/>
      <c r="X3" s="11"/>
      <c r="Y3" s="24"/>
      <c r="Z3" s="24"/>
      <c r="AA3" s="24"/>
      <c r="AB3" s="24"/>
      <c r="AC3" s="24"/>
      <c r="AD3" s="24"/>
      <c r="AE3" s="24"/>
      <c r="AF3" s="24"/>
      <c r="AG3" s="24"/>
      <c r="AH3" s="24"/>
      <c r="AI3" s="24"/>
      <c r="AJ3" s="24"/>
      <c r="AK3" s="24"/>
      <c r="AL3" s="24"/>
      <c r="AM3" s="24"/>
      <c r="AN3" s="24"/>
      <c r="AO3" s="24"/>
      <c r="AP3" s="24"/>
      <c r="AQ3" s="24" t="s">
        <v>22</v>
      </c>
    </row>
    <row r="4" spans="1:43" ht="26.25" customHeight="1" thickBot="1" x14ac:dyDescent="0.4">
      <c r="A4" s="506"/>
      <c r="B4" s="848" t="s">
        <v>26</v>
      </c>
      <c r="C4" s="849"/>
      <c r="D4" s="854"/>
      <c r="E4" s="854" t="s">
        <v>28</v>
      </c>
      <c r="F4" s="854" t="s">
        <v>28</v>
      </c>
      <c r="G4" s="855" t="s">
        <v>28</v>
      </c>
      <c r="H4" s="507"/>
      <c r="I4" s="498"/>
      <c r="J4" s="508" t="s">
        <v>29</v>
      </c>
      <c r="K4" s="356"/>
      <c r="L4" s="500"/>
      <c r="M4" s="501"/>
      <c r="N4" s="102" t="s">
        <v>30</v>
      </c>
      <c r="O4" s="475" t="str">
        <f>IF($D$4="","",'Extra look-up'!F76&amp;" o flynyddoedd")</f>
        <v/>
      </c>
      <c r="P4" s="509"/>
      <c r="Q4" s="336"/>
      <c r="R4" s="510" t="str">
        <f>IF($D$4="Recycling Fund","10 years","")</f>
        <v/>
      </c>
      <c r="S4" s="505"/>
      <c r="T4" s="505"/>
      <c r="U4" s="875"/>
      <c r="V4" s="876"/>
      <c r="W4" s="11"/>
      <c r="X4" s="11"/>
      <c r="Y4" s="24"/>
      <c r="Z4" s="24"/>
      <c r="AA4" s="24"/>
      <c r="AB4" s="24"/>
      <c r="AC4" s="24"/>
      <c r="AD4" s="24"/>
      <c r="AE4" s="24"/>
      <c r="AF4" s="24"/>
      <c r="AG4" s="24"/>
      <c r="AH4" s="24"/>
      <c r="AI4" s="24"/>
      <c r="AJ4" s="24"/>
      <c r="AK4" s="24"/>
      <c r="AL4" s="24"/>
      <c r="AM4" s="24"/>
      <c r="AN4" s="24"/>
      <c r="AO4" s="24"/>
      <c r="AP4" s="24"/>
      <c r="AQ4" s="24" t="s">
        <v>22</v>
      </c>
    </row>
    <row r="5" spans="1:43" ht="26.25" customHeight="1" x14ac:dyDescent="0.35">
      <c r="A5" s="506"/>
      <c r="B5" s="511"/>
      <c r="C5" s="511"/>
      <c r="D5" s="511"/>
      <c r="E5" s="511"/>
      <c r="F5" s="511"/>
      <c r="G5" s="511"/>
      <c r="H5" s="507"/>
      <c r="I5" s="511"/>
      <c r="J5" s="357" t="str">
        <f ca="1">"© Salix Finance "&amp;YEAR(NOW())</f>
        <v>© Salix Finance 2024</v>
      </c>
      <c r="K5" s="511"/>
      <c r="L5" s="500"/>
      <c r="M5" s="501"/>
      <c r="N5" s="102" t="s">
        <v>31</v>
      </c>
      <c r="O5" s="103" t="str">
        <f>IF($D$4="","","£"&amp;'Extra look-up'!G76)</f>
        <v/>
      </c>
      <c r="P5" s="509"/>
      <c r="Q5" s="336"/>
      <c r="R5" s="510" t="str">
        <f>IF($D$4="Recycling Fund","£400","")</f>
        <v/>
      </c>
      <c r="S5" s="505"/>
      <c r="T5" s="505"/>
      <c r="U5" s="875"/>
      <c r="V5" s="876"/>
      <c r="W5" s="11"/>
      <c r="X5" s="11"/>
      <c r="Y5" s="24"/>
      <c r="Z5" s="24"/>
      <c r="AA5" s="24"/>
      <c r="AB5" s="24"/>
      <c r="AC5" s="24"/>
      <c r="AD5" s="24"/>
      <c r="AE5" s="24"/>
      <c r="AF5" s="24"/>
      <c r="AG5" s="24"/>
      <c r="AH5" s="24"/>
      <c r="AI5" s="24"/>
      <c r="AJ5" s="24"/>
      <c r="AK5" s="24"/>
      <c r="AL5" s="24"/>
      <c r="AM5" s="24"/>
      <c r="AN5" s="24"/>
      <c r="AO5" s="24"/>
      <c r="AP5" s="24"/>
      <c r="AQ5" s="24" t="s">
        <v>22</v>
      </c>
    </row>
    <row r="6" spans="1:43" ht="26.25" customHeight="1" x14ac:dyDescent="0.35">
      <c r="A6" s="512"/>
      <c r="B6" s="511"/>
      <c r="C6" s="511"/>
      <c r="D6" s="511"/>
      <c r="E6" s="511"/>
      <c r="F6" s="511"/>
      <c r="G6" s="511"/>
      <c r="H6" s="856"/>
      <c r="I6" s="856"/>
      <c r="J6" s="333"/>
      <c r="K6" s="505"/>
      <c r="L6" s="500"/>
      <c r="M6" s="501"/>
      <c r="N6" s="852" t="str">
        <f>IF(OR(O12&gt;=100000,O13&gt;=100000,O14&gt;=100000,O15&gt;=100000,O16&gt;=100000,O17&gt;=100000,O18&gt;=100000,O19&gt;=100000,O20&gt;=100000,O61&gt;=100000),"Please Complete Business Case Information in next tab","")</f>
        <v/>
      </c>
      <c r="O6" s="852"/>
      <c r="P6" s="505"/>
      <c r="Q6" s="505"/>
      <c r="R6" s="505"/>
      <c r="S6" s="505"/>
      <c r="T6" s="505"/>
      <c r="U6" s="875"/>
      <c r="V6" s="876"/>
      <c r="W6" s="11"/>
      <c r="X6" s="11"/>
      <c r="Y6" s="24"/>
      <c r="Z6" s="24"/>
      <c r="AA6" s="24"/>
      <c r="AB6" s="24"/>
      <c r="AC6" s="24"/>
      <c r="AD6" s="24"/>
      <c r="AE6" s="24"/>
      <c r="AF6" s="24"/>
      <c r="AG6" s="24"/>
      <c r="AH6" s="24"/>
      <c r="AI6" s="24"/>
      <c r="AJ6" s="24"/>
      <c r="AK6" s="24"/>
      <c r="AL6" s="24"/>
      <c r="AM6" s="24"/>
      <c r="AN6" s="24"/>
      <c r="AO6" s="24"/>
      <c r="AP6" s="24"/>
      <c r="AQ6" s="24" t="s">
        <v>22</v>
      </c>
    </row>
    <row r="7" spans="1:43" ht="14.25" customHeight="1" thickBot="1" x14ac:dyDescent="0.35">
      <c r="A7" s="513"/>
      <c r="B7" s="483"/>
      <c r="C7" s="351"/>
      <c r="D7" s="352"/>
      <c r="E7" s="353"/>
      <c r="F7" s="353"/>
      <c r="G7" s="353"/>
      <c r="H7" s="354"/>
      <c r="I7" s="355"/>
      <c r="J7" s="355"/>
      <c r="K7" s="358"/>
      <c r="L7" s="359"/>
      <c r="M7" s="501"/>
      <c r="N7" s="853"/>
      <c r="O7" s="853"/>
      <c r="P7" s="505"/>
      <c r="Q7" s="505"/>
      <c r="R7" s="505"/>
      <c r="S7" s="505"/>
      <c r="T7" s="505"/>
      <c r="U7" s="875"/>
      <c r="V7" s="876"/>
      <c r="W7" s="11"/>
      <c r="X7" s="11"/>
      <c r="Y7" s="24"/>
      <c r="Z7" s="24"/>
      <c r="AA7" s="24"/>
      <c r="AB7" s="24"/>
      <c r="AC7" s="24"/>
      <c r="AD7" s="24"/>
      <c r="AE7" s="24"/>
      <c r="AF7" s="24"/>
      <c r="AG7" s="24"/>
      <c r="AH7" s="24"/>
      <c r="AI7" s="24"/>
      <c r="AJ7" s="24"/>
      <c r="AK7" s="24"/>
      <c r="AL7" s="24"/>
      <c r="AM7" s="24"/>
      <c r="AN7" s="24"/>
      <c r="AO7" s="24"/>
      <c r="AP7" s="24"/>
      <c r="AQ7" s="24" t="s">
        <v>22</v>
      </c>
    </row>
    <row r="8" spans="1:43" s="741" customFormat="1" ht="80.5" customHeight="1" thickBot="1" x14ac:dyDescent="0.4">
      <c r="A8" s="514"/>
      <c r="B8" s="128" t="s">
        <v>32</v>
      </c>
      <c r="C8" s="160" t="s">
        <v>33</v>
      </c>
      <c r="D8" s="530" t="s">
        <v>34</v>
      </c>
      <c r="E8" s="125" t="s">
        <v>35</v>
      </c>
      <c r="F8" s="529" t="s">
        <v>36</v>
      </c>
      <c r="G8" s="850" t="s">
        <v>37</v>
      </c>
      <c r="H8" s="867"/>
      <c r="I8" s="867"/>
      <c r="J8" s="867"/>
      <c r="K8" s="868"/>
      <c r="L8" s="882" t="s">
        <v>38</v>
      </c>
      <c r="M8" s="868"/>
      <c r="N8" s="360"/>
      <c r="O8" s="505"/>
      <c r="P8" s="505"/>
      <c r="Q8" s="515"/>
      <c r="R8" s="515"/>
      <c r="S8" s="515"/>
      <c r="T8" s="515"/>
      <c r="U8" s="515"/>
      <c r="V8" s="516"/>
      <c r="W8" s="6"/>
      <c r="X8" s="6"/>
      <c r="Y8" s="6"/>
      <c r="Z8" s="5"/>
      <c r="AA8" s="5"/>
      <c r="AB8" s="6"/>
      <c r="AC8" s="6"/>
      <c r="AD8" s="6"/>
      <c r="AE8" s="6"/>
      <c r="AF8" s="6"/>
      <c r="AG8" s="6"/>
      <c r="AH8" s="6"/>
      <c r="AI8" s="6"/>
      <c r="AJ8" s="6"/>
      <c r="AK8" s="6"/>
      <c r="AL8" s="6"/>
      <c r="AM8" s="6"/>
      <c r="AN8" s="6"/>
      <c r="AO8" s="6"/>
      <c r="AP8" s="6"/>
      <c r="AQ8" s="24" t="s">
        <v>22</v>
      </c>
    </row>
    <row r="9" spans="1:43" s="741" customFormat="1" ht="43.5" customHeight="1" x14ac:dyDescent="0.35">
      <c r="A9" s="514"/>
      <c r="B9" s="484"/>
      <c r="C9" s="482"/>
      <c r="D9" s="240"/>
      <c r="E9" s="241"/>
      <c r="F9" s="242"/>
      <c r="G9" s="877"/>
      <c r="H9" s="878"/>
      <c r="I9" s="878"/>
      <c r="J9" s="878"/>
      <c r="K9" s="879"/>
      <c r="L9" s="880" t="str">
        <f>IF(AND(C9="",D9="",E9="",F9="",G9=""),"",IF($F$9="","Nodwch Oes y Safle","OK"))</f>
        <v/>
      </c>
      <c r="M9" s="881"/>
      <c r="N9" s="239"/>
      <c r="O9" s="505"/>
      <c r="P9" s="505"/>
      <c r="Q9" s="515"/>
      <c r="R9" s="515"/>
      <c r="S9" s="515"/>
      <c r="T9" s="515"/>
      <c r="U9" s="515"/>
      <c r="V9" s="516"/>
      <c r="W9" s="6"/>
      <c r="X9" s="6"/>
      <c r="Y9" s="6"/>
      <c r="Z9" s="5"/>
      <c r="AA9" s="5"/>
      <c r="AB9" s="6"/>
      <c r="AC9" s="6"/>
      <c r="AD9" s="6"/>
      <c r="AE9" s="6"/>
      <c r="AF9" s="6"/>
      <c r="AG9" s="6"/>
      <c r="AH9" s="6"/>
      <c r="AI9" s="6"/>
      <c r="AJ9" s="6"/>
      <c r="AK9" s="6"/>
      <c r="AL9" s="6"/>
      <c r="AM9" s="6"/>
      <c r="AN9" s="6"/>
      <c r="AO9" s="6"/>
      <c r="AP9" s="6"/>
      <c r="AQ9" s="24" t="s">
        <v>22</v>
      </c>
    </row>
    <row r="10" spans="1:43" s="741" customFormat="1" ht="15" customHeight="1" thickBot="1" x14ac:dyDescent="0.35">
      <c r="A10" s="517"/>
      <c r="B10" s="873"/>
      <c r="C10" s="873"/>
      <c r="D10" s="873"/>
      <c r="E10" s="873"/>
      <c r="F10" s="873"/>
      <c r="G10" s="873"/>
      <c r="H10" s="873"/>
      <c r="I10" s="873"/>
      <c r="J10" s="873"/>
      <c r="K10" s="873"/>
      <c r="L10" s="873"/>
      <c r="M10" s="873"/>
      <c r="N10" s="873"/>
      <c r="O10" s="873"/>
      <c r="P10" s="873"/>
      <c r="Q10" s="873"/>
      <c r="R10" s="873"/>
      <c r="S10" s="873"/>
      <c r="T10" s="873"/>
      <c r="U10" s="873"/>
      <c r="V10" s="874"/>
      <c r="W10" s="6"/>
      <c r="X10" s="6"/>
      <c r="Y10" s="5"/>
      <c r="Z10" s="5"/>
      <c r="AA10" s="6"/>
      <c r="AB10" s="6"/>
      <c r="AC10" s="6"/>
      <c r="AD10" s="6"/>
      <c r="AE10" s="6"/>
      <c r="AF10" s="6"/>
      <c r="AG10" s="6"/>
      <c r="AH10" s="6"/>
      <c r="AI10" s="6"/>
      <c r="AJ10" s="6"/>
      <c r="AK10" s="6"/>
      <c r="AL10" s="6"/>
      <c r="AM10" s="6"/>
      <c r="AN10" s="6"/>
      <c r="AO10" s="6"/>
      <c r="AP10" s="25"/>
      <c r="AQ10" s="24" t="s">
        <v>22</v>
      </c>
    </row>
    <row r="11" spans="1:43" s="741" customFormat="1" ht="60.75" customHeight="1" thickBot="1" x14ac:dyDescent="0.35">
      <c r="A11" s="485"/>
      <c r="B11" s="334" t="s">
        <v>39</v>
      </c>
      <c r="C11" s="531" t="s">
        <v>40</v>
      </c>
      <c r="D11" s="124" t="s">
        <v>41</v>
      </c>
      <c r="E11" s="126" t="s">
        <v>42</v>
      </c>
      <c r="F11" s="127" t="s">
        <v>43</v>
      </c>
      <c r="G11" s="128" t="s">
        <v>44</v>
      </c>
      <c r="H11" s="335" t="s">
        <v>45</v>
      </c>
      <c r="I11" s="850" t="s">
        <v>46</v>
      </c>
      <c r="J11" s="851"/>
      <c r="K11" s="126" t="s">
        <v>47</v>
      </c>
      <c r="L11" s="129" t="s">
        <v>48</v>
      </c>
      <c r="M11" s="237" t="s">
        <v>49</v>
      </c>
      <c r="N11" s="238" t="s">
        <v>50</v>
      </c>
      <c r="O11" s="130" t="s">
        <v>51</v>
      </c>
      <c r="P11" s="221" t="s">
        <v>52</v>
      </c>
      <c r="Q11" s="124" t="s">
        <v>53</v>
      </c>
      <c r="R11" s="124" t="s">
        <v>54</v>
      </c>
      <c r="S11" s="131" t="s">
        <v>55</v>
      </c>
      <c r="T11" s="124" t="s">
        <v>56</v>
      </c>
      <c r="U11" s="132" t="s">
        <v>57</v>
      </c>
      <c r="V11" s="551" t="s">
        <v>38</v>
      </c>
      <c r="W11" s="526" t="s">
        <v>58</v>
      </c>
      <c r="X11" s="525" t="s">
        <v>59</v>
      </c>
      <c r="Y11" s="527" t="s">
        <v>60</v>
      </c>
      <c r="Z11" s="518"/>
      <c r="AA11" s="518"/>
      <c r="AB11" s="518" t="s">
        <v>61</v>
      </c>
      <c r="AC11" s="534" t="s">
        <v>62</v>
      </c>
      <c r="AD11" s="538" t="s">
        <v>63</v>
      </c>
      <c r="AE11" s="6"/>
      <c r="AF11" s="6"/>
      <c r="AG11" s="9"/>
      <c r="AH11" s="9"/>
      <c r="AI11" s="9"/>
      <c r="AJ11" s="33" t="s">
        <v>59</v>
      </c>
      <c r="AK11" s="33" t="s">
        <v>64</v>
      </c>
      <c r="AL11" s="26"/>
      <c r="AM11" s="7"/>
      <c r="AN11" s="25"/>
      <c r="AO11" s="25"/>
      <c r="AP11" s="6"/>
      <c r="AQ11" s="24" t="s">
        <v>22</v>
      </c>
    </row>
    <row r="12" spans="1:43" s="741" customFormat="1" ht="34" customHeight="1" x14ac:dyDescent="0.3">
      <c r="A12" s="157">
        <v>1</v>
      </c>
      <c r="B12" s="104"/>
      <c r="C12" s="105"/>
      <c r="D12" s="106"/>
      <c r="E12" s="107"/>
      <c r="F12" s="108"/>
      <c r="G12" s="133" t="str">
        <f t="shared" ref="G12:G43" si="0">IFERROR(((F12/E12)^(1/X12))-1,"")</f>
        <v/>
      </c>
      <c r="H12" s="328"/>
      <c r="I12" s="846"/>
      <c r="J12" s="847" t="s">
        <v>68</v>
      </c>
      <c r="K12" s="109"/>
      <c r="L12" s="110"/>
      <c r="M12" s="134" t="str">
        <f>IF(K12="","",K12-L12)</f>
        <v/>
      </c>
      <c r="N12" s="135">
        <f>IFERROR(M12/K12,0)</f>
        <v>0</v>
      </c>
      <c r="O12" s="111"/>
      <c r="P12" s="140" t="str">
        <f t="shared" ref="P12:P43" si="1">IF(OR(F12="",M12=""),"",M12*F12/100)</f>
        <v/>
      </c>
      <c r="Q12" s="141" t="str">
        <f t="shared" ref="Q12:Q61" si="2">IF(OR(P12&lt;=0,P12=""),"",O12/P12)</f>
        <v/>
      </c>
      <c r="R12" s="142" t="str">
        <f t="shared" ref="R12:R43" si="3">IFERROR(IF(D12="Electricity",AD12,HLOOKUP(D12,$AH$100:$AQ$140,2,FALSE)),"")</f>
        <v/>
      </c>
      <c r="S12" s="143" t="str">
        <f>IF(OR(D12="",M12="",R12=""),"",M12*R12/1000)</f>
        <v/>
      </c>
      <c r="T12" s="143" t="str">
        <f>IF(S12="","",W12*S12)</f>
        <v/>
      </c>
      <c r="U12" s="144" t="str">
        <f>IF(ISERROR(O12/T12),"",O12/T12)</f>
        <v/>
      </c>
      <c r="V12" s="552" t="str">
        <f ca="1">IF('Extra look-up'!$H6="Math o Waith","Gwiriwch Math o Waith",IF(AND(D12="",F12="",H12="",I12="",L12="",M12=""),"",IF(OR(D12="",F12="",H12="",I12="",L12="",M12="",$L$9&lt;&gt;"OK"),"Gwiriwch bod yr holl feysydd wedi eu llenwi'n gywir",IF(AND(D12="",OR(F12&lt;&gt;"",H12&lt;&gt;"",I12&lt;&gt;"",L12&lt;&gt;"")),"Gwiriwch bod yr holl feysydd wedi eu llenwi'n gywir","OK"))))</f>
        <v/>
      </c>
      <c r="W12" s="519" t="str">
        <f>IF(I12="","",IF(VLOOKUP(I12,'Eligible Technologies'!$D$7:$G$69,4,FALSE)&lt;$F$9,VLOOKUP(I12,'Eligible Technologies'!$D$7:$G$69,4,FALSE),$F$9))</f>
        <v/>
      </c>
      <c r="X12" s="520" t="str">
        <f>IF(Q12="","",ROUNDUP($Q$65,0))</f>
        <v/>
      </c>
      <c r="Y12" s="520">
        <f ca="1">IF(V12="",0,1)</f>
        <v>0</v>
      </c>
      <c r="Z12" s="520" t="str">
        <f>'Extra look-up'!F6</f>
        <v/>
      </c>
      <c r="AA12" s="520" t="str">
        <f ca="1">'Extra look-up'!H6</f>
        <v>OK</v>
      </c>
      <c r="AB12" s="520">
        <f ca="1">IF(AND(V12&lt;&gt;"OK",V12&lt;&gt;""),51,1)</f>
        <v>1</v>
      </c>
      <c r="AC12" s="535" t="e">
        <f>ROUNDUP(W12,0)+100</f>
        <v>#VALUE!</v>
      </c>
      <c r="AD12" s="539" t="str">
        <f ca="1">IFERROR(AVERAGE($AH$101:INDIRECT(CONCATENATE("AH"&amp;AC12))),"")</f>
        <v/>
      </c>
      <c r="AE12" s="532"/>
      <c r="AF12" s="532"/>
      <c r="AG12" s="9"/>
      <c r="AH12" s="9"/>
      <c r="AI12" s="9"/>
      <c r="AJ12" s="33" t="str">
        <f>IF(OR($D$5="Higher Education Institute",$D$4="Scotland",$D$4="Wales",$D$4="Northern Ireland"),8,IF(OR($D$5="Local Authority",$D$5="NHS",$D$5="Emergency Services",$D$5="Maintained School (Local Authority)"),10,""))</f>
        <v/>
      </c>
      <c r="AK12" s="33" t="str">
        <f>IF($D$4="Scotland",250,IF($D$4="Northern Ireland",200,IF(OR($D$4="Wales",$D$5="Higher Education Institute"),275,IF(OR($D$5="Local Authority",$D$5="NHS",$D$5="Emergency Services",$D$5="Maintained School (Local Authority)"),344,""))))</f>
        <v/>
      </c>
      <c r="AL12" s="8"/>
      <c r="AM12" s="6"/>
      <c r="AN12" s="25"/>
      <c r="AO12" s="25"/>
      <c r="AP12" s="6"/>
      <c r="AQ12" s="24" t="s">
        <v>22</v>
      </c>
    </row>
    <row r="13" spans="1:43" s="741" customFormat="1" ht="34" customHeight="1" x14ac:dyDescent="0.3">
      <c r="A13" s="158">
        <v>2</v>
      </c>
      <c r="B13" s="104"/>
      <c r="C13" s="113"/>
      <c r="D13" s="106"/>
      <c r="E13" s="107"/>
      <c r="F13" s="108"/>
      <c r="G13" s="133" t="str">
        <f t="shared" si="0"/>
        <v/>
      </c>
      <c r="H13" s="328"/>
      <c r="I13" s="846"/>
      <c r="J13" s="847" t="s">
        <v>69</v>
      </c>
      <c r="K13" s="109"/>
      <c r="L13" s="110"/>
      <c r="M13" s="136" t="str">
        <f t="shared" ref="M13:M61" si="4">IF(K13="","",K13-L13)</f>
        <v/>
      </c>
      <c r="N13" s="137">
        <f t="shared" ref="N13:N61" si="5">IFERROR(M13/K13,0)</f>
        <v>0</v>
      </c>
      <c r="O13" s="111"/>
      <c r="P13" s="145" t="str">
        <f t="shared" si="1"/>
        <v/>
      </c>
      <c r="Q13" s="146" t="str">
        <f t="shared" si="2"/>
        <v/>
      </c>
      <c r="R13" s="545" t="str">
        <f t="shared" si="3"/>
        <v/>
      </c>
      <c r="S13" s="147" t="str">
        <f t="shared" ref="S13:S43" si="6">IF(OR(D13="",M13="",R13=""),"",M13*R13/1000)</f>
        <v/>
      </c>
      <c r="T13" s="147" t="str">
        <f t="shared" ref="T13:T61" si="7">IF(S13="","",W13*S13)</f>
        <v/>
      </c>
      <c r="U13" s="148" t="str">
        <f t="shared" ref="U13:U61" si="8">IF(ISERROR(O13/T13),"",O13/T13)</f>
        <v/>
      </c>
      <c r="V13" s="552" t="str">
        <f ca="1">IF('Extra look-up'!$H7="Math o Waith","Gwiriwch Math o Waith",IF(AND(D13="",F13="",H13="",I13="",L13="",M13=""),"",IF(OR(D13="",F13="",H13="",I13="",L13="",M13="",$L$9&lt;&gt;"OK"),"Gwiriwch bod yr holl feysydd wedi eu llenwi'n gywir",IF(AND(D13="",OR(F13&lt;&gt;"",H13&lt;&gt;"",I13&lt;&gt;"",L13&lt;&gt;"")),"Gwiriwch bod yr holl feysydd wedi eu llenwi'n gywir","OK"))))</f>
        <v/>
      </c>
      <c r="W13" s="521" t="str">
        <f>IF(I13="","",IF(VLOOKUP(I13,'Eligible Technologies'!$D$7:$G$69,4,FALSE)&lt;$F$9,VLOOKUP(I13,'Eligible Technologies'!$D$7:$G$69,4,FALSE),$F$9))</f>
        <v/>
      </c>
      <c r="X13" s="522" t="str">
        <f t="shared" ref="X13:X17" si="9">IF(Q13="","",ROUNDUP($Q$65,0))</f>
        <v/>
      </c>
      <c r="Y13" s="522">
        <f t="shared" ref="Y13:Y61" ca="1" si="10">IF(V13="",0,1)</f>
        <v>0</v>
      </c>
      <c r="Z13" s="522" t="str">
        <f>'Extra look-up'!F7</f>
        <v/>
      </c>
      <c r="AA13" s="522" t="str">
        <f ca="1">'Extra look-up'!H7</f>
        <v>OK</v>
      </c>
      <c r="AB13" s="522">
        <f ca="1">IF(AND(V13&lt;&gt;"OK",V13&lt;&gt;""),51,1)</f>
        <v>1</v>
      </c>
      <c r="AC13" s="536" t="e">
        <f>ROUNDUP(W13,0)+100</f>
        <v>#VALUE!</v>
      </c>
      <c r="AD13" s="539" t="str">
        <f ca="1">IFERROR(AVERAGE($AH$101:INDIRECT(CONCATENATE("AH"&amp;AC13))),"")</f>
        <v/>
      </c>
      <c r="AE13" s="533"/>
      <c r="AF13" s="533"/>
      <c r="AG13" s="9"/>
      <c r="AH13" s="9"/>
      <c r="AI13" s="9"/>
      <c r="AJ13" s="9"/>
      <c r="AK13" s="9"/>
      <c r="AL13" s="9"/>
      <c r="AM13" s="6"/>
      <c r="AN13" s="25"/>
      <c r="AO13" s="25"/>
      <c r="AP13" s="6"/>
      <c r="AQ13" s="24" t="s">
        <v>22</v>
      </c>
    </row>
    <row r="14" spans="1:43" s="741" customFormat="1" ht="34" customHeight="1" x14ac:dyDescent="0.3">
      <c r="A14" s="158">
        <v>3</v>
      </c>
      <c r="B14" s="104"/>
      <c r="C14" s="114"/>
      <c r="D14" s="106"/>
      <c r="E14" s="107"/>
      <c r="F14" s="108"/>
      <c r="G14" s="133" t="str">
        <f t="shared" si="0"/>
        <v/>
      </c>
      <c r="H14" s="328"/>
      <c r="I14" s="846"/>
      <c r="J14" s="847" t="s">
        <v>70</v>
      </c>
      <c r="K14" s="109"/>
      <c r="L14" s="110"/>
      <c r="M14" s="136" t="str">
        <f t="shared" si="4"/>
        <v/>
      </c>
      <c r="N14" s="137">
        <f t="shared" si="5"/>
        <v>0</v>
      </c>
      <c r="O14" s="111"/>
      <c r="P14" s="145" t="str">
        <f t="shared" si="1"/>
        <v/>
      </c>
      <c r="Q14" s="146" t="str">
        <f t="shared" si="2"/>
        <v/>
      </c>
      <c r="R14" s="545" t="str">
        <f t="shared" si="3"/>
        <v/>
      </c>
      <c r="S14" s="147" t="str">
        <f t="shared" si="6"/>
        <v/>
      </c>
      <c r="T14" s="147" t="str">
        <f t="shared" si="7"/>
        <v/>
      </c>
      <c r="U14" s="148" t="str">
        <f t="shared" si="8"/>
        <v/>
      </c>
      <c r="V14" s="552" t="str">
        <f ca="1">IF('Extra look-up'!$H8="Math o Waith","Gwiriwch Math o Waith",IF(AND(D14="",F14="",H14="",I14="",L14="",M14=""),"",IF(OR(D14="",F14="",H14="",I14="",L14="",M14="",$L$9&lt;&gt;"OK"),"Gwiriwch bod yr holl feysydd wedi eu llenwi'n gywir",IF(AND(D14="",OR(F14&lt;&gt;"",H14&lt;&gt;"",I14&lt;&gt;"",L14&lt;&gt;"")),"Gwiriwch bod yr holl feysydd wedi eu llenwi'n gywir","OK"))))</f>
        <v/>
      </c>
      <c r="W14" s="521" t="str">
        <f>IF(I14="","",IF(VLOOKUP(I14,'Eligible Technologies'!$D$7:$G$69,4,FALSE)&lt;$F$9,VLOOKUP(I14,'Eligible Technologies'!$D$7:$G$69,4,FALSE),$F$9))</f>
        <v/>
      </c>
      <c r="X14" s="522" t="str">
        <f t="shared" si="9"/>
        <v/>
      </c>
      <c r="Y14" s="522">
        <f t="shared" ca="1" si="10"/>
        <v>0</v>
      </c>
      <c r="Z14" s="522" t="str">
        <f>'Extra look-up'!F8</f>
        <v/>
      </c>
      <c r="AA14" s="522" t="str">
        <f ca="1">'Extra look-up'!H8</f>
        <v>OK</v>
      </c>
      <c r="AB14" s="522">
        <f t="shared" ref="AB14:AB61" ca="1" si="11">IF(AND(V14&lt;&gt;"OK",V14&lt;&gt;""),51,1)</f>
        <v>1</v>
      </c>
      <c r="AC14" s="536" t="e">
        <f>ROUNDUP(W14,0)+100</f>
        <v>#VALUE!</v>
      </c>
      <c r="AD14" s="539" t="str">
        <f ca="1">IFERROR(AVERAGE($AH$101:INDIRECT(CONCATENATE("AH"&amp;AC14))),"")</f>
        <v/>
      </c>
      <c r="AE14" s="533"/>
      <c r="AF14" s="533"/>
      <c r="AG14" s="9"/>
      <c r="AH14" s="9"/>
      <c r="AI14" s="9"/>
      <c r="AJ14" s="9"/>
      <c r="AK14" s="9"/>
      <c r="AL14" s="9"/>
      <c r="AM14" s="6"/>
      <c r="AN14" s="6"/>
      <c r="AO14" s="6"/>
      <c r="AP14" s="6"/>
      <c r="AQ14" s="24" t="s">
        <v>22</v>
      </c>
    </row>
    <row r="15" spans="1:43" s="741" customFormat="1" ht="34" customHeight="1" x14ac:dyDescent="0.3">
      <c r="A15" s="158">
        <v>4</v>
      </c>
      <c r="B15" s="104"/>
      <c r="C15" s="112"/>
      <c r="D15" s="106"/>
      <c r="E15" s="107"/>
      <c r="F15" s="108"/>
      <c r="G15" s="133" t="str">
        <f t="shared" si="0"/>
        <v/>
      </c>
      <c r="H15" s="328"/>
      <c r="I15" s="846"/>
      <c r="J15" s="847" t="s">
        <v>70</v>
      </c>
      <c r="K15" s="109"/>
      <c r="L15" s="110"/>
      <c r="M15" s="138" t="str">
        <f t="shared" si="4"/>
        <v/>
      </c>
      <c r="N15" s="137">
        <f t="shared" si="5"/>
        <v>0</v>
      </c>
      <c r="O15" s="111"/>
      <c r="P15" s="145" t="str">
        <f t="shared" si="1"/>
        <v/>
      </c>
      <c r="Q15" s="146" t="str">
        <f t="shared" si="2"/>
        <v/>
      </c>
      <c r="R15" s="545" t="str">
        <f t="shared" si="3"/>
        <v/>
      </c>
      <c r="S15" s="147" t="str">
        <f t="shared" si="6"/>
        <v/>
      </c>
      <c r="T15" s="147" t="str">
        <f t="shared" si="7"/>
        <v/>
      </c>
      <c r="U15" s="148" t="str">
        <f t="shared" si="8"/>
        <v/>
      </c>
      <c r="V15" s="552" t="str">
        <f ca="1">IF('Extra look-up'!$H9="Math o Waith","Gwiriwch Math o Waith",IF(AND(D15="",F15="",H15="",I15="",L15="",M15=""),"",IF(OR(D15="",F15="",H15="",I15="",L15="",M15="",$L$9&lt;&gt;"OK"),"Gwiriwch bod yr holl feysydd wedi eu llenwi'n gywir",IF(AND(D15="",OR(F15&lt;&gt;"",H15&lt;&gt;"",I15&lt;&gt;"",L15&lt;&gt;"")),"Gwiriwch bod yr holl feysydd wedi eu llenwi'n gywir","OK"))))</f>
        <v/>
      </c>
      <c r="W15" s="521" t="str">
        <f>IF(I15="","",IF(VLOOKUP(I15,'Eligible Technologies'!$D$7:$G$69,4,FALSE)&lt;$F$9,VLOOKUP(I15,'Eligible Technologies'!$D$7:$G$69,4,FALSE),$F$9))</f>
        <v/>
      </c>
      <c r="X15" s="522" t="str">
        <f t="shared" si="9"/>
        <v/>
      </c>
      <c r="Y15" s="522">
        <f t="shared" ca="1" si="10"/>
        <v>0</v>
      </c>
      <c r="Z15" s="522" t="str">
        <f>'Extra look-up'!F9</f>
        <v/>
      </c>
      <c r="AA15" s="522" t="str">
        <f ca="1">'Extra look-up'!H9</f>
        <v>OK</v>
      </c>
      <c r="AB15" s="522">
        <f t="shared" ca="1" si="11"/>
        <v>1</v>
      </c>
      <c r="AC15" s="536" t="e">
        <f t="shared" ref="AC15:AC61" si="12">ROUNDUP(W15,0)+100</f>
        <v>#VALUE!</v>
      </c>
      <c r="AD15" s="539" t="str">
        <f ca="1">IFERROR(AVERAGE($AH$101:INDIRECT(CONCATENATE("AH"&amp;AC15))),"")</f>
        <v/>
      </c>
      <c r="AE15" s="533"/>
      <c r="AF15" s="533"/>
      <c r="AG15" s="9"/>
      <c r="AH15" s="9"/>
      <c r="AI15" s="9"/>
      <c r="AJ15" s="9"/>
      <c r="AK15" s="9"/>
      <c r="AL15" s="9"/>
      <c r="AM15" s="6"/>
      <c r="AN15" s="6"/>
      <c r="AO15" s="6"/>
      <c r="AP15" s="6"/>
      <c r="AQ15" s="24" t="s">
        <v>22</v>
      </c>
    </row>
    <row r="16" spans="1:43" s="741" customFormat="1" ht="34" customHeight="1" x14ac:dyDescent="0.3">
      <c r="A16" s="158">
        <v>5</v>
      </c>
      <c r="B16" s="104"/>
      <c r="C16" s="113"/>
      <c r="D16" s="106"/>
      <c r="E16" s="107"/>
      <c r="F16" s="108"/>
      <c r="G16" s="133" t="str">
        <f t="shared" si="0"/>
        <v/>
      </c>
      <c r="H16" s="328"/>
      <c r="I16" s="846"/>
      <c r="J16" s="847" t="s">
        <v>70</v>
      </c>
      <c r="K16" s="109"/>
      <c r="L16" s="110"/>
      <c r="M16" s="139" t="str">
        <f t="shared" si="4"/>
        <v/>
      </c>
      <c r="N16" s="137">
        <f t="shared" si="5"/>
        <v>0</v>
      </c>
      <c r="O16" s="111"/>
      <c r="P16" s="145" t="str">
        <f t="shared" si="1"/>
        <v/>
      </c>
      <c r="Q16" s="146" t="str">
        <f>IF(OR(P16&lt;=0,P16=""),"",O16/P16)</f>
        <v/>
      </c>
      <c r="R16" s="545" t="str">
        <f t="shared" si="3"/>
        <v/>
      </c>
      <c r="S16" s="147" t="str">
        <f t="shared" si="6"/>
        <v/>
      </c>
      <c r="T16" s="147" t="str">
        <f t="shared" si="7"/>
        <v/>
      </c>
      <c r="U16" s="148" t="str">
        <f t="shared" si="8"/>
        <v/>
      </c>
      <c r="V16" s="552" t="str">
        <f ca="1">IF('Extra look-up'!$H10="Math o Waith","Gwiriwch Math o Waith",IF(AND(D16="",F16="",H16="",I16="",L16="",M16=""),"",IF(OR(D16="",F16="",H16="",I16="",L16="",M16="",$L$9&lt;&gt;"OK"),"Gwiriwch bod yr holl feysydd wedi eu llenwi'n gywir",IF(AND(D16="",OR(F16&lt;&gt;"",H16&lt;&gt;"",I16&lt;&gt;"",L16&lt;&gt;"")),"Gwiriwch bod yr holl feysydd wedi eu llenwi'n gywir","OK"))))</f>
        <v/>
      </c>
      <c r="W16" s="521" t="str">
        <f>IF(I16="","",IF(VLOOKUP(I16,'Eligible Technologies'!$D$7:$G$69,4,FALSE)&lt;$F$9,VLOOKUP(I16,'Eligible Technologies'!$D$7:$G$69,4,FALSE),$F$9))</f>
        <v/>
      </c>
      <c r="X16" s="522" t="str">
        <f t="shared" si="9"/>
        <v/>
      </c>
      <c r="Y16" s="522">
        <f t="shared" ca="1" si="10"/>
        <v>0</v>
      </c>
      <c r="Z16" s="522" t="str">
        <f>'Extra look-up'!F10</f>
        <v/>
      </c>
      <c r="AA16" s="522" t="str">
        <f ca="1">'Extra look-up'!H10</f>
        <v>OK</v>
      </c>
      <c r="AB16" s="522">
        <f t="shared" ca="1" si="11"/>
        <v>1</v>
      </c>
      <c r="AC16" s="536" t="e">
        <f t="shared" si="12"/>
        <v>#VALUE!</v>
      </c>
      <c r="AD16" s="539" t="str">
        <f ca="1">IFERROR(AVERAGE($AH$101:INDIRECT(CONCATENATE("AH"&amp;AC16))),"")</f>
        <v/>
      </c>
      <c r="AE16" s="533"/>
      <c r="AF16" s="533"/>
      <c r="AG16" s="9"/>
      <c r="AH16" s="9"/>
      <c r="AI16" s="9"/>
      <c r="AJ16" s="9"/>
      <c r="AK16" s="9"/>
      <c r="AL16" s="9"/>
      <c r="AM16" s="6"/>
      <c r="AN16" s="6"/>
      <c r="AO16" s="6"/>
      <c r="AP16" s="6"/>
      <c r="AQ16" s="24" t="s">
        <v>22</v>
      </c>
    </row>
    <row r="17" spans="1:70" s="741" customFormat="1" ht="34" customHeight="1" x14ac:dyDescent="0.25">
      <c r="A17" s="158">
        <v>6</v>
      </c>
      <c r="B17" s="104"/>
      <c r="C17" s="112"/>
      <c r="D17" s="106"/>
      <c r="E17" s="107"/>
      <c r="F17" s="108"/>
      <c r="G17" s="133" t="str">
        <f t="shared" si="0"/>
        <v/>
      </c>
      <c r="H17" s="328"/>
      <c r="I17" s="846"/>
      <c r="J17" s="847" t="s">
        <v>70</v>
      </c>
      <c r="K17" s="109"/>
      <c r="L17" s="110"/>
      <c r="M17" s="136" t="str">
        <f>IF(K17="","",K17-L17)</f>
        <v/>
      </c>
      <c r="N17" s="137">
        <f t="shared" si="5"/>
        <v>0</v>
      </c>
      <c r="O17" s="111"/>
      <c r="P17" s="145" t="str">
        <f t="shared" si="1"/>
        <v/>
      </c>
      <c r="Q17" s="146" t="str">
        <f t="shared" si="2"/>
        <v/>
      </c>
      <c r="R17" s="545" t="str">
        <f t="shared" si="3"/>
        <v/>
      </c>
      <c r="S17" s="147" t="str">
        <f t="shared" si="6"/>
        <v/>
      </c>
      <c r="T17" s="147" t="str">
        <f t="shared" si="7"/>
        <v/>
      </c>
      <c r="U17" s="148" t="str">
        <f t="shared" si="8"/>
        <v/>
      </c>
      <c r="V17" s="552" t="str">
        <f ca="1">IF('Extra look-up'!$H11="Math o Waith","Gwiriwch Math o Waith",IF(AND(D17="",F17="",H17="",I17="",L17="",M17=""),"",IF(OR(D17="",F17="",H17="",I17="",L17="",M17="",$L$9&lt;&gt;"OK"),"Gwiriwch bod yr holl feysydd wedi eu llenwi'n gywir",IF(AND(D17="",OR(F17&lt;&gt;"",H17&lt;&gt;"",I17&lt;&gt;"",L17&lt;&gt;"")),"Gwiriwch bod yr holl feysydd wedi eu llenwi'n gywir","OK"))))</f>
        <v/>
      </c>
      <c r="W17" s="521" t="str">
        <f>IF(I17="","",IF(VLOOKUP(I17,'Eligible Technologies'!$D$7:$G$69,4,FALSE)&lt;$F$9,VLOOKUP(I17,'Eligible Technologies'!$D$7:$G$69,4,FALSE),$F$9))</f>
        <v/>
      </c>
      <c r="X17" s="522" t="str">
        <f t="shared" si="9"/>
        <v/>
      </c>
      <c r="Y17" s="522">
        <f t="shared" ca="1" si="10"/>
        <v>0</v>
      </c>
      <c r="Z17" s="522" t="str">
        <f>'Extra look-up'!F11</f>
        <v/>
      </c>
      <c r="AA17" s="522" t="str">
        <f ca="1">'Extra look-up'!H11</f>
        <v>OK</v>
      </c>
      <c r="AB17" s="522">
        <f t="shared" ca="1" si="11"/>
        <v>1</v>
      </c>
      <c r="AC17" s="536" t="e">
        <f t="shared" si="12"/>
        <v>#VALUE!</v>
      </c>
      <c r="AD17" s="539" t="str">
        <f ca="1">IFERROR(AVERAGE($AH$101:INDIRECT(CONCATENATE("AH"&amp;AC17))),"")</f>
        <v/>
      </c>
      <c r="AE17" s="533"/>
      <c r="AF17" s="533"/>
      <c r="AG17" s="8"/>
      <c r="AH17" s="9"/>
      <c r="AI17" s="8"/>
      <c r="AJ17" s="8"/>
      <c r="AK17" s="9"/>
      <c r="AL17" s="9"/>
      <c r="AM17" s="6"/>
      <c r="AN17" s="6"/>
      <c r="AO17" s="6"/>
      <c r="AP17" s="6"/>
      <c r="AQ17" s="25"/>
    </row>
    <row r="18" spans="1:70" s="741" customFormat="1" ht="34" customHeight="1" x14ac:dyDescent="0.25">
      <c r="A18" s="158">
        <v>7</v>
      </c>
      <c r="B18" s="104"/>
      <c r="C18" s="113"/>
      <c r="D18" s="106"/>
      <c r="E18" s="107"/>
      <c r="F18" s="108"/>
      <c r="G18" s="133" t="str">
        <f t="shared" si="0"/>
        <v/>
      </c>
      <c r="H18" s="328"/>
      <c r="I18" s="846"/>
      <c r="J18" s="847" t="s">
        <v>70</v>
      </c>
      <c r="K18" s="109"/>
      <c r="L18" s="110"/>
      <c r="M18" s="138" t="str">
        <f t="shared" si="4"/>
        <v/>
      </c>
      <c r="N18" s="137">
        <f t="shared" si="5"/>
        <v>0</v>
      </c>
      <c r="O18" s="111"/>
      <c r="P18" s="145" t="str">
        <f t="shared" si="1"/>
        <v/>
      </c>
      <c r="Q18" s="146" t="str">
        <f t="shared" si="2"/>
        <v/>
      </c>
      <c r="R18" s="545" t="str">
        <f t="shared" si="3"/>
        <v/>
      </c>
      <c r="S18" s="147" t="str">
        <f t="shared" si="6"/>
        <v/>
      </c>
      <c r="T18" s="147" t="str">
        <f t="shared" si="7"/>
        <v/>
      </c>
      <c r="U18" s="148" t="str">
        <f t="shared" si="8"/>
        <v/>
      </c>
      <c r="V18" s="552" t="str">
        <f ca="1">IF('Extra look-up'!$H12="Math o Waith","Gwiriwch Math o Waith",IF(AND(D18="",F18="",H18="",I18="",L18="",M18=""),"",IF(OR(D18="",F18="",H18="",I18="",L18="",M18="",$L$9&lt;&gt;"OK"),"Gwiriwch bod yr holl feysydd wedi eu llenwi'n gywir",IF(AND(D18="",OR(F18&lt;&gt;"",H18&lt;&gt;"",I18&lt;&gt;"",L18&lt;&gt;"")),"Gwiriwch bod yr holl feysydd wedi eu llenwi'n gywir","OK"))))</f>
        <v/>
      </c>
      <c r="W18" s="521" t="str">
        <f>IF(I18="","",IF(VLOOKUP(I18,'Eligible Technologies'!$D$7:$G$69,4,FALSE)&lt;$F$9,VLOOKUP(I18,'Eligible Technologies'!$D$7:$G$69,4,FALSE),$F$9))</f>
        <v/>
      </c>
      <c r="X18" s="522" t="str">
        <f t="shared" ref="X18:X61" si="13">IF(Q18="","",ROUNDUP($Q$65,0))</f>
        <v/>
      </c>
      <c r="Y18" s="522">
        <f t="shared" ca="1" si="10"/>
        <v>0</v>
      </c>
      <c r="Z18" s="522" t="str">
        <f>'Extra look-up'!F12</f>
        <v/>
      </c>
      <c r="AA18" s="522" t="str">
        <f ca="1">'Extra look-up'!H12</f>
        <v>OK</v>
      </c>
      <c r="AB18" s="522">
        <f t="shared" ca="1" si="11"/>
        <v>1</v>
      </c>
      <c r="AC18" s="536" t="e">
        <f t="shared" si="12"/>
        <v>#VALUE!</v>
      </c>
      <c r="AD18" s="539" t="str">
        <f ca="1">IFERROR(AVERAGE($AH$101:INDIRECT(CONCATENATE("AH"&amp;AC18))),"")</f>
        <v/>
      </c>
      <c r="AE18" s="533"/>
      <c r="AF18" s="533"/>
      <c r="AG18" s="8"/>
      <c r="AH18" s="9"/>
      <c r="AI18" s="8"/>
      <c r="AJ18" s="8"/>
      <c r="AK18" s="9"/>
      <c r="AL18" s="9"/>
      <c r="AM18" s="6"/>
      <c r="AN18" s="6"/>
      <c r="AO18" s="6"/>
      <c r="AP18" s="6"/>
      <c r="AQ18" s="25"/>
    </row>
    <row r="19" spans="1:70" s="741" customFormat="1" ht="34" customHeight="1" x14ac:dyDescent="0.25">
      <c r="A19" s="158">
        <v>8</v>
      </c>
      <c r="B19" s="104"/>
      <c r="C19" s="113"/>
      <c r="D19" s="106"/>
      <c r="E19" s="107"/>
      <c r="F19" s="108"/>
      <c r="G19" s="133" t="str">
        <f t="shared" si="0"/>
        <v/>
      </c>
      <c r="H19" s="328"/>
      <c r="I19" s="846"/>
      <c r="J19" s="847" t="s">
        <v>70</v>
      </c>
      <c r="K19" s="109"/>
      <c r="L19" s="110"/>
      <c r="M19" s="136" t="str">
        <f t="shared" si="4"/>
        <v/>
      </c>
      <c r="N19" s="137">
        <f t="shared" si="5"/>
        <v>0</v>
      </c>
      <c r="O19" s="111"/>
      <c r="P19" s="145" t="str">
        <f t="shared" si="1"/>
        <v/>
      </c>
      <c r="Q19" s="146" t="str">
        <f t="shared" si="2"/>
        <v/>
      </c>
      <c r="R19" s="545" t="str">
        <f t="shared" si="3"/>
        <v/>
      </c>
      <c r="S19" s="147" t="str">
        <f t="shared" si="6"/>
        <v/>
      </c>
      <c r="T19" s="147" t="str">
        <f t="shared" si="7"/>
        <v/>
      </c>
      <c r="U19" s="148" t="str">
        <f t="shared" si="8"/>
        <v/>
      </c>
      <c r="V19" s="552" t="str">
        <f ca="1">IF('Extra look-up'!$H13="Math o Waith","Gwiriwch Math o Waith",IF(AND(D19="",F19="",H19="",I19="",L19="",M19=""),"",IF(OR(D19="",F19="",H19="",I19="",L19="",M19="",$L$9&lt;&gt;"OK"),"Gwiriwch bod yr holl feysydd wedi eu llenwi'n gywir",IF(AND(D19="",OR(F19&lt;&gt;"",H19&lt;&gt;"",I19&lt;&gt;"",L19&lt;&gt;"")),"Gwiriwch bod yr holl feysydd wedi eu llenwi'n gywir","OK"))))</f>
        <v/>
      </c>
      <c r="W19" s="521" t="str">
        <f>IF(I19="","",IF(VLOOKUP(I19,'Eligible Technologies'!$D$7:$G$69,4,FALSE)&lt;$F$9,VLOOKUP(I19,'Eligible Technologies'!$D$7:$G$69,4,FALSE),$F$9))</f>
        <v/>
      </c>
      <c r="X19" s="522" t="str">
        <f t="shared" si="13"/>
        <v/>
      </c>
      <c r="Y19" s="522">
        <f t="shared" ca="1" si="10"/>
        <v>0</v>
      </c>
      <c r="Z19" s="522" t="str">
        <f>'Extra look-up'!F13</f>
        <v/>
      </c>
      <c r="AA19" s="522" t="str">
        <f ca="1">'Extra look-up'!H13</f>
        <v>OK</v>
      </c>
      <c r="AB19" s="522">
        <f t="shared" ca="1" si="11"/>
        <v>1</v>
      </c>
      <c r="AC19" s="536" t="e">
        <f t="shared" si="12"/>
        <v>#VALUE!</v>
      </c>
      <c r="AD19" s="539" t="str">
        <f ca="1">IFERROR(AVERAGE($AH$101:INDIRECT(CONCATENATE("AH"&amp;AC19))),"")</f>
        <v/>
      </c>
      <c r="AE19" s="533"/>
      <c r="AF19" s="533"/>
      <c r="AG19" s="28" t="s">
        <v>71</v>
      </c>
      <c r="AH19" s="26" t="s">
        <v>72</v>
      </c>
      <c r="AI19" s="28" t="s">
        <v>73</v>
      </c>
      <c r="AJ19" s="28" t="s">
        <v>74</v>
      </c>
      <c r="AK19" s="26" t="s">
        <v>75</v>
      </c>
      <c r="AL19" s="26" t="s">
        <v>76</v>
      </c>
      <c r="AM19" s="7" t="s">
        <v>77</v>
      </c>
      <c r="AN19" s="7" t="s">
        <v>78</v>
      </c>
      <c r="AO19" s="7" t="s">
        <v>79</v>
      </c>
      <c r="AP19" s="6"/>
      <c r="AQ19" s="25"/>
    </row>
    <row r="20" spans="1:70" s="741" customFormat="1" ht="34" customHeight="1" x14ac:dyDescent="0.25">
      <c r="A20" s="158">
        <v>9</v>
      </c>
      <c r="B20" s="104"/>
      <c r="C20" s="114"/>
      <c r="D20" s="106"/>
      <c r="E20" s="107"/>
      <c r="F20" s="108"/>
      <c r="G20" s="133" t="str">
        <f t="shared" si="0"/>
        <v/>
      </c>
      <c r="H20" s="328"/>
      <c r="I20" s="846"/>
      <c r="J20" s="847"/>
      <c r="K20" s="109"/>
      <c r="L20" s="110"/>
      <c r="M20" s="136" t="str">
        <f t="shared" si="4"/>
        <v/>
      </c>
      <c r="N20" s="137">
        <f t="shared" si="5"/>
        <v>0</v>
      </c>
      <c r="O20" s="111"/>
      <c r="P20" s="145" t="str">
        <f t="shared" si="1"/>
        <v/>
      </c>
      <c r="Q20" s="146" t="str">
        <f t="shared" si="2"/>
        <v/>
      </c>
      <c r="R20" s="545" t="str">
        <f t="shared" si="3"/>
        <v/>
      </c>
      <c r="S20" s="147" t="str">
        <f t="shared" si="6"/>
        <v/>
      </c>
      <c r="T20" s="147" t="str">
        <f t="shared" si="7"/>
        <v/>
      </c>
      <c r="U20" s="148" t="str">
        <f t="shared" si="8"/>
        <v/>
      </c>
      <c r="V20" s="552" t="str">
        <f ca="1">IF('Extra look-up'!$H14="Math o Waith","Gwiriwch Math o Waith",IF(AND(D20="",F20="",H20="",I20="",L20="",M20=""),"",IF(OR(D20="",F20="",H20="",I20="",L20="",M20="",$L$9&lt;&gt;"OK"),"Gwiriwch bod yr holl feysydd wedi eu llenwi'n gywir",IF(AND(D20="",OR(F20&lt;&gt;"",H20&lt;&gt;"",I20&lt;&gt;"",L20&lt;&gt;"")),"Gwiriwch bod yr holl feysydd wedi eu llenwi'n gywir","OK"))))</f>
        <v/>
      </c>
      <c r="W20" s="521" t="str">
        <f>IF(I20="","",IF(VLOOKUP(I20,'Eligible Technologies'!$D$7:$G$69,4,FALSE)&lt;$F$9,VLOOKUP(I20,'Eligible Technologies'!$D$7:$G$69,4,FALSE),$F$9))</f>
        <v/>
      </c>
      <c r="X20" s="522" t="str">
        <f t="shared" si="13"/>
        <v/>
      </c>
      <c r="Y20" s="522">
        <f t="shared" ca="1" si="10"/>
        <v>0</v>
      </c>
      <c r="Z20" s="522" t="str">
        <f>'Extra look-up'!F14</f>
        <v/>
      </c>
      <c r="AA20" s="522" t="str">
        <f ca="1">'Extra look-up'!H14</f>
        <v>OK</v>
      </c>
      <c r="AB20" s="522">
        <f t="shared" ca="1" si="11"/>
        <v>1</v>
      </c>
      <c r="AC20" s="536" t="e">
        <f t="shared" si="12"/>
        <v>#VALUE!</v>
      </c>
      <c r="AD20" s="539" t="str">
        <f ca="1">IFERROR(AVERAGE($AH$101:INDIRECT(CONCATENATE("AH"&amp;AC20))),"")</f>
        <v/>
      </c>
      <c r="AE20" s="533"/>
      <c r="AF20" s="533"/>
      <c r="AG20" s="8" t="s">
        <v>80</v>
      </c>
      <c r="AH20" s="9" t="s">
        <v>81</v>
      </c>
      <c r="AI20" s="8" t="s">
        <v>81</v>
      </c>
      <c r="AJ20" s="8" t="s">
        <v>80</v>
      </c>
      <c r="AK20" s="9" t="s">
        <v>82</v>
      </c>
      <c r="AL20" s="9" t="s">
        <v>80</v>
      </c>
      <c r="AM20" s="6" t="s">
        <v>80</v>
      </c>
      <c r="AN20" s="6" t="s">
        <v>80</v>
      </c>
      <c r="AO20" s="34" t="e">
        <f>'Extra look-up'!G122</f>
        <v>#N/A</v>
      </c>
      <c r="AP20" s="6"/>
      <c r="AQ20" s="25"/>
    </row>
    <row r="21" spans="1:70" s="741" customFormat="1" ht="34" customHeight="1" x14ac:dyDescent="0.25">
      <c r="A21" s="158">
        <v>10</v>
      </c>
      <c r="B21" s="104"/>
      <c r="C21" s="114"/>
      <c r="D21" s="106"/>
      <c r="E21" s="107"/>
      <c r="F21" s="108"/>
      <c r="G21" s="133" t="str">
        <f t="shared" si="0"/>
        <v/>
      </c>
      <c r="H21" s="328"/>
      <c r="I21" s="846"/>
      <c r="J21" s="847"/>
      <c r="K21" s="109"/>
      <c r="L21" s="110"/>
      <c r="M21" s="136" t="str">
        <f t="shared" si="4"/>
        <v/>
      </c>
      <c r="N21" s="137">
        <f t="shared" si="5"/>
        <v>0</v>
      </c>
      <c r="O21" s="111"/>
      <c r="P21" s="145" t="str">
        <f t="shared" si="1"/>
        <v/>
      </c>
      <c r="Q21" s="146" t="str">
        <f t="shared" si="2"/>
        <v/>
      </c>
      <c r="R21" s="545" t="str">
        <f t="shared" si="3"/>
        <v/>
      </c>
      <c r="S21" s="147" t="str">
        <f t="shared" si="6"/>
        <v/>
      </c>
      <c r="T21" s="147" t="str">
        <f t="shared" si="7"/>
        <v/>
      </c>
      <c r="U21" s="148" t="str">
        <f t="shared" si="8"/>
        <v/>
      </c>
      <c r="V21" s="552" t="str">
        <f ca="1">IF('Extra look-up'!$H15="Math o Waith","Gwiriwch Math o Waith",IF(AND(D21="",F21="",H21="",I21="",L21="",M21=""),"",IF(OR(D21="",F21="",H21="",I21="",L21="",M21="",$L$9&lt;&gt;"OK"),"Gwiriwch bod yr holl feysydd wedi eu llenwi'n gywir",IF(AND(D21="",OR(F21&lt;&gt;"",H21&lt;&gt;"",I21&lt;&gt;"",L21&lt;&gt;"")),"Gwiriwch bod yr holl feysydd wedi eu llenwi'n gywir","OK"))))</f>
        <v/>
      </c>
      <c r="W21" s="521" t="str">
        <f>IF(I21="","",IF(VLOOKUP(I21,'Eligible Technologies'!$D$7:$G$69,4,FALSE)&lt;$F$9,VLOOKUP(I21,'Eligible Technologies'!$D$7:$G$69,4,FALSE),$F$9))</f>
        <v/>
      </c>
      <c r="X21" s="522" t="str">
        <f t="shared" si="13"/>
        <v/>
      </c>
      <c r="Y21" s="522">
        <f t="shared" ca="1" si="10"/>
        <v>0</v>
      </c>
      <c r="Z21" s="522" t="str">
        <f>'Extra look-up'!F15</f>
        <v/>
      </c>
      <c r="AA21" s="522" t="str">
        <f ca="1">'Extra look-up'!H15</f>
        <v>OK</v>
      </c>
      <c r="AB21" s="522">
        <f t="shared" ca="1" si="11"/>
        <v>1</v>
      </c>
      <c r="AC21" s="536" t="e">
        <f t="shared" si="12"/>
        <v>#VALUE!</v>
      </c>
      <c r="AD21" s="539" t="str">
        <f ca="1">IFERROR(AVERAGE($AH$101:INDIRECT(CONCATENATE("AH"&amp;AC21))),"")</f>
        <v/>
      </c>
      <c r="AE21" s="533"/>
      <c r="AF21" s="533"/>
      <c r="AG21" s="8" t="s">
        <v>83</v>
      </c>
      <c r="AH21" s="9" t="s">
        <v>80</v>
      </c>
      <c r="AI21" s="8" t="s">
        <v>80</v>
      </c>
      <c r="AJ21" s="8" t="s">
        <v>84</v>
      </c>
      <c r="AK21" s="9" t="s">
        <v>80</v>
      </c>
      <c r="AL21" s="9" t="s">
        <v>84</v>
      </c>
      <c r="AM21" s="6" t="s">
        <v>84</v>
      </c>
      <c r="AN21" s="6" t="s">
        <v>84</v>
      </c>
      <c r="AO21" s="6"/>
      <c r="AP21" s="6"/>
      <c r="AQ21" s="25"/>
    </row>
    <row r="22" spans="1:70" s="741" customFormat="1" ht="34" customHeight="1" x14ac:dyDescent="0.25">
      <c r="A22" s="158">
        <v>11</v>
      </c>
      <c r="B22" s="104"/>
      <c r="C22" s="114"/>
      <c r="D22" s="106"/>
      <c r="E22" s="107"/>
      <c r="F22" s="108"/>
      <c r="G22" s="133" t="str">
        <f t="shared" si="0"/>
        <v/>
      </c>
      <c r="H22" s="328"/>
      <c r="I22" s="846"/>
      <c r="J22" s="847"/>
      <c r="K22" s="109"/>
      <c r="L22" s="110"/>
      <c r="M22" s="136" t="str">
        <f t="shared" si="4"/>
        <v/>
      </c>
      <c r="N22" s="137">
        <f t="shared" si="5"/>
        <v>0</v>
      </c>
      <c r="O22" s="111"/>
      <c r="P22" s="145" t="str">
        <f t="shared" si="1"/>
        <v/>
      </c>
      <c r="Q22" s="146" t="str">
        <f t="shared" si="2"/>
        <v/>
      </c>
      <c r="R22" s="545" t="str">
        <f t="shared" si="3"/>
        <v/>
      </c>
      <c r="S22" s="147" t="str">
        <f t="shared" si="6"/>
        <v/>
      </c>
      <c r="T22" s="147" t="str">
        <f t="shared" si="7"/>
        <v/>
      </c>
      <c r="U22" s="148" t="str">
        <f t="shared" si="8"/>
        <v/>
      </c>
      <c r="V22" s="552" t="str">
        <f ca="1">IF('Extra look-up'!$H16="Math o Waith","Gwiriwch Math o Waith",IF(AND(D22="",F22="",H22="",I22="",L22="",M22=""),"",IF(OR(D22="",F22="",H22="",I22="",L22="",M22="",$L$9&lt;&gt;"OK"),"Gwiriwch bod yr holl feysydd wedi eu llenwi'n gywir",IF(AND(D22="",OR(F22&lt;&gt;"",H22&lt;&gt;"",I22&lt;&gt;"",L22&lt;&gt;"")),"Gwiriwch bod yr holl feysydd wedi eu llenwi'n gywir","OK"))))</f>
        <v/>
      </c>
      <c r="W22" s="521" t="str">
        <f>IF(I22="","",IF(VLOOKUP(I22,'Eligible Technologies'!$D$7:$G$69,4,FALSE)&lt;$F$9,VLOOKUP(I22,'Eligible Technologies'!$D$7:$G$69,4,FALSE),$F$9))</f>
        <v/>
      </c>
      <c r="X22" s="522" t="str">
        <f t="shared" si="13"/>
        <v/>
      </c>
      <c r="Y22" s="522">
        <f t="shared" ca="1" si="10"/>
        <v>0</v>
      </c>
      <c r="Z22" s="522" t="str">
        <f>'Extra look-up'!F16</f>
        <v/>
      </c>
      <c r="AA22" s="522" t="str">
        <f ca="1">'Extra look-up'!H16</f>
        <v>OK</v>
      </c>
      <c r="AB22" s="522">
        <f t="shared" ca="1" si="11"/>
        <v>1</v>
      </c>
      <c r="AC22" s="536" t="e">
        <f t="shared" si="12"/>
        <v>#VALUE!</v>
      </c>
      <c r="AD22" s="539" t="str">
        <f ca="1">IFERROR(AVERAGE($AH$101:INDIRECT(CONCATENATE("AH"&amp;AC22))),"")</f>
        <v/>
      </c>
      <c r="AE22" s="533"/>
      <c r="AF22" s="533"/>
      <c r="AG22" s="8" t="s">
        <v>85</v>
      </c>
      <c r="AH22" s="9" t="s">
        <v>86</v>
      </c>
      <c r="AI22" s="8" t="s">
        <v>86</v>
      </c>
      <c r="AJ22" s="8" t="s">
        <v>87</v>
      </c>
      <c r="AK22" s="9" t="s">
        <v>84</v>
      </c>
      <c r="AL22" s="9" t="s">
        <v>88</v>
      </c>
      <c r="AM22" s="6" t="s">
        <v>88</v>
      </c>
      <c r="AN22" s="6" t="s">
        <v>88</v>
      </c>
      <c r="AO22" s="6"/>
      <c r="AP22" s="6"/>
      <c r="AQ22" s="25"/>
    </row>
    <row r="23" spans="1:70" s="741" customFormat="1" ht="34" customHeight="1" x14ac:dyDescent="0.25">
      <c r="A23" s="158">
        <v>12</v>
      </c>
      <c r="B23" s="104"/>
      <c r="C23" s="114"/>
      <c r="D23" s="106"/>
      <c r="E23" s="107"/>
      <c r="F23" s="108"/>
      <c r="G23" s="133" t="str">
        <f t="shared" si="0"/>
        <v/>
      </c>
      <c r="H23" s="328"/>
      <c r="I23" s="846"/>
      <c r="J23" s="847"/>
      <c r="K23" s="109"/>
      <c r="L23" s="110"/>
      <c r="M23" s="136" t="str">
        <f t="shared" si="4"/>
        <v/>
      </c>
      <c r="N23" s="137">
        <f t="shared" si="5"/>
        <v>0</v>
      </c>
      <c r="O23" s="111"/>
      <c r="P23" s="145" t="str">
        <f t="shared" si="1"/>
        <v/>
      </c>
      <c r="Q23" s="146" t="str">
        <f t="shared" si="2"/>
        <v/>
      </c>
      <c r="R23" s="545" t="str">
        <f t="shared" si="3"/>
        <v/>
      </c>
      <c r="S23" s="147" t="str">
        <f t="shared" si="6"/>
        <v/>
      </c>
      <c r="T23" s="147" t="str">
        <f t="shared" si="7"/>
        <v/>
      </c>
      <c r="U23" s="148" t="str">
        <f t="shared" si="8"/>
        <v/>
      </c>
      <c r="V23" s="552" t="str">
        <f ca="1">IF('Extra look-up'!$H17="Math o Waith","Gwiriwch Math o Waith",IF(AND(D23="",F23="",H23="",I23="",L23="",M23=""),"",IF(OR(D23="",F23="",H23="",I23="",L23="",M23="",$L$9&lt;&gt;"OK"),"Gwiriwch bod yr holl feysydd wedi eu llenwi'n gywir",IF(AND(D23="",OR(F23&lt;&gt;"",H23&lt;&gt;"",I23&lt;&gt;"",L23&lt;&gt;"")),"Gwiriwch bod yr holl feysydd wedi eu llenwi'n gywir","OK"))))</f>
        <v/>
      </c>
      <c r="W23" s="521" t="str">
        <f>IF(I23="","",IF(VLOOKUP(I23,'Eligible Technologies'!$D$7:$G$69,4,FALSE)&lt;$F$9,VLOOKUP(I23,'Eligible Technologies'!$D$7:$G$69,4,FALSE),$F$9))</f>
        <v/>
      </c>
      <c r="X23" s="522" t="str">
        <f t="shared" si="13"/>
        <v/>
      </c>
      <c r="Y23" s="522">
        <f t="shared" ca="1" si="10"/>
        <v>0</v>
      </c>
      <c r="Z23" s="522" t="str">
        <f>'Extra look-up'!F17</f>
        <v/>
      </c>
      <c r="AA23" s="522" t="str">
        <f ca="1">'Extra look-up'!H17</f>
        <v>OK</v>
      </c>
      <c r="AB23" s="522">
        <f t="shared" ca="1" si="11"/>
        <v>1</v>
      </c>
      <c r="AC23" s="536" t="e">
        <f t="shared" si="12"/>
        <v>#VALUE!</v>
      </c>
      <c r="AD23" s="539" t="str">
        <f ca="1">IFERROR(AVERAGE($AH$101:INDIRECT(CONCATENATE("AH"&amp;AC23))),"")</f>
        <v/>
      </c>
      <c r="AE23" s="533"/>
      <c r="AF23" s="533"/>
      <c r="AG23" s="25" t="s">
        <v>89</v>
      </c>
      <c r="AH23" s="25" t="s">
        <v>90</v>
      </c>
      <c r="AI23" s="25" t="s">
        <v>90</v>
      </c>
      <c r="AJ23" s="25" t="s">
        <v>91</v>
      </c>
      <c r="AK23" s="25" t="s">
        <v>92</v>
      </c>
      <c r="AL23" s="25" t="s">
        <v>85</v>
      </c>
      <c r="AM23" s="6" t="s">
        <v>85</v>
      </c>
      <c r="AN23" s="6" t="s">
        <v>85</v>
      </c>
      <c r="AO23" s="6"/>
      <c r="AP23" s="6"/>
      <c r="AQ23" s="25"/>
    </row>
    <row r="24" spans="1:70" s="741" customFormat="1" ht="34" customHeight="1" x14ac:dyDescent="0.25">
      <c r="A24" s="158">
        <v>13</v>
      </c>
      <c r="B24" s="104"/>
      <c r="C24" s="114"/>
      <c r="D24" s="106"/>
      <c r="E24" s="107"/>
      <c r="F24" s="108"/>
      <c r="G24" s="133" t="str">
        <f t="shared" si="0"/>
        <v/>
      </c>
      <c r="H24" s="328"/>
      <c r="I24" s="846"/>
      <c r="J24" s="847"/>
      <c r="K24" s="109"/>
      <c r="L24" s="110"/>
      <c r="M24" s="136" t="str">
        <f t="shared" si="4"/>
        <v/>
      </c>
      <c r="N24" s="137">
        <f t="shared" si="5"/>
        <v>0</v>
      </c>
      <c r="O24" s="111"/>
      <c r="P24" s="145" t="str">
        <f t="shared" si="1"/>
        <v/>
      </c>
      <c r="Q24" s="146" t="str">
        <f t="shared" si="2"/>
        <v/>
      </c>
      <c r="R24" s="545" t="str">
        <f t="shared" si="3"/>
        <v/>
      </c>
      <c r="S24" s="147" t="str">
        <f t="shared" si="6"/>
        <v/>
      </c>
      <c r="T24" s="147" t="str">
        <f t="shared" si="7"/>
        <v/>
      </c>
      <c r="U24" s="148" t="str">
        <f t="shared" si="8"/>
        <v/>
      </c>
      <c r="V24" s="552" t="str">
        <f ca="1">IF('Extra look-up'!$H18="Math o Waith","Gwiriwch Math o Waith",IF(AND(D24="",F24="",H24="",I24="",L24="",M24=""),"",IF(OR(D24="",F24="",H24="",I24="",L24="",M24="",$L$9&lt;&gt;"OK"),"Gwiriwch bod yr holl feysydd wedi eu llenwi'n gywir",IF(AND(D24="",OR(F24&lt;&gt;"",H24&lt;&gt;"",I24&lt;&gt;"",L24&lt;&gt;"")),"Gwiriwch bod yr holl feysydd wedi eu llenwi'n gywir","OK"))))</f>
        <v/>
      </c>
      <c r="W24" s="521" t="str">
        <f>IF(I24="","",IF(VLOOKUP(I24,'Eligible Technologies'!$D$7:$G$69,4,FALSE)&lt;$F$9,VLOOKUP(I24,'Eligible Technologies'!$D$7:$G$69,4,FALSE),$F$9))</f>
        <v/>
      </c>
      <c r="X24" s="522" t="str">
        <f t="shared" si="13"/>
        <v/>
      </c>
      <c r="Y24" s="522">
        <f t="shared" ca="1" si="10"/>
        <v>0</v>
      </c>
      <c r="Z24" s="522" t="str">
        <f>'Extra look-up'!F18</f>
        <v/>
      </c>
      <c r="AA24" s="522" t="str">
        <f ca="1">'Extra look-up'!H18</f>
        <v>OK</v>
      </c>
      <c r="AB24" s="522">
        <f t="shared" ca="1" si="11"/>
        <v>1</v>
      </c>
      <c r="AC24" s="536" t="e">
        <f t="shared" si="12"/>
        <v>#VALUE!</v>
      </c>
      <c r="AD24" s="539" t="str">
        <f ca="1">IFERROR(AVERAGE($AH$101:INDIRECT(CONCATENATE("AH"&amp;AC24))),"")</f>
        <v/>
      </c>
      <c r="AE24" s="533"/>
      <c r="AF24" s="533"/>
      <c r="AG24" s="25" t="s">
        <v>93</v>
      </c>
      <c r="AH24" s="9" t="s">
        <v>94</v>
      </c>
      <c r="AI24" s="25" t="s">
        <v>94</v>
      </c>
      <c r="AJ24" s="25" t="s">
        <v>95</v>
      </c>
      <c r="AK24" s="25" t="s">
        <v>96</v>
      </c>
      <c r="AL24" s="25" t="s">
        <v>97</v>
      </c>
      <c r="AM24" s="6" t="s">
        <v>97</v>
      </c>
      <c r="AN24" s="6" t="s">
        <v>97</v>
      </c>
      <c r="AO24" s="6"/>
      <c r="AP24" s="6"/>
      <c r="AQ24" s="25"/>
    </row>
    <row r="25" spans="1:70" s="741" customFormat="1" ht="34" customHeight="1" x14ac:dyDescent="0.3">
      <c r="A25" s="158">
        <v>14</v>
      </c>
      <c r="B25" s="104"/>
      <c r="C25" s="114"/>
      <c r="D25" s="106"/>
      <c r="E25" s="107"/>
      <c r="F25" s="108"/>
      <c r="G25" s="133" t="str">
        <f t="shared" si="0"/>
        <v/>
      </c>
      <c r="H25" s="328"/>
      <c r="I25" s="846"/>
      <c r="J25" s="847"/>
      <c r="K25" s="109"/>
      <c r="L25" s="110"/>
      <c r="M25" s="136" t="str">
        <f t="shared" si="4"/>
        <v/>
      </c>
      <c r="N25" s="137">
        <f t="shared" si="5"/>
        <v>0</v>
      </c>
      <c r="O25" s="111"/>
      <c r="P25" s="145" t="str">
        <f t="shared" si="1"/>
        <v/>
      </c>
      <c r="Q25" s="146" t="str">
        <f t="shared" si="2"/>
        <v/>
      </c>
      <c r="R25" s="545" t="str">
        <f t="shared" si="3"/>
        <v/>
      </c>
      <c r="S25" s="147" t="str">
        <f t="shared" si="6"/>
        <v/>
      </c>
      <c r="T25" s="147" t="str">
        <f t="shared" si="7"/>
        <v/>
      </c>
      <c r="U25" s="148" t="str">
        <f t="shared" si="8"/>
        <v/>
      </c>
      <c r="V25" s="552" t="str">
        <f ca="1">IF('Extra look-up'!$H19="Math o Waith","Gwiriwch Math o Waith",IF(AND(D25="",F25="",H25="",I25="",L25="",M25=""),"",IF(OR(D25="",F25="",H25="",I25="",L25="",M25="",$L$9&lt;&gt;"OK"),"Gwiriwch bod yr holl feysydd wedi eu llenwi'n gywir",IF(AND(D25="",OR(F25&lt;&gt;"",H25&lt;&gt;"",I25&lt;&gt;"",L25&lt;&gt;"")),"Gwiriwch bod yr holl feysydd wedi eu llenwi'n gywir","OK"))))</f>
        <v/>
      </c>
      <c r="W25" s="521" t="str">
        <f>IF(I25="","",IF(VLOOKUP(I25,'Eligible Technologies'!$D$7:$G$69,4,FALSE)&lt;$F$9,VLOOKUP(I25,'Eligible Technologies'!$D$7:$G$69,4,FALSE),$F$9))</f>
        <v/>
      </c>
      <c r="X25" s="522" t="str">
        <f t="shared" si="13"/>
        <v/>
      </c>
      <c r="Y25" s="522">
        <f t="shared" ca="1" si="10"/>
        <v>0</v>
      </c>
      <c r="Z25" s="522" t="str">
        <f>'Extra look-up'!F19</f>
        <v/>
      </c>
      <c r="AA25" s="522" t="str">
        <f ca="1">'Extra look-up'!H19</f>
        <v>OK</v>
      </c>
      <c r="AB25" s="522">
        <f t="shared" ca="1" si="11"/>
        <v>1</v>
      </c>
      <c r="AC25" s="536" t="e">
        <f t="shared" si="12"/>
        <v>#VALUE!</v>
      </c>
      <c r="AD25" s="539" t="str">
        <f ca="1">IFERROR(AVERAGE($AH$101:INDIRECT(CONCATENATE("AH"&amp;AC25))),"")</f>
        <v/>
      </c>
      <c r="AE25" s="533"/>
      <c r="AF25" s="533"/>
      <c r="AG25" s="9" t="s">
        <v>98</v>
      </c>
      <c r="AH25" s="9" t="s">
        <v>89</v>
      </c>
      <c r="AI25" s="8" t="s">
        <v>89</v>
      </c>
      <c r="AJ25" s="8" t="s">
        <v>99</v>
      </c>
      <c r="AK25" s="9" t="s">
        <v>100</v>
      </c>
      <c r="AL25" s="9" t="s">
        <v>98</v>
      </c>
      <c r="AM25" s="11" t="s">
        <v>98</v>
      </c>
      <c r="AN25" s="11" t="s">
        <v>98</v>
      </c>
      <c r="AO25" s="6"/>
      <c r="AP25" s="6"/>
      <c r="AQ25" s="25"/>
    </row>
    <row r="26" spans="1:70" s="741" customFormat="1" ht="34" customHeight="1" thickBot="1" x14ac:dyDescent="0.35">
      <c r="A26" s="158">
        <v>15</v>
      </c>
      <c r="B26" s="104"/>
      <c r="C26" s="114"/>
      <c r="D26" s="106"/>
      <c r="E26" s="107"/>
      <c r="F26" s="108"/>
      <c r="G26" s="133" t="str">
        <f t="shared" si="0"/>
        <v/>
      </c>
      <c r="H26" s="328"/>
      <c r="I26" s="846"/>
      <c r="J26" s="847"/>
      <c r="K26" s="109"/>
      <c r="L26" s="110"/>
      <c r="M26" s="136" t="str">
        <f t="shared" si="4"/>
        <v/>
      </c>
      <c r="N26" s="137">
        <f t="shared" si="5"/>
        <v>0</v>
      </c>
      <c r="O26" s="111"/>
      <c r="P26" s="145" t="str">
        <f t="shared" si="1"/>
        <v/>
      </c>
      <c r="Q26" s="146" t="str">
        <f t="shared" si="2"/>
        <v/>
      </c>
      <c r="R26" s="545" t="str">
        <f t="shared" si="3"/>
        <v/>
      </c>
      <c r="S26" s="147" t="str">
        <f t="shared" si="6"/>
        <v/>
      </c>
      <c r="T26" s="147" t="str">
        <f t="shared" si="7"/>
        <v/>
      </c>
      <c r="U26" s="148" t="str">
        <f t="shared" si="8"/>
        <v/>
      </c>
      <c r="V26" s="552" t="str">
        <f ca="1">IF('Extra look-up'!$H20="Math o Waith","Gwiriwch Math o Waith",IF(AND(D26="",F26="",H26="",I26="",L26="",M26=""),"",IF(OR(D26="",F26="",H26="",I26="",L26="",M26="",$L$9&lt;&gt;"OK"),"Gwiriwch bod yr holl feysydd wedi eu llenwi'n gywir",IF(AND(D26="",OR(F26&lt;&gt;"",H26&lt;&gt;"",I26&lt;&gt;"",L26&lt;&gt;"")),"Gwiriwch bod yr holl feysydd wedi eu llenwi'n gywir","OK"))))</f>
        <v/>
      </c>
      <c r="W26" s="521" t="str">
        <f>IF(I26="","",IF(VLOOKUP(I26,'Eligible Technologies'!$D$7:$G$69,4,FALSE)&lt;$F$9,VLOOKUP(I26,'Eligible Technologies'!$D$7:$G$69,4,FALSE),$F$9))</f>
        <v/>
      </c>
      <c r="X26" s="522" t="str">
        <f t="shared" si="13"/>
        <v/>
      </c>
      <c r="Y26" s="522">
        <f t="shared" ca="1" si="10"/>
        <v>0</v>
      </c>
      <c r="Z26" s="522" t="str">
        <f>'Extra look-up'!F20</f>
        <v/>
      </c>
      <c r="AA26" s="522" t="str">
        <f ca="1">'Extra look-up'!H20</f>
        <v>OK</v>
      </c>
      <c r="AB26" s="522">
        <f t="shared" ca="1" si="11"/>
        <v>1</v>
      </c>
      <c r="AC26" s="536" t="e">
        <f t="shared" si="12"/>
        <v>#VALUE!</v>
      </c>
      <c r="AD26" s="539" t="str">
        <f ca="1">IFERROR(AVERAGE($AH$101:INDIRECT(CONCATENATE("AH"&amp;AC26))),"")</f>
        <v/>
      </c>
      <c r="AE26" s="533"/>
      <c r="AF26" s="533"/>
      <c r="AG26" s="9" t="s">
        <v>101</v>
      </c>
      <c r="AH26" s="9" t="s">
        <v>102</v>
      </c>
      <c r="AI26" s="8" t="s">
        <v>102</v>
      </c>
      <c r="AJ26" s="8" t="s">
        <v>97</v>
      </c>
      <c r="AK26" s="9" t="s">
        <v>103</v>
      </c>
      <c r="AL26" s="9" t="s">
        <v>104</v>
      </c>
      <c r="AM26" s="11" t="s">
        <v>104</v>
      </c>
      <c r="AN26" s="11" t="s">
        <v>104</v>
      </c>
      <c r="AO26" s="6"/>
      <c r="AP26" s="6"/>
      <c r="AQ26" s="6"/>
    </row>
    <row r="27" spans="1:70" s="741" customFormat="1" ht="34" hidden="1" customHeight="1" x14ac:dyDescent="0.25">
      <c r="A27" s="158">
        <v>16</v>
      </c>
      <c r="B27" s="104"/>
      <c r="C27" s="114"/>
      <c r="D27" s="106"/>
      <c r="E27" s="107"/>
      <c r="F27" s="108"/>
      <c r="G27" s="133" t="str">
        <f t="shared" si="0"/>
        <v/>
      </c>
      <c r="H27" s="328"/>
      <c r="I27" s="846"/>
      <c r="J27" s="847"/>
      <c r="K27" s="109"/>
      <c r="L27" s="110"/>
      <c r="M27" s="136" t="str">
        <f t="shared" si="4"/>
        <v/>
      </c>
      <c r="N27" s="137">
        <f t="shared" si="5"/>
        <v>0</v>
      </c>
      <c r="O27" s="111"/>
      <c r="P27" s="145" t="str">
        <f t="shared" si="1"/>
        <v/>
      </c>
      <c r="Q27" s="146" t="str">
        <f t="shared" si="2"/>
        <v/>
      </c>
      <c r="R27" s="545" t="str">
        <f t="shared" si="3"/>
        <v/>
      </c>
      <c r="S27" s="147" t="str">
        <f t="shared" si="6"/>
        <v/>
      </c>
      <c r="T27" s="147" t="str">
        <f t="shared" si="7"/>
        <v/>
      </c>
      <c r="U27" s="148" t="str">
        <f t="shared" si="8"/>
        <v/>
      </c>
      <c r="V27" s="552" t="str">
        <f ca="1">IF('Extra look-up'!$H21="Math o Waith","Gwiriwch Math o Waith",IF(AND(D27="",F27="",H27="",I27="",L27="",M27=""),"",IF(OR(D27="",F27="",H27="",I27="",L27="",M27="",$L$9&lt;&gt;"OK"),"Gwiriwch bod yr holl feysydd wedi eu llenwi'n gywir",IF(AND(D27="",OR(F27&lt;&gt;"",H27&lt;&gt;"",I27&lt;&gt;"",L27&lt;&gt;"")),"Gwiriwch bod yr holl feysydd wedi eu llenwi'n gywir","OK"))))</f>
        <v/>
      </c>
      <c r="W27" s="521" t="str">
        <f>IF(I27="","",IF(VLOOKUP(I27,'Eligible Technologies'!$D$7:$G$69,4,FALSE)&lt;$F$9,VLOOKUP(I27,'Eligible Technologies'!$D$7:$G$69,4,FALSE),$F$9))</f>
        <v/>
      </c>
      <c r="X27" s="522" t="str">
        <f t="shared" si="13"/>
        <v/>
      </c>
      <c r="Y27" s="522">
        <f t="shared" ca="1" si="10"/>
        <v>0</v>
      </c>
      <c r="Z27" s="522" t="str">
        <f>'Extra look-up'!F21</f>
        <v/>
      </c>
      <c r="AA27" s="522" t="str">
        <f ca="1">'Extra look-up'!H21</f>
        <v>OK</v>
      </c>
      <c r="AB27" s="522">
        <f t="shared" ca="1" si="11"/>
        <v>1</v>
      </c>
      <c r="AC27" s="536" t="e">
        <f t="shared" si="12"/>
        <v>#VALUE!</v>
      </c>
      <c r="AD27" s="539" t="str">
        <f ca="1">IFERROR(AVERAGE($AH$101:INDIRECT(CONCATENATE("AH"&amp;AC27))),"")</f>
        <v/>
      </c>
      <c r="AE27" s="533"/>
      <c r="AF27" s="533"/>
      <c r="AG27" s="9" t="s">
        <v>105</v>
      </c>
      <c r="AH27" s="10" t="s">
        <v>100</v>
      </c>
      <c r="AI27" s="8" t="s">
        <v>100</v>
      </c>
      <c r="AJ27" s="8" t="s">
        <v>101</v>
      </c>
      <c r="AK27" s="9" t="s">
        <v>104</v>
      </c>
      <c r="AL27" s="9" t="s">
        <v>106</v>
      </c>
      <c r="AM27" s="6" t="s">
        <v>106</v>
      </c>
      <c r="AN27" s="6" t="s">
        <v>106</v>
      </c>
      <c r="AO27" s="6"/>
      <c r="AP27" s="6"/>
      <c r="AQ27" s="6"/>
    </row>
    <row r="28" spans="1:70" s="741" customFormat="1" ht="34" hidden="1" customHeight="1" x14ac:dyDescent="0.3">
      <c r="A28" s="158">
        <v>17</v>
      </c>
      <c r="B28" s="104"/>
      <c r="C28" s="114"/>
      <c r="D28" s="106"/>
      <c r="E28" s="107"/>
      <c r="F28" s="108"/>
      <c r="G28" s="133" t="str">
        <f t="shared" si="0"/>
        <v/>
      </c>
      <c r="H28" s="328"/>
      <c r="I28" s="846"/>
      <c r="J28" s="847"/>
      <c r="K28" s="109"/>
      <c r="L28" s="110"/>
      <c r="M28" s="136" t="str">
        <f t="shared" si="4"/>
        <v/>
      </c>
      <c r="N28" s="137">
        <f t="shared" si="5"/>
        <v>0</v>
      </c>
      <c r="O28" s="111"/>
      <c r="P28" s="145" t="str">
        <f t="shared" si="1"/>
        <v/>
      </c>
      <c r="Q28" s="146" t="str">
        <f t="shared" si="2"/>
        <v/>
      </c>
      <c r="R28" s="545" t="str">
        <f t="shared" si="3"/>
        <v/>
      </c>
      <c r="S28" s="147" t="str">
        <f t="shared" si="6"/>
        <v/>
      </c>
      <c r="T28" s="147" t="str">
        <f t="shared" si="7"/>
        <v/>
      </c>
      <c r="U28" s="148" t="str">
        <f t="shared" si="8"/>
        <v/>
      </c>
      <c r="V28" s="552" t="str">
        <f ca="1">IF('Extra look-up'!$H22="Math o Waith","Gwiriwch Math o Waith",IF(AND(D28="",F28="",H28="",I28="",L28="",M28=""),"",IF(OR(D28="",F28="",H28="",I28="",L28="",M28="",$L$9&lt;&gt;"OK"),"Gwiriwch bod yr holl feysydd wedi eu llenwi'n gywir",IF(AND(D28="",OR(F28&lt;&gt;"",H28&lt;&gt;"",I28&lt;&gt;"",L28&lt;&gt;"")),"Gwiriwch bod yr holl feysydd wedi eu llenwi'n gywir","OK"))))</f>
        <v/>
      </c>
      <c r="W28" s="521" t="str">
        <f>IF(I28="","",IF(VLOOKUP(I28,'Eligible Technologies'!$D$7:$G$69,4,FALSE)&lt;$F$9,VLOOKUP(I28,'Eligible Technologies'!$D$7:$G$69,4,FALSE),$F$9))</f>
        <v/>
      </c>
      <c r="X28" s="522" t="str">
        <f t="shared" si="13"/>
        <v/>
      </c>
      <c r="Y28" s="522">
        <f t="shared" ca="1" si="10"/>
        <v>0</v>
      </c>
      <c r="Z28" s="522" t="str">
        <f>'Extra look-up'!F22</f>
        <v/>
      </c>
      <c r="AA28" s="522" t="str">
        <f ca="1">'Extra look-up'!H22</f>
        <v>OK</v>
      </c>
      <c r="AB28" s="522">
        <f t="shared" ca="1" si="11"/>
        <v>1</v>
      </c>
      <c r="AC28" s="536" t="e">
        <f t="shared" si="12"/>
        <v>#VALUE!</v>
      </c>
      <c r="AD28" s="539" t="str">
        <f ca="1">IFERROR(AVERAGE($AH$101:INDIRECT(CONCATENATE("AH"&amp;AC28))),"")</f>
        <v/>
      </c>
      <c r="AE28" s="533"/>
      <c r="AF28" s="533"/>
      <c r="AG28" s="10" t="s">
        <v>107</v>
      </c>
      <c r="AH28" s="12" t="s">
        <v>108</v>
      </c>
      <c r="AI28" s="10" t="s">
        <v>108</v>
      </c>
      <c r="AJ28" s="10" t="s">
        <v>106</v>
      </c>
      <c r="AK28" s="10" t="s">
        <v>105</v>
      </c>
      <c r="AL28" s="10" t="s">
        <v>105</v>
      </c>
      <c r="AM28" s="6" t="s">
        <v>105</v>
      </c>
      <c r="AN28" s="6" t="s">
        <v>105</v>
      </c>
      <c r="AO28" s="11"/>
      <c r="AP28" s="6"/>
      <c r="AQ28" s="6"/>
    </row>
    <row r="29" spans="1:70" s="741" customFormat="1" ht="34" hidden="1" customHeight="1" x14ac:dyDescent="0.3">
      <c r="A29" s="158">
        <v>18</v>
      </c>
      <c r="B29" s="104"/>
      <c r="C29" s="114"/>
      <c r="D29" s="106"/>
      <c r="E29" s="107"/>
      <c r="F29" s="108"/>
      <c r="G29" s="133" t="str">
        <f t="shared" si="0"/>
        <v/>
      </c>
      <c r="H29" s="328"/>
      <c r="I29" s="846"/>
      <c r="J29" s="847"/>
      <c r="K29" s="109"/>
      <c r="L29" s="110"/>
      <c r="M29" s="136" t="str">
        <f t="shared" si="4"/>
        <v/>
      </c>
      <c r="N29" s="137">
        <f t="shared" si="5"/>
        <v>0</v>
      </c>
      <c r="O29" s="111"/>
      <c r="P29" s="145" t="str">
        <f t="shared" si="1"/>
        <v/>
      </c>
      <c r="Q29" s="146" t="str">
        <f t="shared" si="2"/>
        <v/>
      </c>
      <c r="R29" s="545" t="str">
        <f t="shared" si="3"/>
        <v/>
      </c>
      <c r="S29" s="147" t="str">
        <f t="shared" si="6"/>
        <v/>
      </c>
      <c r="T29" s="147" t="str">
        <f t="shared" si="7"/>
        <v/>
      </c>
      <c r="U29" s="148" t="str">
        <f t="shared" si="8"/>
        <v/>
      </c>
      <c r="V29" s="552" t="str">
        <f ca="1">IF('Extra look-up'!$H23="Math o Waith","Gwiriwch Math o Waith",IF(AND(D29="",F29="",H29="",I29="",L29="",M29=""),"",IF(OR(D29="",F29="",H29="",I29="",L29="",M29="",$L$9&lt;&gt;"OK"),"Gwiriwch bod yr holl feysydd wedi eu llenwi'n gywir",IF(AND(D29="",OR(F29&lt;&gt;"",H29&lt;&gt;"",I29&lt;&gt;"",L29&lt;&gt;"")),"Gwiriwch bod yr holl feysydd wedi eu llenwi'n gywir","OK"))))</f>
        <v/>
      </c>
      <c r="W29" s="521" t="str">
        <f>IF(I29="","",IF(VLOOKUP(I29,'Eligible Technologies'!$D$7:$G$69,4,FALSE)&lt;$F$9,VLOOKUP(I29,'Eligible Technologies'!$D$7:$G$69,4,FALSE),$F$9))</f>
        <v/>
      </c>
      <c r="X29" s="522" t="str">
        <f t="shared" si="13"/>
        <v/>
      </c>
      <c r="Y29" s="522">
        <f t="shared" ca="1" si="10"/>
        <v>0</v>
      </c>
      <c r="Z29" s="522" t="str">
        <f>'Extra look-up'!F23</f>
        <v/>
      </c>
      <c r="AA29" s="522" t="str">
        <f ca="1">'Extra look-up'!H23</f>
        <v>OK</v>
      </c>
      <c r="AB29" s="522">
        <f t="shared" ca="1" si="11"/>
        <v>1</v>
      </c>
      <c r="AC29" s="536" t="e">
        <f t="shared" si="12"/>
        <v>#VALUE!</v>
      </c>
      <c r="AD29" s="539" t="str">
        <f ca="1">IFERROR(AVERAGE($AH$101:INDIRECT(CONCATENATE("AH"&amp;AC29))),"")</f>
        <v/>
      </c>
      <c r="AE29" s="533"/>
      <c r="AF29" s="533"/>
      <c r="AG29" s="12" t="s">
        <v>109</v>
      </c>
      <c r="AH29" s="10" t="s">
        <v>98</v>
      </c>
      <c r="AI29" s="12" t="s">
        <v>98</v>
      </c>
      <c r="AJ29" s="12" t="s">
        <v>110</v>
      </c>
      <c r="AK29" s="12" t="s">
        <v>111</v>
      </c>
      <c r="AL29" s="12" t="s">
        <v>111</v>
      </c>
      <c r="AM29" s="6" t="s">
        <v>112</v>
      </c>
      <c r="AN29" s="6" t="s">
        <v>112</v>
      </c>
      <c r="AO29" s="11"/>
      <c r="AP29" s="11"/>
      <c r="AQ29" s="24"/>
      <c r="AR29" s="731"/>
      <c r="AS29" s="731"/>
      <c r="AT29" s="731"/>
      <c r="AU29" s="731"/>
      <c r="AV29" s="731"/>
      <c r="AW29" s="731"/>
      <c r="AX29" s="731"/>
      <c r="AY29" s="731"/>
      <c r="AZ29" s="731"/>
      <c r="BA29" s="731"/>
      <c r="BB29" s="731"/>
      <c r="BC29" s="731"/>
      <c r="BD29" s="731"/>
      <c r="BE29" s="731"/>
      <c r="BF29" s="731"/>
      <c r="BG29" s="731"/>
      <c r="BH29" s="731"/>
      <c r="BI29" s="731"/>
      <c r="BJ29" s="731"/>
      <c r="BK29" s="731"/>
      <c r="BL29" s="731"/>
      <c r="BM29" s="731"/>
      <c r="BN29" s="731"/>
      <c r="BO29" s="731"/>
      <c r="BP29" s="731"/>
      <c r="BQ29" s="731"/>
      <c r="BR29" s="731"/>
    </row>
    <row r="30" spans="1:70" s="741" customFormat="1" ht="34" hidden="1" customHeight="1" x14ac:dyDescent="0.3">
      <c r="A30" s="158">
        <v>19</v>
      </c>
      <c r="B30" s="104"/>
      <c r="C30" s="114"/>
      <c r="D30" s="106"/>
      <c r="E30" s="107"/>
      <c r="F30" s="108"/>
      <c r="G30" s="133" t="str">
        <f t="shared" si="0"/>
        <v/>
      </c>
      <c r="H30" s="328"/>
      <c r="I30" s="846"/>
      <c r="J30" s="847"/>
      <c r="K30" s="109"/>
      <c r="L30" s="110"/>
      <c r="M30" s="136" t="str">
        <f t="shared" si="4"/>
        <v/>
      </c>
      <c r="N30" s="137">
        <f t="shared" si="5"/>
        <v>0</v>
      </c>
      <c r="O30" s="111"/>
      <c r="P30" s="145" t="str">
        <f t="shared" si="1"/>
        <v/>
      </c>
      <c r="Q30" s="146" t="str">
        <f t="shared" si="2"/>
        <v/>
      </c>
      <c r="R30" s="545" t="str">
        <f t="shared" si="3"/>
        <v/>
      </c>
      <c r="S30" s="147" t="str">
        <f t="shared" si="6"/>
        <v/>
      </c>
      <c r="T30" s="147" t="str">
        <f t="shared" si="7"/>
        <v/>
      </c>
      <c r="U30" s="148" t="str">
        <f t="shared" si="8"/>
        <v/>
      </c>
      <c r="V30" s="552" t="str">
        <f ca="1">IF('Extra look-up'!$H24="Math o Waith","Gwiriwch Math o Waith",IF(AND(D30="",F30="",H30="",I30="",L30="",M30=""),"",IF(OR(D30="",F30="",H30="",I30="",L30="",M30="",$L$9&lt;&gt;"OK"),"Gwiriwch bod yr holl feysydd wedi eu llenwi'n gywir",IF(AND(D30="",OR(F30&lt;&gt;"",H30&lt;&gt;"",I30&lt;&gt;"",L30&lt;&gt;"")),"Gwiriwch bod yr holl feysydd wedi eu llenwi'n gywir","OK"))))</f>
        <v/>
      </c>
      <c r="W30" s="521" t="str">
        <f>IF(I30="","",IF(VLOOKUP(I30,'Eligible Technologies'!$D$7:$G$69,4,FALSE)&lt;$F$9,VLOOKUP(I30,'Eligible Technologies'!$D$7:$G$69,4,FALSE),$F$9))</f>
        <v/>
      </c>
      <c r="X30" s="522" t="str">
        <f t="shared" si="13"/>
        <v/>
      </c>
      <c r="Y30" s="522">
        <f t="shared" ca="1" si="10"/>
        <v>0</v>
      </c>
      <c r="Z30" s="522" t="str">
        <f>'Extra look-up'!F24</f>
        <v/>
      </c>
      <c r="AA30" s="522" t="str">
        <f ca="1">'Extra look-up'!H24</f>
        <v>OK</v>
      </c>
      <c r="AB30" s="522">
        <f t="shared" ca="1" si="11"/>
        <v>1</v>
      </c>
      <c r="AC30" s="536" t="e">
        <f t="shared" si="12"/>
        <v>#VALUE!</v>
      </c>
      <c r="AD30" s="539" t="str">
        <f ca="1">IFERROR(AVERAGE($AH$101:INDIRECT(CONCATENATE("AH"&amp;AC30))),"")</f>
        <v/>
      </c>
      <c r="AE30" s="533"/>
      <c r="AF30" s="533"/>
      <c r="AG30" s="10" t="s">
        <v>111</v>
      </c>
      <c r="AH30" s="10" t="s">
        <v>101</v>
      </c>
      <c r="AI30" s="10" t="s">
        <v>101</v>
      </c>
      <c r="AJ30" s="10" t="s">
        <v>113</v>
      </c>
      <c r="AK30" s="10"/>
      <c r="AL30" s="10" t="s">
        <v>114</v>
      </c>
      <c r="AM30" s="11" t="s">
        <v>115</v>
      </c>
      <c r="AN30" s="11" t="s">
        <v>115</v>
      </c>
      <c r="AO30" s="11"/>
      <c r="AP30" s="11"/>
      <c r="AQ30" s="24"/>
      <c r="AR30" s="731"/>
      <c r="AS30" s="731"/>
      <c r="AT30" s="731"/>
      <c r="AU30" s="731"/>
      <c r="AV30" s="731"/>
      <c r="AW30" s="731"/>
      <c r="AX30" s="731"/>
      <c r="AY30" s="731"/>
      <c r="AZ30" s="731"/>
      <c r="BA30" s="731"/>
      <c r="BB30" s="731"/>
      <c r="BC30" s="731"/>
      <c r="BD30" s="731"/>
      <c r="BE30" s="731"/>
      <c r="BF30" s="731"/>
      <c r="BG30" s="731"/>
      <c r="BH30" s="731"/>
      <c r="BI30" s="731"/>
      <c r="BJ30" s="731"/>
      <c r="BK30" s="731"/>
      <c r="BL30" s="731"/>
      <c r="BM30" s="731"/>
      <c r="BN30" s="731"/>
      <c r="BO30" s="731"/>
      <c r="BP30" s="731"/>
      <c r="BQ30" s="731"/>
      <c r="BR30" s="731"/>
    </row>
    <row r="31" spans="1:70" s="741" customFormat="1" ht="34" hidden="1" customHeight="1" x14ac:dyDescent="0.3">
      <c r="A31" s="158">
        <v>20</v>
      </c>
      <c r="B31" s="104"/>
      <c r="C31" s="114"/>
      <c r="D31" s="106"/>
      <c r="E31" s="107"/>
      <c r="F31" s="108"/>
      <c r="G31" s="133" t="str">
        <f t="shared" si="0"/>
        <v/>
      </c>
      <c r="H31" s="328"/>
      <c r="I31" s="846"/>
      <c r="J31" s="847"/>
      <c r="K31" s="109"/>
      <c r="L31" s="110"/>
      <c r="M31" s="136" t="str">
        <f t="shared" si="4"/>
        <v/>
      </c>
      <c r="N31" s="137">
        <f t="shared" si="5"/>
        <v>0</v>
      </c>
      <c r="O31" s="111"/>
      <c r="P31" s="145" t="str">
        <f t="shared" si="1"/>
        <v/>
      </c>
      <c r="Q31" s="146" t="str">
        <f t="shared" si="2"/>
        <v/>
      </c>
      <c r="R31" s="545" t="str">
        <f t="shared" si="3"/>
        <v/>
      </c>
      <c r="S31" s="147" t="str">
        <f t="shared" si="6"/>
        <v/>
      </c>
      <c r="T31" s="147" t="str">
        <f t="shared" si="7"/>
        <v/>
      </c>
      <c r="U31" s="148" t="str">
        <f t="shared" si="8"/>
        <v/>
      </c>
      <c r="V31" s="552" t="str">
        <f ca="1">IF('Extra look-up'!$H25="Math o Waith","Gwiriwch Math o Waith",IF(AND(D31="",F31="",H31="",I31="",L31="",M31=""),"",IF(OR(D31="",F31="",H31="",I31="",L31="",M31="",$L$9&lt;&gt;"OK"),"Gwiriwch bod yr holl feysydd wedi eu llenwi'n gywir",IF(AND(D31="",OR(F31&lt;&gt;"",H31&lt;&gt;"",I31&lt;&gt;"",L31&lt;&gt;"")),"Gwiriwch bod yr holl feysydd wedi eu llenwi'n gywir","OK"))))</f>
        <v/>
      </c>
      <c r="W31" s="521" t="str">
        <f>IF(I31="","",IF(VLOOKUP(I31,'Eligible Technologies'!$D$7:$G$69,4,FALSE)&lt;$F$9,VLOOKUP(I31,'Eligible Technologies'!$D$7:$G$69,4,FALSE),$F$9))</f>
        <v/>
      </c>
      <c r="X31" s="522" t="str">
        <f t="shared" si="13"/>
        <v/>
      </c>
      <c r="Y31" s="522">
        <f t="shared" ca="1" si="10"/>
        <v>0</v>
      </c>
      <c r="Z31" s="522" t="str">
        <f>'Extra look-up'!F25</f>
        <v/>
      </c>
      <c r="AA31" s="522" t="str">
        <f ca="1">'Extra look-up'!H25</f>
        <v>OK</v>
      </c>
      <c r="AB31" s="522">
        <f t="shared" ca="1" si="11"/>
        <v>1</v>
      </c>
      <c r="AC31" s="536" t="e">
        <f t="shared" si="12"/>
        <v>#VALUE!</v>
      </c>
      <c r="AD31" s="539" t="str">
        <f ca="1">IFERROR(AVERAGE($AH$101:INDIRECT(CONCATENATE("AH"&amp;AC31))),"")</f>
        <v/>
      </c>
      <c r="AE31" s="533"/>
      <c r="AF31" s="533"/>
      <c r="AG31" s="10"/>
      <c r="AH31" s="10" t="s">
        <v>106</v>
      </c>
      <c r="AI31" s="10" t="s">
        <v>106</v>
      </c>
      <c r="AJ31" s="10" t="s">
        <v>116</v>
      </c>
      <c r="AK31" s="10"/>
      <c r="AL31" s="10"/>
      <c r="AM31" s="11"/>
      <c r="AN31" s="6"/>
      <c r="AO31" s="11"/>
      <c r="AP31" s="11"/>
      <c r="AQ31" s="24"/>
      <c r="AR31" s="731"/>
      <c r="AS31" s="731"/>
      <c r="AT31" s="731"/>
      <c r="AU31" s="731"/>
      <c r="AV31" s="731"/>
      <c r="AW31" s="731"/>
      <c r="AX31" s="731"/>
      <c r="AY31" s="731"/>
      <c r="AZ31" s="731"/>
      <c r="BA31" s="731"/>
      <c r="BB31" s="731"/>
      <c r="BC31" s="731"/>
      <c r="BD31" s="731"/>
      <c r="BE31" s="731"/>
      <c r="BF31" s="731"/>
      <c r="BG31" s="731"/>
      <c r="BH31" s="731"/>
      <c r="BI31" s="731"/>
      <c r="BJ31" s="731"/>
      <c r="BK31" s="731"/>
      <c r="BL31" s="731"/>
      <c r="BM31" s="731"/>
      <c r="BN31" s="731"/>
      <c r="BO31" s="731"/>
      <c r="BP31" s="731"/>
      <c r="BQ31" s="731"/>
      <c r="BR31" s="731"/>
    </row>
    <row r="32" spans="1:70" s="741" customFormat="1" ht="34" hidden="1" customHeight="1" x14ac:dyDescent="0.3">
      <c r="A32" s="158">
        <v>21</v>
      </c>
      <c r="B32" s="104"/>
      <c r="C32" s="114"/>
      <c r="D32" s="106"/>
      <c r="E32" s="107"/>
      <c r="F32" s="108"/>
      <c r="G32" s="133" t="str">
        <f t="shared" si="0"/>
        <v/>
      </c>
      <c r="H32" s="328"/>
      <c r="I32" s="846"/>
      <c r="J32" s="847"/>
      <c r="K32" s="109"/>
      <c r="L32" s="110"/>
      <c r="M32" s="136" t="str">
        <f t="shared" si="4"/>
        <v/>
      </c>
      <c r="N32" s="137">
        <f t="shared" si="5"/>
        <v>0</v>
      </c>
      <c r="O32" s="111"/>
      <c r="P32" s="145" t="str">
        <f t="shared" si="1"/>
        <v/>
      </c>
      <c r="Q32" s="146" t="str">
        <f t="shared" si="2"/>
        <v/>
      </c>
      <c r="R32" s="545" t="str">
        <f t="shared" si="3"/>
        <v/>
      </c>
      <c r="S32" s="147" t="str">
        <f t="shared" si="6"/>
        <v/>
      </c>
      <c r="T32" s="147" t="str">
        <f t="shared" si="7"/>
        <v/>
      </c>
      <c r="U32" s="148" t="str">
        <f t="shared" si="8"/>
        <v/>
      </c>
      <c r="V32" s="552" t="str">
        <f ca="1">IF('Extra look-up'!$H26="Math o Waith","Gwiriwch Math o Waith",IF(AND(D32="",F32="",H32="",I32="",L32="",M32=""),"",IF(OR(D32="",F32="",H32="",I32="",L32="",M32="",$L$9&lt;&gt;"OK"),"Gwiriwch bod yr holl feysydd wedi eu llenwi'n gywir",IF(AND(D32="",OR(F32&lt;&gt;"",H32&lt;&gt;"",I32&lt;&gt;"",L32&lt;&gt;"")),"Gwiriwch bod yr holl feysydd wedi eu llenwi'n gywir","OK"))))</f>
        <v/>
      </c>
      <c r="W32" s="521" t="str">
        <f>IF(I32="","",IF(VLOOKUP(I32,'Eligible Technologies'!$D$7:$G$69,4,FALSE)&lt;$F$9,VLOOKUP(I32,'Eligible Technologies'!$D$7:$G$69,4,FALSE),$F$9))</f>
        <v/>
      </c>
      <c r="X32" s="522" t="str">
        <f t="shared" si="13"/>
        <v/>
      </c>
      <c r="Y32" s="522">
        <f t="shared" ca="1" si="10"/>
        <v>0</v>
      </c>
      <c r="Z32" s="522" t="str">
        <f>'Extra look-up'!F26</f>
        <v/>
      </c>
      <c r="AA32" s="522" t="str">
        <f ca="1">'Extra look-up'!H26</f>
        <v>OK</v>
      </c>
      <c r="AB32" s="522">
        <f t="shared" ca="1" si="11"/>
        <v>1</v>
      </c>
      <c r="AC32" s="536" t="e">
        <f t="shared" si="12"/>
        <v>#VALUE!</v>
      </c>
      <c r="AD32" s="539" t="str">
        <f ca="1">IFERROR(AVERAGE($AH$101:INDIRECT(CONCATENATE("AH"&amp;AC32))),"")</f>
        <v/>
      </c>
      <c r="AE32" s="533"/>
      <c r="AF32" s="533"/>
      <c r="AG32" s="10"/>
      <c r="AH32" s="12" t="s">
        <v>105</v>
      </c>
      <c r="AI32" s="10" t="s">
        <v>105</v>
      </c>
      <c r="AJ32" s="10" t="s">
        <v>117</v>
      </c>
      <c r="AK32" s="10"/>
      <c r="AL32" s="10"/>
      <c r="AM32" s="11"/>
      <c r="AN32" s="6"/>
      <c r="AO32" s="11"/>
      <c r="AP32" s="11"/>
      <c r="AQ32" s="24"/>
      <c r="AR32" s="731"/>
      <c r="AS32" s="731"/>
      <c r="AT32" s="731"/>
      <c r="AU32" s="731"/>
      <c r="AV32" s="731"/>
      <c r="AW32" s="731"/>
      <c r="AX32" s="731"/>
      <c r="AY32" s="731"/>
      <c r="AZ32" s="731"/>
      <c r="BA32" s="731"/>
      <c r="BB32" s="731"/>
      <c r="BC32" s="731"/>
      <c r="BD32" s="731"/>
      <c r="BE32" s="731"/>
      <c r="BF32" s="731"/>
      <c r="BG32" s="731"/>
      <c r="BH32" s="731"/>
      <c r="BI32" s="731"/>
      <c r="BJ32" s="731"/>
      <c r="BK32" s="731"/>
      <c r="BL32" s="731"/>
      <c r="BM32" s="731"/>
      <c r="BN32" s="731"/>
      <c r="BO32" s="731"/>
      <c r="BP32" s="731"/>
      <c r="BQ32" s="731"/>
      <c r="BR32" s="731"/>
    </row>
    <row r="33" spans="1:70" s="741" customFormat="1" ht="34" hidden="1" customHeight="1" x14ac:dyDescent="0.3">
      <c r="A33" s="158">
        <v>22</v>
      </c>
      <c r="B33" s="104"/>
      <c r="C33" s="114"/>
      <c r="D33" s="106"/>
      <c r="E33" s="107"/>
      <c r="F33" s="108"/>
      <c r="G33" s="133" t="str">
        <f t="shared" si="0"/>
        <v/>
      </c>
      <c r="H33" s="328"/>
      <c r="I33" s="846"/>
      <c r="J33" s="847"/>
      <c r="K33" s="109"/>
      <c r="L33" s="110"/>
      <c r="M33" s="136" t="str">
        <f t="shared" si="4"/>
        <v/>
      </c>
      <c r="N33" s="137">
        <f t="shared" si="5"/>
        <v>0</v>
      </c>
      <c r="O33" s="111"/>
      <c r="P33" s="145" t="str">
        <f t="shared" si="1"/>
        <v/>
      </c>
      <c r="Q33" s="146" t="str">
        <f t="shared" si="2"/>
        <v/>
      </c>
      <c r="R33" s="545" t="str">
        <f t="shared" si="3"/>
        <v/>
      </c>
      <c r="S33" s="147" t="str">
        <f t="shared" si="6"/>
        <v/>
      </c>
      <c r="T33" s="147" t="str">
        <f t="shared" si="7"/>
        <v/>
      </c>
      <c r="U33" s="148" t="str">
        <f t="shared" si="8"/>
        <v/>
      </c>
      <c r="V33" s="552" t="str">
        <f ca="1">IF('Extra look-up'!$H27="Math o Waith","Gwiriwch Math o Waith",IF(AND(D33="",F33="",H33="",I33="",L33="",M33=""),"",IF(OR(D33="",F33="",H33="",I33="",L33="",M33="",$L$9&lt;&gt;"OK"),"Gwiriwch bod yr holl feysydd wedi eu llenwi'n gywir",IF(AND(D33="",OR(F33&lt;&gt;"",H33&lt;&gt;"",I33&lt;&gt;"",L33&lt;&gt;"")),"Gwiriwch bod yr holl feysydd wedi eu llenwi'n gywir","OK"))))</f>
        <v/>
      </c>
      <c r="W33" s="521" t="str">
        <f>IF(I33="","",IF(VLOOKUP(I33,'Eligible Technologies'!$D$7:$G$69,4,FALSE)&lt;$F$9,VLOOKUP(I33,'Eligible Technologies'!$D$7:$G$69,4,FALSE),$F$9))</f>
        <v/>
      </c>
      <c r="X33" s="522" t="str">
        <f t="shared" si="13"/>
        <v/>
      </c>
      <c r="Y33" s="522">
        <f t="shared" ca="1" si="10"/>
        <v>0</v>
      </c>
      <c r="Z33" s="522" t="str">
        <f>'Extra look-up'!F27</f>
        <v/>
      </c>
      <c r="AA33" s="522" t="str">
        <f ca="1">'Extra look-up'!H27</f>
        <v>OK</v>
      </c>
      <c r="AB33" s="522">
        <f t="shared" ca="1" si="11"/>
        <v>1</v>
      </c>
      <c r="AC33" s="536" t="e">
        <f t="shared" si="12"/>
        <v>#VALUE!</v>
      </c>
      <c r="AD33" s="539" t="str">
        <f ca="1">IFERROR(AVERAGE($AH$101:INDIRECT(CONCATENATE("AH"&amp;AC33))),"")</f>
        <v/>
      </c>
      <c r="AE33" s="533"/>
      <c r="AF33" s="533"/>
      <c r="AG33" s="12"/>
      <c r="AH33" s="12" t="s">
        <v>113</v>
      </c>
      <c r="AI33" s="12" t="s">
        <v>113</v>
      </c>
      <c r="AJ33" s="12" t="s">
        <v>118</v>
      </c>
      <c r="AK33" s="12"/>
      <c r="AL33" s="12"/>
      <c r="AM33" s="11"/>
      <c r="AN33" s="11"/>
      <c r="AO33" s="11"/>
      <c r="AP33" s="11"/>
      <c r="AQ33" s="24"/>
      <c r="AR33" s="731"/>
      <c r="AS33" s="731"/>
      <c r="AT33" s="731"/>
      <c r="AU33" s="731"/>
      <c r="AV33" s="731"/>
      <c r="AW33" s="731"/>
      <c r="AX33" s="731"/>
      <c r="AY33" s="731"/>
      <c r="AZ33" s="731"/>
      <c r="BA33" s="731"/>
      <c r="BB33" s="731"/>
      <c r="BC33" s="731"/>
      <c r="BD33" s="731"/>
      <c r="BE33" s="731"/>
      <c r="BF33" s="731"/>
      <c r="BG33" s="731"/>
      <c r="BH33" s="731"/>
      <c r="BI33" s="731"/>
      <c r="BJ33" s="731"/>
      <c r="BK33" s="731"/>
      <c r="BL33" s="731"/>
      <c r="BM33" s="731"/>
      <c r="BN33" s="731"/>
      <c r="BO33" s="731"/>
      <c r="BP33" s="731"/>
      <c r="BQ33" s="731"/>
      <c r="BR33" s="731"/>
    </row>
    <row r="34" spans="1:70" s="741" customFormat="1" ht="34" hidden="1" customHeight="1" x14ac:dyDescent="0.3">
      <c r="A34" s="158">
        <v>23</v>
      </c>
      <c r="B34" s="104"/>
      <c r="C34" s="114"/>
      <c r="D34" s="106"/>
      <c r="E34" s="107"/>
      <c r="F34" s="108"/>
      <c r="G34" s="133" t="str">
        <f t="shared" si="0"/>
        <v/>
      </c>
      <c r="H34" s="328"/>
      <c r="I34" s="846"/>
      <c r="J34" s="847"/>
      <c r="K34" s="109"/>
      <c r="L34" s="110"/>
      <c r="M34" s="136" t="str">
        <f t="shared" si="4"/>
        <v/>
      </c>
      <c r="N34" s="137">
        <f t="shared" si="5"/>
        <v>0</v>
      </c>
      <c r="O34" s="111"/>
      <c r="P34" s="145" t="str">
        <f t="shared" si="1"/>
        <v/>
      </c>
      <c r="Q34" s="146" t="str">
        <f t="shared" si="2"/>
        <v/>
      </c>
      <c r="R34" s="545" t="str">
        <f t="shared" si="3"/>
        <v/>
      </c>
      <c r="S34" s="147" t="str">
        <f t="shared" si="6"/>
        <v/>
      </c>
      <c r="T34" s="147" t="str">
        <f t="shared" si="7"/>
        <v/>
      </c>
      <c r="U34" s="148" t="str">
        <f t="shared" si="8"/>
        <v/>
      </c>
      <c r="V34" s="552" t="str">
        <f ca="1">IF('Extra look-up'!$H28="Math o Waith","Gwiriwch Math o Waith",IF(AND(D34="",F34="",H34="",I34="",L34="",M34=""),"",IF(OR(D34="",F34="",H34="",I34="",L34="",M34="",$L$9&lt;&gt;"OK"),"Gwiriwch bod yr holl feysydd wedi eu llenwi'n gywir",IF(AND(D34="",OR(F34&lt;&gt;"",H34&lt;&gt;"",I34&lt;&gt;"",L34&lt;&gt;"")),"Gwiriwch bod yr holl feysydd wedi eu llenwi'n gywir","OK"))))</f>
        <v/>
      </c>
      <c r="W34" s="521" t="str">
        <f>IF(I34="","",IF(VLOOKUP(I34,'Eligible Technologies'!$D$7:$G$69,4,FALSE)&lt;$F$9,VLOOKUP(I34,'Eligible Technologies'!$D$7:$G$69,4,FALSE),$F$9))</f>
        <v/>
      </c>
      <c r="X34" s="522" t="str">
        <f t="shared" si="13"/>
        <v/>
      </c>
      <c r="Y34" s="522">
        <f t="shared" ca="1" si="10"/>
        <v>0</v>
      </c>
      <c r="Z34" s="522" t="str">
        <f>'Extra look-up'!F28</f>
        <v/>
      </c>
      <c r="AA34" s="522" t="str">
        <f ca="1">'Extra look-up'!H28</f>
        <v>OK</v>
      </c>
      <c r="AB34" s="522">
        <f t="shared" ca="1" si="11"/>
        <v>1</v>
      </c>
      <c r="AC34" s="536" t="e">
        <f t="shared" si="12"/>
        <v>#VALUE!</v>
      </c>
      <c r="AD34" s="539" t="str">
        <f ca="1">IFERROR(AVERAGE($AH$101:INDIRECT(CONCATENATE("AH"&amp;AC34))),"")</f>
        <v/>
      </c>
      <c r="AE34" s="533"/>
      <c r="AF34" s="533"/>
      <c r="AG34" s="12"/>
      <c r="AH34" s="12" t="s">
        <v>109</v>
      </c>
      <c r="AI34" s="12" t="s">
        <v>109</v>
      </c>
      <c r="AJ34" s="12"/>
      <c r="AK34" s="12"/>
      <c r="AL34" s="12"/>
      <c r="AM34" s="11"/>
      <c r="AN34" s="11"/>
      <c r="AO34" s="11"/>
      <c r="AP34" s="11"/>
      <c r="AQ34" s="24"/>
      <c r="AR34" s="731"/>
      <c r="AS34" s="731"/>
      <c r="AT34" s="731"/>
      <c r="AU34" s="731"/>
      <c r="AV34" s="731"/>
      <c r="AW34" s="731"/>
      <c r="AX34" s="731"/>
      <c r="AY34" s="731"/>
      <c r="AZ34" s="731"/>
      <c r="BA34" s="731"/>
      <c r="BB34" s="731"/>
      <c r="BC34" s="731"/>
      <c r="BD34" s="731"/>
      <c r="BE34" s="731"/>
      <c r="BF34" s="731"/>
      <c r="BG34" s="731"/>
      <c r="BH34" s="731"/>
      <c r="BI34" s="731"/>
      <c r="BJ34" s="731"/>
      <c r="BK34" s="731"/>
      <c r="BL34" s="731"/>
      <c r="BM34" s="731"/>
      <c r="BN34" s="731"/>
      <c r="BO34" s="731"/>
      <c r="BP34" s="731"/>
      <c r="BQ34" s="731"/>
      <c r="BR34" s="731"/>
    </row>
    <row r="35" spans="1:70" s="741" customFormat="1" ht="34" hidden="1" customHeight="1" x14ac:dyDescent="0.3">
      <c r="A35" s="158">
        <v>24</v>
      </c>
      <c r="B35" s="104"/>
      <c r="C35" s="114"/>
      <c r="D35" s="106"/>
      <c r="E35" s="107"/>
      <c r="F35" s="108"/>
      <c r="G35" s="133" t="str">
        <f t="shared" si="0"/>
        <v/>
      </c>
      <c r="H35" s="328"/>
      <c r="I35" s="846"/>
      <c r="J35" s="847"/>
      <c r="K35" s="109"/>
      <c r="L35" s="110"/>
      <c r="M35" s="136" t="str">
        <f t="shared" si="4"/>
        <v/>
      </c>
      <c r="N35" s="137">
        <f t="shared" si="5"/>
        <v>0</v>
      </c>
      <c r="O35" s="111"/>
      <c r="P35" s="145" t="str">
        <f t="shared" si="1"/>
        <v/>
      </c>
      <c r="Q35" s="146" t="str">
        <f t="shared" si="2"/>
        <v/>
      </c>
      <c r="R35" s="545" t="str">
        <f t="shared" si="3"/>
        <v/>
      </c>
      <c r="S35" s="147" t="str">
        <f t="shared" si="6"/>
        <v/>
      </c>
      <c r="T35" s="147" t="str">
        <f t="shared" si="7"/>
        <v/>
      </c>
      <c r="U35" s="148" t="str">
        <f t="shared" si="8"/>
        <v/>
      </c>
      <c r="V35" s="552" t="str">
        <f ca="1">IF('Extra look-up'!$H29="Math o Waith","Gwiriwch Math o Waith",IF(AND(D35="",F35="",H35="",I35="",L35="",M35=""),"",IF(OR(D35="",F35="",H35="",I35="",L35="",M35="",$L$9&lt;&gt;"OK"),"Gwiriwch bod yr holl feysydd wedi eu llenwi'n gywir",IF(AND(D35="",OR(F35&lt;&gt;"",H35&lt;&gt;"",I35&lt;&gt;"",L35&lt;&gt;"")),"Gwiriwch bod yr holl feysydd wedi eu llenwi'n gywir","OK"))))</f>
        <v/>
      </c>
      <c r="W35" s="521" t="str">
        <f>IF(I35="","",IF(VLOOKUP(I35,'Eligible Technologies'!$D$7:$G$69,4,FALSE)&lt;$F$9,VLOOKUP(I35,'Eligible Technologies'!$D$7:$G$69,4,FALSE),$F$9))</f>
        <v/>
      </c>
      <c r="X35" s="522" t="str">
        <f t="shared" si="13"/>
        <v/>
      </c>
      <c r="Y35" s="522">
        <f t="shared" ca="1" si="10"/>
        <v>0</v>
      </c>
      <c r="Z35" s="522" t="str">
        <f>'Extra look-up'!F29</f>
        <v/>
      </c>
      <c r="AA35" s="522" t="str">
        <f ca="1">'Extra look-up'!H29</f>
        <v>OK</v>
      </c>
      <c r="AB35" s="522">
        <f t="shared" ca="1" si="11"/>
        <v>1</v>
      </c>
      <c r="AC35" s="536" t="e">
        <f t="shared" si="12"/>
        <v>#VALUE!</v>
      </c>
      <c r="AD35" s="539" t="str">
        <f ca="1">IFERROR(AVERAGE($AH$101:INDIRECT(CONCATENATE("AH"&amp;AC35))),"")</f>
        <v/>
      </c>
      <c r="AE35" s="533"/>
      <c r="AF35" s="533"/>
      <c r="AG35" s="12"/>
      <c r="AH35" s="12" t="s">
        <v>111</v>
      </c>
      <c r="AI35" s="12" t="s">
        <v>111</v>
      </c>
      <c r="AJ35" s="12"/>
      <c r="AK35" s="12"/>
      <c r="AL35" s="12"/>
      <c r="AM35" s="11"/>
      <c r="AN35" s="11"/>
      <c r="AO35" s="11"/>
      <c r="AP35" s="11"/>
      <c r="AQ35" s="24"/>
      <c r="AR35" s="731"/>
      <c r="AS35" s="731"/>
      <c r="AT35" s="731"/>
      <c r="AU35" s="731"/>
      <c r="AV35" s="731"/>
      <c r="AW35" s="731"/>
      <c r="AX35" s="731"/>
      <c r="AY35" s="731"/>
      <c r="AZ35" s="731"/>
      <c r="BA35" s="731"/>
      <c r="BB35" s="731"/>
      <c r="BC35" s="731"/>
      <c r="BD35" s="731"/>
      <c r="BE35" s="731"/>
      <c r="BF35" s="731"/>
      <c r="BG35" s="731"/>
      <c r="BH35" s="731"/>
      <c r="BI35" s="731"/>
      <c r="BJ35" s="731"/>
      <c r="BK35" s="731"/>
      <c r="BL35" s="731"/>
      <c r="BM35" s="731"/>
      <c r="BN35" s="731"/>
      <c r="BO35" s="731"/>
      <c r="BP35" s="731"/>
      <c r="BQ35" s="731"/>
      <c r="BR35" s="731"/>
    </row>
    <row r="36" spans="1:70" s="741" customFormat="1" ht="34" hidden="1" customHeight="1" x14ac:dyDescent="0.3">
      <c r="A36" s="158">
        <v>25</v>
      </c>
      <c r="B36" s="104"/>
      <c r="C36" s="114"/>
      <c r="D36" s="106"/>
      <c r="E36" s="107"/>
      <c r="F36" s="108"/>
      <c r="G36" s="133" t="str">
        <f t="shared" si="0"/>
        <v/>
      </c>
      <c r="H36" s="328"/>
      <c r="I36" s="846"/>
      <c r="J36" s="847"/>
      <c r="K36" s="109"/>
      <c r="L36" s="110"/>
      <c r="M36" s="136" t="str">
        <f t="shared" si="4"/>
        <v/>
      </c>
      <c r="N36" s="137">
        <f t="shared" si="5"/>
        <v>0</v>
      </c>
      <c r="O36" s="111"/>
      <c r="P36" s="145" t="str">
        <f t="shared" si="1"/>
        <v/>
      </c>
      <c r="Q36" s="146" t="str">
        <f t="shared" si="2"/>
        <v/>
      </c>
      <c r="R36" s="545" t="str">
        <f t="shared" si="3"/>
        <v/>
      </c>
      <c r="S36" s="147" t="str">
        <f t="shared" si="6"/>
        <v/>
      </c>
      <c r="T36" s="147" t="str">
        <f t="shared" si="7"/>
        <v/>
      </c>
      <c r="U36" s="148" t="str">
        <f t="shared" si="8"/>
        <v/>
      </c>
      <c r="V36" s="552" t="str">
        <f ca="1">IF('Extra look-up'!$H30="Math o Waith","Gwiriwch Math o Waith",IF(AND(D36="",F36="",H36="",I36="",L36="",M36=""),"",IF(OR(D36="",F36="",H36="",I36="",L36="",M36="",$L$9&lt;&gt;"OK"),"Gwiriwch bod yr holl feysydd wedi eu llenwi'n gywir",IF(AND(D36="",OR(F36&lt;&gt;"",H36&lt;&gt;"",I36&lt;&gt;"",L36&lt;&gt;"")),"Gwiriwch bod yr holl feysydd wedi eu llenwi'n gywir","OK"))))</f>
        <v/>
      </c>
      <c r="W36" s="521" t="str">
        <f>IF(I36="","",IF(VLOOKUP(I36,'Eligible Technologies'!$D$7:$G$69,4,FALSE)&lt;$F$9,VLOOKUP(I36,'Eligible Technologies'!$D$7:$G$69,4,FALSE),$F$9))</f>
        <v/>
      </c>
      <c r="X36" s="522" t="str">
        <f t="shared" si="13"/>
        <v/>
      </c>
      <c r="Y36" s="522">
        <f t="shared" ca="1" si="10"/>
        <v>0</v>
      </c>
      <c r="Z36" s="522" t="str">
        <f>'Extra look-up'!F30</f>
        <v/>
      </c>
      <c r="AA36" s="522" t="str">
        <f ca="1">'Extra look-up'!H30</f>
        <v>OK</v>
      </c>
      <c r="AB36" s="522">
        <f t="shared" ca="1" si="11"/>
        <v>1</v>
      </c>
      <c r="AC36" s="536" t="e">
        <f t="shared" si="12"/>
        <v>#VALUE!</v>
      </c>
      <c r="AD36" s="539" t="str">
        <f ca="1">IFERROR(AVERAGE($AH$101:INDIRECT(CONCATENATE("AH"&amp;AC36))),"")</f>
        <v/>
      </c>
      <c r="AE36" s="533"/>
      <c r="AF36" s="533"/>
      <c r="AG36" s="12"/>
      <c r="AH36" s="12" t="s">
        <v>119</v>
      </c>
      <c r="AI36" s="12" t="s">
        <v>115</v>
      </c>
      <c r="AJ36" s="12"/>
      <c r="AK36" s="12"/>
      <c r="AL36" s="12"/>
      <c r="AM36" s="24"/>
      <c r="AN36" s="11"/>
      <c r="AO36" s="11"/>
      <c r="AP36" s="11"/>
      <c r="AQ36" s="24"/>
      <c r="AR36" s="731"/>
      <c r="AS36" s="731"/>
      <c r="AT36" s="731"/>
      <c r="AU36" s="731"/>
      <c r="AV36" s="731"/>
      <c r="AW36" s="731"/>
      <c r="AX36" s="731"/>
      <c r="AY36" s="731"/>
      <c r="AZ36" s="731"/>
      <c r="BA36" s="731"/>
      <c r="BB36" s="731"/>
      <c r="BC36" s="731"/>
      <c r="BD36" s="731"/>
      <c r="BE36" s="731"/>
      <c r="BF36" s="731"/>
      <c r="BG36" s="731"/>
      <c r="BH36" s="731"/>
      <c r="BI36" s="731"/>
      <c r="BJ36" s="731"/>
      <c r="BK36" s="731"/>
      <c r="BL36" s="731"/>
      <c r="BM36" s="731"/>
      <c r="BN36" s="731"/>
      <c r="BO36" s="731"/>
      <c r="BP36" s="731"/>
      <c r="BQ36" s="731"/>
      <c r="BR36" s="731"/>
    </row>
    <row r="37" spans="1:70" s="741" customFormat="1" ht="34" hidden="1" customHeight="1" x14ac:dyDescent="0.3">
      <c r="A37" s="158">
        <v>26</v>
      </c>
      <c r="B37" s="104"/>
      <c r="C37" s="114"/>
      <c r="D37" s="106"/>
      <c r="E37" s="107"/>
      <c r="F37" s="108"/>
      <c r="G37" s="133" t="str">
        <f t="shared" si="0"/>
        <v/>
      </c>
      <c r="H37" s="328"/>
      <c r="I37" s="846"/>
      <c r="J37" s="847"/>
      <c r="K37" s="109"/>
      <c r="L37" s="110"/>
      <c r="M37" s="136" t="str">
        <f t="shared" si="4"/>
        <v/>
      </c>
      <c r="N37" s="137">
        <f t="shared" si="5"/>
        <v>0</v>
      </c>
      <c r="O37" s="111"/>
      <c r="P37" s="145" t="str">
        <f t="shared" si="1"/>
        <v/>
      </c>
      <c r="Q37" s="146" t="str">
        <f t="shared" si="2"/>
        <v/>
      </c>
      <c r="R37" s="545" t="str">
        <f t="shared" si="3"/>
        <v/>
      </c>
      <c r="S37" s="147" t="str">
        <f t="shared" si="6"/>
        <v/>
      </c>
      <c r="T37" s="147" t="str">
        <f t="shared" si="7"/>
        <v/>
      </c>
      <c r="U37" s="148" t="str">
        <f t="shared" si="8"/>
        <v/>
      </c>
      <c r="V37" s="552" t="str">
        <f ca="1">IF('Extra look-up'!$H31="Math o Waith","Gwiriwch Math o Waith",IF(AND(D37="",F37="",H37="",I37="",L37="",M37=""),"",IF(OR(D37="",F37="",H37="",I37="",L37="",M37="",$L$9&lt;&gt;"OK"),"Gwiriwch bod yr holl feysydd wedi eu llenwi'n gywir",IF(AND(D37="",OR(F37&lt;&gt;"",H37&lt;&gt;"",I37&lt;&gt;"",L37&lt;&gt;"")),"Gwiriwch bod yr holl feysydd wedi eu llenwi'n gywir","OK"))))</f>
        <v/>
      </c>
      <c r="W37" s="521" t="str">
        <f>IF(I37="","",IF(VLOOKUP(I37,'Eligible Technologies'!$D$7:$G$69,4,FALSE)&lt;$F$9,VLOOKUP(I37,'Eligible Technologies'!$D$7:$G$69,4,FALSE),$F$9))</f>
        <v/>
      </c>
      <c r="X37" s="522" t="str">
        <f t="shared" si="13"/>
        <v/>
      </c>
      <c r="Y37" s="522">
        <f t="shared" ca="1" si="10"/>
        <v>0</v>
      </c>
      <c r="Z37" s="522" t="str">
        <f>'Extra look-up'!F31</f>
        <v/>
      </c>
      <c r="AA37" s="522" t="str">
        <f ca="1">'Extra look-up'!H31</f>
        <v>OK</v>
      </c>
      <c r="AB37" s="522">
        <f t="shared" ca="1" si="11"/>
        <v>1</v>
      </c>
      <c r="AC37" s="536" t="e">
        <f t="shared" si="12"/>
        <v>#VALUE!</v>
      </c>
      <c r="AD37" s="539" t="str">
        <f ca="1">IFERROR(AVERAGE($AH$101:INDIRECT(CONCATENATE("AH"&amp;AC37))),"")</f>
        <v/>
      </c>
      <c r="AE37" s="533"/>
      <c r="AF37" s="533"/>
      <c r="AG37" s="12"/>
      <c r="AH37" s="11" t="s">
        <v>120</v>
      </c>
      <c r="AI37" s="12" t="s">
        <v>120</v>
      </c>
      <c r="AJ37" s="12"/>
      <c r="AK37" s="24"/>
      <c r="AL37" s="24"/>
      <c r="AM37" s="24"/>
      <c r="AN37" s="11"/>
      <c r="AO37" s="11"/>
      <c r="AP37" s="11"/>
      <c r="AQ37" s="24"/>
      <c r="AR37" s="731"/>
      <c r="AS37" s="731"/>
      <c r="AT37" s="731"/>
      <c r="AU37" s="731"/>
      <c r="AV37" s="731"/>
      <c r="AW37" s="731"/>
      <c r="AX37" s="731"/>
      <c r="AY37" s="731"/>
      <c r="AZ37" s="731"/>
      <c r="BA37" s="731"/>
      <c r="BB37" s="731"/>
      <c r="BC37" s="731"/>
      <c r="BD37" s="731"/>
      <c r="BE37" s="731"/>
      <c r="BF37" s="731"/>
      <c r="BG37" s="731"/>
      <c r="BH37" s="731"/>
      <c r="BI37" s="731"/>
      <c r="BJ37" s="731"/>
      <c r="BK37" s="731"/>
      <c r="BL37" s="731"/>
      <c r="BM37" s="731"/>
      <c r="BN37" s="731"/>
      <c r="BO37" s="731"/>
      <c r="BP37" s="731"/>
      <c r="BQ37" s="731"/>
      <c r="BR37" s="731"/>
    </row>
    <row r="38" spans="1:70" s="741" customFormat="1" ht="34" hidden="1" customHeight="1" x14ac:dyDescent="0.3">
      <c r="A38" s="158">
        <v>27</v>
      </c>
      <c r="B38" s="104"/>
      <c r="C38" s="114"/>
      <c r="D38" s="106"/>
      <c r="E38" s="107"/>
      <c r="F38" s="108"/>
      <c r="G38" s="133" t="str">
        <f t="shared" si="0"/>
        <v/>
      </c>
      <c r="H38" s="328"/>
      <c r="I38" s="846"/>
      <c r="J38" s="847"/>
      <c r="K38" s="109"/>
      <c r="L38" s="110"/>
      <c r="M38" s="136" t="str">
        <f t="shared" si="4"/>
        <v/>
      </c>
      <c r="N38" s="137">
        <f t="shared" si="5"/>
        <v>0</v>
      </c>
      <c r="O38" s="111"/>
      <c r="P38" s="145" t="str">
        <f t="shared" si="1"/>
        <v/>
      </c>
      <c r="Q38" s="146" t="str">
        <f t="shared" si="2"/>
        <v/>
      </c>
      <c r="R38" s="545" t="str">
        <f t="shared" si="3"/>
        <v/>
      </c>
      <c r="S38" s="147" t="str">
        <f t="shared" si="6"/>
        <v/>
      </c>
      <c r="T38" s="147" t="str">
        <f t="shared" si="7"/>
        <v/>
      </c>
      <c r="U38" s="148" t="str">
        <f t="shared" si="8"/>
        <v/>
      </c>
      <c r="V38" s="552" t="str">
        <f ca="1">IF('Extra look-up'!$H32="Math o Waith","Gwiriwch Math o Waith",IF(AND(D38="",F38="",H38="",I38="",L38="",M38=""),"",IF(OR(D38="",F38="",H38="",I38="",L38="",M38="",$L$9&lt;&gt;"OK"),"Gwiriwch bod yr holl feysydd wedi eu llenwi'n gywir",IF(AND(D38="",OR(F38&lt;&gt;"",H38&lt;&gt;"",I38&lt;&gt;"",L38&lt;&gt;"")),"Gwiriwch bod yr holl feysydd wedi eu llenwi'n gywir","OK"))))</f>
        <v/>
      </c>
      <c r="W38" s="521" t="str">
        <f>IF(I38="","",IF(VLOOKUP(I38,'Eligible Technologies'!$D$7:$G$69,4,FALSE)&lt;$F$9,VLOOKUP(I38,'Eligible Technologies'!$D$7:$G$69,4,FALSE),$F$9))</f>
        <v/>
      </c>
      <c r="X38" s="522" t="str">
        <f t="shared" si="13"/>
        <v/>
      </c>
      <c r="Y38" s="522">
        <f t="shared" ca="1" si="10"/>
        <v>0</v>
      </c>
      <c r="Z38" s="522" t="str">
        <f>'Extra look-up'!F32</f>
        <v/>
      </c>
      <c r="AA38" s="522" t="str">
        <f ca="1">'Extra look-up'!H32</f>
        <v>OK</v>
      </c>
      <c r="AB38" s="522">
        <f t="shared" ca="1" si="11"/>
        <v>1</v>
      </c>
      <c r="AC38" s="536" t="e">
        <f t="shared" si="12"/>
        <v>#VALUE!</v>
      </c>
      <c r="AD38" s="539" t="str">
        <f ca="1">IFERROR(AVERAGE($AH$101:INDIRECT(CONCATENATE("AH"&amp;AC38))),"")</f>
        <v/>
      </c>
      <c r="AE38" s="533"/>
      <c r="AF38" s="533"/>
      <c r="AG38" s="11"/>
      <c r="AH38" s="24"/>
      <c r="AI38" s="11"/>
      <c r="AJ38" s="11"/>
      <c r="AK38" s="11"/>
      <c r="AL38" s="11"/>
      <c r="AM38" s="24"/>
      <c r="AN38" s="11"/>
      <c r="AO38" s="11"/>
      <c r="AP38" s="11"/>
      <c r="AQ38" s="24"/>
      <c r="AR38" s="731"/>
      <c r="AS38" s="731"/>
      <c r="AT38" s="731"/>
      <c r="AU38" s="731"/>
      <c r="AV38" s="731"/>
      <c r="AW38" s="731"/>
      <c r="AX38" s="731"/>
      <c r="AY38" s="731"/>
      <c r="AZ38" s="731"/>
      <c r="BA38" s="731"/>
      <c r="BB38" s="731"/>
      <c r="BC38" s="731"/>
      <c r="BD38" s="731"/>
      <c r="BE38" s="731"/>
      <c r="BF38" s="731"/>
      <c r="BG38" s="731"/>
      <c r="BH38" s="731"/>
      <c r="BI38" s="731"/>
      <c r="BJ38" s="731"/>
      <c r="BK38" s="731"/>
      <c r="BL38" s="731"/>
      <c r="BM38" s="731"/>
      <c r="BN38" s="731"/>
      <c r="BO38" s="731"/>
      <c r="BP38" s="731"/>
      <c r="BQ38" s="731"/>
      <c r="BR38" s="731"/>
    </row>
    <row r="39" spans="1:70" s="741" customFormat="1" ht="34" hidden="1" customHeight="1" x14ac:dyDescent="0.3">
      <c r="A39" s="158">
        <v>28</v>
      </c>
      <c r="B39" s="104"/>
      <c r="C39" s="114"/>
      <c r="D39" s="106"/>
      <c r="E39" s="107"/>
      <c r="F39" s="108"/>
      <c r="G39" s="133" t="str">
        <f t="shared" si="0"/>
        <v/>
      </c>
      <c r="H39" s="328"/>
      <c r="I39" s="846"/>
      <c r="J39" s="847"/>
      <c r="K39" s="109"/>
      <c r="L39" s="110"/>
      <c r="M39" s="136" t="str">
        <f t="shared" si="4"/>
        <v/>
      </c>
      <c r="N39" s="137">
        <f t="shared" si="5"/>
        <v>0</v>
      </c>
      <c r="O39" s="111"/>
      <c r="P39" s="145" t="str">
        <f t="shared" si="1"/>
        <v/>
      </c>
      <c r="Q39" s="146" t="str">
        <f t="shared" si="2"/>
        <v/>
      </c>
      <c r="R39" s="545" t="str">
        <f t="shared" si="3"/>
        <v/>
      </c>
      <c r="S39" s="147" t="str">
        <f t="shared" si="6"/>
        <v/>
      </c>
      <c r="T39" s="147" t="str">
        <f t="shared" si="7"/>
        <v/>
      </c>
      <c r="U39" s="148" t="str">
        <f t="shared" si="8"/>
        <v/>
      </c>
      <c r="V39" s="552" t="str">
        <f ca="1">IF('Extra look-up'!$H33="Math o Waith","Gwiriwch Math o Waith",IF(AND(D39="",F39="",H39="",I39="",L39="",M39=""),"",IF(OR(D39="",F39="",H39="",I39="",L39="",M39="",$L$9&lt;&gt;"OK"),"Gwiriwch bod yr holl feysydd wedi eu llenwi'n gywir",IF(AND(D39="",OR(F39&lt;&gt;"",H39&lt;&gt;"",I39&lt;&gt;"",L39&lt;&gt;"")),"Gwiriwch bod yr holl feysydd wedi eu llenwi'n gywir","OK"))))</f>
        <v/>
      </c>
      <c r="W39" s="521" t="str">
        <f>IF(I39="","",IF(VLOOKUP(I39,'Eligible Technologies'!$D$7:$G$69,4,FALSE)&lt;$F$9,VLOOKUP(I39,'Eligible Technologies'!$D$7:$G$69,4,FALSE),$F$9))</f>
        <v/>
      </c>
      <c r="X39" s="522" t="str">
        <f t="shared" si="13"/>
        <v/>
      </c>
      <c r="Y39" s="522">
        <f t="shared" ca="1" si="10"/>
        <v>0</v>
      </c>
      <c r="Z39" s="522" t="str">
        <f>'Extra look-up'!F33</f>
        <v/>
      </c>
      <c r="AA39" s="522" t="str">
        <f ca="1">'Extra look-up'!H33</f>
        <v>OK</v>
      </c>
      <c r="AB39" s="522">
        <f t="shared" ca="1" si="11"/>
        <v>1</v>
      </c>
      <c r="AC39" s="536" t="e">
        <f t="shared" si="12"/>
        <v>#VALUE!</v>
      </c>
      <c r="AD39" s="539" t="str">
        <f ca="1">IFERROR(AVERAGE($AH$101:INDIRECT(CONCATENATE("AH"&amp;AC39))),"")</f>
        <v/>
      </c>
      <c r="AE39" s="533"/>
      <c r="AF39" s="533"/>
      <c r="AG39" s="24"/>
      <c r="AH39" s="24"/>
      <c r="AI39" s="24"/>
      <c r="AJ39" s="24"/>
      <c r="AK39" s="24"/>
      <c r="AL39" s="24"/>
      <c r="AM39" s="24"/>
      <c r="AN39" s="24"/>
      <c r="AO39" s="11"/>
      <c r="AP39" s="11"/>
      <c r="AQ39" s="24"/>
      <c r="AR39" s="731"/>
      <c r="AS39" s="731"/>
      <c r="AT39" s="731"/>
      <c r="AU39" s="731"/>
      <c r="AV39" s="731"/>
      <c r="AW39" s="731"/>
      <c r="AX39" s="731"/>
      <c r="AY39" s="731"/>
      <c r="AZ39" s="731"/>
      <c r="BA39" s="731"/>
      <c r="BB39" s="731"/>
      <c r="BC39" s="731"/>
      <c r="BD39" s="731"/>
      <c r="BE39" s="731"/>
      <c r="BF39" s="731"/>
      <c r="BG39" s="731"/>
      <c r="BH39" s="731"/>
      <c r="BI39" s="731"/>
      <c r="BJ39" s="731"/>
      <c r="BK39" s="731"/>
      <c r="BL39" s="731"/>
      <c r="BM39" s="731"/>
      <c r="BN39" s="731"/>
      <c r="BO39" s="731"/>
      <c r="BP39" s="731"/>
      <c r="BQ39" s="731"/>
      <c r="BR39" s="731"/>
    </row>
    <row r="40" spans="1:70" s="741" customFormat="1" ht="34" hidden="1" customHeight="1" x14ac:dyDescent="0.3">
      <c r="A40" s="158">
        <v>29</v>
      </c>
      <c r="B40" s="104"/>
      <c r="C40" s="114"/>
      <c r="D40" s="106"/>
      <c r="E40" s="107"/>
      <c r="F40" s="108"/>
      <c r="G40" s="133" t="str">
        <f t="shared" si="0"/>
        <v/>
      </c>
      <c r="H40" s="328"/>
      <c r="I40" s="846"/>
      <c r="J40" s="847"/>
      <c r="K40" s="109"/>
      <c r="L40" s="110"/>
      <c r="M40" s="136" t="str">
        <f t="shared" si="4"/>
        <v/>
      </c>
      <c r="N40" s="137">
        <f t="shared" si="5"/>
        <v>0</v>
      </c>
      <c r="O40" s="111"/>
      <c r="P40" s="145" t="str">
        <f t="shared" si="1"/>
        <v/>
      </c>
      <c r="Q40" s="146" t="str">
        <f t="shared" si="2"/>
        <v/>
      </c>
      <c r="R40" s="545" t="str">
        <f t="shared" si="3"/>
        <v/>
      </c>
      <c r="S40" s="147" t="str">
        <f t="shared" si="6"/>
        <v/>
      </c>
      <c r="T40" s="147" t="str">
        <f t="shared" si="7"/>
        <v/>
      </c>
      <c r="U40" s="148" t="str">
        <f t="shared" si="8"/>
        <v/>
      </c>
      <c r="V40" s="552" t="str">
        <f ca="1">IF('Extra look-up'!$H34="Math o Waith","Gwiriwch Math o Waith",IF(AND(D40="",F40="",H40="",I40="",L40="",M40=""),"",IF(OR(D40="",F40="",H40="",I40="",L40="",M40="",$L$9&lt;&gt;"OK"),"Gwiriwch bod yr holl feysydd wedi eu llenwi'n gywir",IF(AND(D40="",OR(F40&lt;&gt;"",H40&lt;&gt;"",I40&lt;&gt;"",L40&lt;&gt;"")),"Gwiriwch bod yr holl feysydd wedi eu llenwi'n gywir","OK"))))</f>
        <v/>
      </c>
      <c r="W40" s="521" t="str">
        <f>IF(I40="","",IF(VLOOKUP(I40,'Eligible Technologies'!$D$7:$G$69,4,FALSE)&lt;$F$9,VLOOKUP(I40,'Eligible Technologies'!$D$7:$G$69,4,FALSE),$F$9))</f>
        <v/>
      </c>
      <c r="X40" s="522" t="str">
        <f t="shared" si="13"/>
        <v/>
      </c>
      <c r="Y40" s="522">
        <f t="shared" ca="1" si="10"/>
        <v>0</v>
      </c>
      <c r="Z40" s="522" t="str">
        <f>'Extra look-up'!F34</f>
        <v/>
      </c>
      <c r="AA40" s="522" t="str">
        <f ca="1">'Extra look-up'!H34</f>
        <v>OK</v>
      </c>
      <c r="AB40" s="522">
        <f t="shared" ca="1" si="11"/>
        <v>1</v>
      </c>
      <c r="AC40" s="536" t="e">
        <f t="shared" si="12"/>
        <v>#VALUE!</v>
      </c>
      <c r="AD40" s="539" t="str">
        <f ca="1">IFERROR(AVERAGE($AH$101:INDIRECT(CONCATENATE("AH"&amp;AC40))),"")</f>
        <v/>
      </c>
      <c r="AE40" s="533"/>
      <c r="AF40" s="533"/>
      <c r="AG40" s="24"/>
      <c r="AH40" s="24"/>
      <c r="AI40" s="24"/>
      <c r="AJ40" s="24"/>
      <c r="AK40" s="24"/>
      <c r="AL40" s="24"/>
      <c r="AM40" s="24"/>
      <c r="AN40" s="24"/>
      <c r="AO40" s="11"/>
      <c r="AP40" s="11"/>
      <c r="AQ40" s="24"/>
      <c r="AR40" s="731"/>
      <c r="AS40" s="731"/>
      <c r="AT40" s="731"/>
      <c r="AU40" s="731"/>
      <c r="AV40" s="731"/>
      <c r="AW40" s="731"/>
      <c r="AX40" s="731"/>
      <c r="AY40" s="731"/>
      <c r="AZ40" s="731"/>
      <c r="BA40" s="731"/>
      <c r="BB40" s="731"/>
      <c r="BC40" s="731"/>
      <c r="BD40" s="731"/>
      <c r="BE40" s="731"/>
      <c r="BF40" s="731"/>
      <c r="BG40" s="731"/>
      <c r="BH40" s="731"/>
      <c r="BI40" s="731"/>
      <c r="BJ40" s="731"/>
      <c r="BK40" s="731"/>
      <c r="BL40" s="731"/>
      <c r="BM40" s="731"/>
      <c r="BN40" s="731"/>
      <c r="BO40" s="731"/>
      <c r="BP40" s="731"/>
      <c r="BQ40" s="731"/>
      <c r="BR40" s="731"/>
    </row>
    <row r="41" spans="1:70" s="741" customFormat="1" ht="34" hidden="1" customHeight="1" x14ac:dyDescent="0.3">
      <c r="A41" s="158">
        <v>30</v>
      </c>
      <c r="B41" s="104"/>
      <c r="C41" s="114"/>
      <c r="D41" s="106"/>
      <c r="E41" s="107"/>
      <c r="F41" s="108"/>
      <c r="G41" s="133" t="str">
        <f t="shared" si="0"/>
        <v/>
      </c>
      <c r="H41" s="328"/>
      <c r="I41" s="846"/>
      <c r="J41" s="847"/>
      <c r="K41" s="109"/>
      <c r="L41" s="110"/>
      <c r="M41" s="136" t="str">
        <f t="shared" si="4"/>
        <v/>
      </c>
      <c r="N41" s="137">
        <f t="shared" si="5"/>
        <v>0</v>
      </c>
      <c r="O41" s="111"/>
      <c r="P41" s="145" t="str">
        <f t="shared" si="1"/>
        <v/>
      </c>
      <c r="Q41" s="146" t="str">
        <f t="shared" si="2"/>
        <v/>
      </c>
      <c r="R41" s="545" t="str">
        <f t="shared" si="3"/>
        <v/>
      </c>
      <c r="S41" s="147" t="str">
        <f t="shared" si="6"/>
        <v/>
      </c>
      <c r="T41" s="147" t="str">
        <f t="shared" si="7"/>
        <v/>
      </c>
      <c r="U41" s="148" t="str">
        <f t="shared" si="8"/>
        <v/>
      </c>
      <c r="V41" s="552" t="str">
        <f ca="1">IF('Extra look-up'!$H35="Math o Waith","Gwiriwch Math o Waith",IF(AND(D41="",F41="",H41="",I41="",L41="",M41=""),"",IF(OR(D41="",F41="",H41="",I41="",L41="",M41="",$L$9&lt;&gt;"OK"),"Gwiriwch bod yr holl feysydd wedi eu llenwi'n gywir",IF(AND(D41="",OR(F41&lt;&gt;"",H41&lt;&gt;"",I41&lt;&gt;"",L41&lt;&gt;"")),"Gwiriwch bod yr holl feysydd wedi eu llenwi'n gywir","OK"))))</f>
        <v/>
      </c>
      <c r="W41" s="521" t="str">
        <f>IF(I41="","",IF(VLOOKUP(I41,'Eligible Technologies'!$D$7:$G$69,4,FALSE)&lt;$F$9,VLOOKUP(I41,'Eligible Technologies'!$D$7:$G$69,4,FALSE),$F$9))</f>
        <v/>
      </c>
      <c r="X41" s="522" t="str">
        <f t="shared" si="13"/>
        <v/>
      </c>
      <c r="Y41" s="522">
        <f t="shared" ca="1" si="10"/>
        <v>0</v>
      </c>
      <c r="Z41" s="522" t="str">
        <f>'Extra look-up'!F35</f>
        <v/>
      </c>
      <c r="AA41" s="522" t="str">
        <f ca="1">'Extra look-up'!H35</f>
        <v>OK</v>
      </c>
      <c r="AB41" s="522">
        <f t="shared" ca="1" si="11"/>
        <v>1</v>
      </c>
      <c r="AC41" s="536" t="e">
        <f t="shared" si="12"/>
        <v>#VALUE!</v>
      </c>
      <c r="AD41" s="539" t="str">
        <f ca="1">IFERROR(AVERAGE($AH$101:INDIRECT(CONCATENATE("AH"&amp;AC41))),"")</f>
        <v/>
      </c>
      <c r="AE41" s="533"/>
      <c r="AF41" s="533"/>
      <c r="AG41" s="24"/>
      <c r="AH41" s="24"/>
      <c r="AI41" s="24"/>
      <c r="AJ41" s="24"/>
      <c r="AK41" s="24"/>
      <c r="AL41" s="24"/>
      <c r="AM41" s="24"/>
      <c r="AN41" s="24"/>
      <c r="AO41" s="24"/>
      <c r="AP41" s="24"/>
      <c r="AQ41" s="24"/>
      <c r="AR41" s="731"/>
      <c r="AS41" s="731"/>
      <c r="AT41" s="731"/>
      <c r="AU41" s="731"/>
      <c r="AV41" s="731"/>
      <c r="AW41" s="731"/>
      <c r="AX41" s="731"/>
      <c r="AY41" s="731"/>
      <c r="AZ41" s="731"/>
      <c r="BA41" s="731"/>
      <c r="BB41" s="731"/>
      <c r="BC41" s="731"/>
      <c r="BD41" s="731"/>
      <c r="BE41" s="731"/>
      <c r="BF41" s="731"/>
      <c r="BG41" s="731"/>
      <c r="BH41" s="731"/>
      <c r="BI41" s="731"/>
      <c r="BJ41" s="731"/>
      <c r="BK41" s="731"/>
      <c r="BL41" s="731"/>
      <c r="BM41" s="731"/>
      <c r="BN41" s="731"/>
      <c r="BO41" s="731"/>
      <c r="BP41" s="731"/>
      <c r="BQ41" s="731"/>
      <c r="BR41" s="731"/>
    </row>
    <row r="42" spans="1:70" s="741" customFormat="1" ht="34" hidden="1" customHeight="1" x14ac:dyDescent="0.3">
      <c r="A42" s="158">
        <v>31</v>
      </c>
      <c r="B42" s="104"/>
      <c r="C42" s="114"/>
      <c r="D42" s="106"/>
      <c r="E42" s="107"/>
      <c r="F42" s="108"/>
      <c r="G42" s="133" t="str">
        <f t="shared" si="0"/>
        <v/>
      </c>
      <c r="H42" s="328"/>
      <c r="I42" s="846"/>
      <c r="J42" s="847"/>
      <c r="K42" s="109"/>
      <c r="L42" s="110"/>
      <c r="M42" s="136" t="str">
        <f t="shared" si="4"/>
        <v/>
      </c>
      <c r="N42" s="137">
        <f t="shared" si="5"/>
        <v>0</v>
      </c>
      <c r="O42" s="111"/>
      <c r="P42" s="145" t="str">
        <f t="shared" si="1"/>
        <v/>
      </c>
      <c r="Q42" s="146" t="str">
        <f t="shared" si="2"/>
        <v/>
      </c>
      <c r="R42" s="545" t="str">
        <f t="shared" si="3"/>
        <v/>
      </c>
      <c r="S42" s="147" t="str">
        <f t="shared" si="6"/>
        <v/>
      </c>
      <c r="T42" s="147" t="str">
        <f t="shared" si="7"/>
        <v/>
      </c>
      <c r="U42" s="148" t="str">
        <f t="shared" si="8"/>
        <v/>
      </c>
      <c r="V42" s="552" t="str">
        <f ca="1">IF('Extra look-up'!$H36="Math o Waith","Gwiriwch Math o Waith",IF(AND(D42="",F42="",H42="",I42="",L42="",M42=""),"",IF(OR(D42="",F42="",H42="",I42="",L42="",M42="",$L$9&lt;&gt;"OK"),"Gwiriwch bod yr holl feysydd wedi eu llenwi'n gywir",IF(AND(D42="",OR(F42&lt;&gt;"",H42&lt;&gt;"",I42&lt;&gt;"",L42&lt;&gt;"")),"Gwiriwch bod yr holl feysydd wedi eu llenwi'n gywir","OK"))))</f>
        <v/>
      </c>
      <c r="W42" s="521" t="str">
        <f>IF(I42="","",IF(VLOOKUP(I42,'Eligible Technologies'!$D$7:$G$69,4,FALSE)&lt;$F$9,VLOOKUP(I42,'Eligible Technologies'!$D$7:$G$69,4,FALSE),$F$9))</f>
        <v/>
      </c>
      <c r="X42" s="522" t="str">
        <f t="shared" si="13"/>
        <v/>
      </c>
      <c r="Y42" s="522">
        <f t="shared" ca="1" si="10"/>
        <v>0</v>
      </c>
      <c r="Z42" s="522" t="str">
        <f>'Extra look-up'!F36</f>
        <v/>
      </c>
      <c r="AA42" s="522" t="str">
        <f ca="1">'Extra look-up'!H36</f>
        <v>OK</v>
      </c>
      <c r="AB42" s="522">
        <f t="shared" ca="1" si="11"/>
        <v>1</v>
      </c>
      <c r="AC42" s="536" t="e">
        <f t="shared" si="12"/>
        <v>#VALUE!</v>
      </c>
      <c r="AD42" s="539" t="str">
        <f ca="1">IFERROR(AVERAGE($AH$101:INDIRECT(CONCATENATE("AH"&amp;AC42))),"")</f>
        <v/>
      </c>
      <c r="AE42" s="533"/>
      <c r="AF42" s="533"/>
      <c r="AG42" s="24"/>
      <c r="AH42" s="24"/>
      <c r="AI42" s="24"/>
      <c r="AJ42" s="24"/>
      <c r="AK42" s="24"/>
      <c r="AL42" s="24"/>
      <c r="AM42" s="24"/>
      <c r="AN42" s="24"/>
      <c r="AO42" s="24"/>
      <c r="AP42" s="24"/>
      <c r="AQ42" s="24"/>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row>
    <row r="43" spans="1:70" s="741" customFormat="1" ht="34" hidden="1" customHeight="1" x14ac:dyDescent="0.3">
      <c r="A43" s="158">
        <v>32</v>
      </c>
      <c r="B43" s="104"/>
      <c r="C43" s="114"/>
      <c r="D43" s="106"/>
      <c r="E43" s="107"/>
      <c r="F43" s="108"/>
      <c r="G43" s="133" t="str">
        <f t="shared" si="0"/>
        <v/>
      </c>
      <c r="H43" s="328"/>
      <c r="I43" s="846"/>
      <c r="J43" s="847"/>
      <c r="K43" s="109"/>
      <c r="L43" s="110"/>
      <c r="M43" s="136" t="str">
        <f t="shared" si="4"/>
        <v/>
      </c>
      <c r="N43" s="137">
        <f t="shared" si="5"/>
        <v>0</v>
      </c>
      <c r="O43" s="111"/>
      <c r="P43" s="145" t="str">
        <f t="shared" si="1"/>
        <v/>
      </c>
      <c r="Q43" s="146" t="str">
        <f t="shared" si="2"/>
        <v/>
      </c>
      <c r="R43" s="545" t="str">
        <f t="shared" si="3"/>
        <v/>
      </c>
      <c r="S43" s="147" t="str">
        <f t="shared" si="6"/>
        <v/>
      </c>
      <c r="T43" s="147" t="str">
        <f t="shared" si="7"/>
        <v/>
      </c>
      <c r="U43" s="148" t="str">
        <f t="shared" si="8"/>
        <v/>
      </c>
      <c r="V43" s="552" t="str">
        <f ca="1">IF('Extra look-up'!$H37="Math o Waith","Gwiriwch Math o Waith",IF(AND(D43="",F43="",H43="",I43="",L43="",M43=""),"",IF(OR(D43="",F43="",H43="",I43="",L43="",M43="",$L$9&lt;&gt;"OK"),"Gwiriwch bod yr holl feysydd wedi eu llenwi'n gywir",IF(AND(D43="",OR(F43&lt;&gt;"",H43&lt;&gt;"",I43&lt;&gt;"",L43&lt;&gt;"")),"Gwiriwch bod yr holl feysydd wedi eu llenwi'n gywir","OK"))))</f>
        <v/>
      </c>
      <c r="W43" s="521" t="str">
        <f>IF(I43="","",IF(VLOOKUP(I43,'Eligible Technologies'!$D$7:$G$69,4,FALSE)&lt;$F$9,VLOOKUP(I43,'Eligible Technologies'!$D$7:$G$69,4,FALSE),$F$9))</f>
        <v/>
      </c>
      <c r="X43" s="522" t="str">
        <f t="shared" si="13"/>
        <v/>
      </c>
      <c r="Y43" s="522">
        <f t="shared" ca="1" si="10"/>
        <v>0</v>
      </c>
      <c r="Z43" s="522" t="str">
        <f>'Extra look-up'!F37</f>
        <v/>
      </c>
      <c r="AA43" s="522" t="str">
        <f ca="1">'Extra look-up'!H37</f>
        <v>OK</v>
      </c>
      <c r="AB43" s="522">
        <f t="shared" ca="1" si="11"/>
        <v>1</v>
      </c>
      <c r="AC43" s="536" t="e">
        <f t="shared" si="12"/>
        <v>#VALUE!</v>
      </c>
      <c r="AD43" s="539" t="str">
        <f ca="1">IFERROR(AVERAGE($AH$101:INDIRECT(CONCATENATE("AH"&amp;AC43))),"")</f>
        <v/>
      </c>
      <c r="AE43" s="533"/>
      <c r="AF43" s="533"/>
      <c r="AG43" s="24"/>
      <c r="AH43" s="24"/>
      <c r="AI43" s="24"/>
      <c r="AJ43" s="24"/>
      <c r="AK43" s="24"/>
      <c r="AL43" s="24"/>
      <c r="AM43" s="24"/>
      <c r="AN43" s="24"/>
      <c r="AO43" s="24"/>
      <c r="AP43" s="24"/>
      <c r="AQ43" s="24"/>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row>
    <row r="44" spans="1:70" s="741" customFormat="1" ht="34" hidden="1" customHeight="1" x14ac:dyDescent="0.3">
      <c r="A44" s="158">
        <v>33</v>
      </c>
      <c r="B44" s="104"/>
      <c r="C44" s="114"/>
      <c r="D44" s="106"/>
      <c r="E44" s="107"/>
      <c r="F44" s="108"/>
      <c r="G44" s="133" t="str">
        <f t="shared" ref="G44:G61" si="14">IFERROR(((F44/E44)^(1/X44))-1,"")</f>
        <v/>
      </c>
      <c r="H44" s="328"/>
      <c r="I44" s="846"/>
      <c r="J44" s="847"/>
      <c r="K44" s="109"/>
      <c r="L44" s="110"/>
      <c r="M44" s="136" t="str">
        <f t="shared" si="4"/>
        <v/>
      </c>
      <c r="N44" s="137">
        <f t="shared" si="5"/>
        <v>0</v>
      </c>
      <c r="O44" s="111"/>
      <c r="P44" s="145" t="str">
        <f t="shared" ref="P44:P61" si="15">IF(OR(F44="",M44=""),"",M44*F44/100)</f>
        <v/>
      </c>
      <c r="Q44" s="146" t="str">
        <f t="shared" si="2"/>
        <v/>
      </c>
      <c r="R44" s="545" t="str">
        <f t="shared" ref="R44:R61" si="16">IFERROR(IF(D44="Electricity",AD44,HLOOKUP(D44,$AH$100:$AQ$140,2,FALSE)),"")</f>
        <v/>
      </c>
      <c r="S44" s="147" t="str">
        <f t="shared" ref="S44:S61" si="17">IF(OR(D44="",M44="",R44=""),"",M44*R44/1000)</f>
        <v/>
      </c>
      <c r="T44" s="147" t="str">
        <f t="shared" si="7"/>
        <v/>
      </c>
      <c r="U44" s="148" t="str">
        <f t="shared" si="8"/>
        <v/>
      </c>
      <c r="V44" s="552" t="str">
        <f ca="1">IF('Extra look-up'!$H38="Math o Waith","Gwiriwch Math o Waith",IF(AND(D44="",F44="",H44="",I44="",L44="",M44=""),"",IF(OR(D44="",F44="",H44="",I44="",L44="",M44="",$L$9&lt;&gt;"OK"),"Gwiriwch bod yr holl feysydd wedi eu llenwi'n gywir",IF(AND(D44="",OR(F44&lt;&gt;"",H44&lt;&gt;"",I44&lt;&gt;"",L44&lt;&gt;"")),"Gwiriwch bod yr holl feysydd wedi eu llenwi'n gywir","OK"))))</f>
        <v/>
      </c>
      <c r="W44" s="521" t="str">
        <f>IF(I44="","",IF(VLOOKUP(I44,'Eligible Technologies'!$D$7:$G$69,4,FALSE)&lt;$F$9,VLOOKUP(I44,'Eligible Technologies'!$D$7:$G$69,4,FALSE),$F$9))</f>
        <v/>
      </c>
      <c r="X44" s="522" t="str">
        <f t="shared" si="13"/>
        <v/>
      </c>
      <c r="Y44" s="522">
        <f t="shared" ca="1" si="10"/>
        <v>0</v>
      </c>
      <c r="Z44" s="522" t="str">
        <f>'Extra look-up'!F38</f>
        <v/>
      </c>
      <c r="AA44" s="522" t="str">
        <f ca="1">'Extra look-up'!H38</f>
        <v>OK</v>
      </c>
      <c r="AB44" s="522">
        <f t="shared" ca="1" si="11"/>
        <v>1</v>
      </c>
      <c r="AC44" s="536" t="e">
        <f t="shared" si="12"/>
        <v>#VALUE!</v>
      </c>
      <c r="AD44" s="539" t="str">
        <f ca="1">IFERROR(AVERAGE($AH$101:INDIRECT(CONCATENATE("AH"&amp;AC44))),"")</f>
        <v/>
      </c>
      <c r="AE44" s="533"/>
      <c r="AF44" s="533"/>
      <c r="AG44" s="24"/>
      <c r="AH44" s="24"/>
      <c r="AI44" s="24"/>
      <c r="AJ44" s="24"/>
      <c r="AK44" s="24"/>
      <c r="AL44" s="24"/>
      <c r="AM44" s="24"/>
      <c r="AN44" s="24"/>
      <c r="AO44" s="24"/>
      <c r="AP44" s="24"/>
      <c r="AQ44" s="24"/>
      <c r="AR44" s="731"/>
      <c r="AS44" s="731"/>
      <c r="AT44" s="731"/>
      <c r="AU44" s="731"/>
      <c r="AV44" s="731"/>
      <c r="AW44" s="731"/>
      <c r="AX44" s="731"/>
      <c r="AY44" s="731"/>
      <c r="AZ44" s="731"/>
      <c r="BA44" s="731"/>
      <c r="BB44" s="731"/>
      <c r="BC44" s="731"/>
      <c r="BD44" s="731"/>
      <c r="BE44" s="731"/>
      <c r="BF44" s="731"/>
      <c r="BG44" s="731"/>
      <c r="BH44" s="731"/>
      <c r="BI44" s="731"/>
      <c r="BJ44" s="731"/>
      <c r="BK44" s="731"/>
      <c r="BL44" s="731"/>
      <c r="BM44" s="731"/>
      <c r="BN44" s="731"/>
      <c r="BO44" s="731"/>
      <c r="BP44" s="731"/>
      <c r="BQ44" s="731"/>
      <c r="BR44" s="731"/>
    </row>
    <row r="45" spans="1:70" s="741" customFormat="1" ht="34" hidden="1" customHeight="1" x14ac:dyDescent="0.3">
      <c r="A45" s="158">
        <v>34</v>
      </c>
      <c r="B45" s="104"/>
      <c r="C45" s="114"/>
      <c r="D45" s="106"/>
      <c r="E45" s="107"/>
      <c r="F45" s="108"/>
      <c r="G45" s="133" t="str">
        <f t="shared" si="14"/>
        <v/>
      </c>
      <c r="H45" s="328"/>
      <c r="I45" s="846"/>
      <c r="J45" s="847"/>
      <c r="K45" s="109"/>
      <c r="L45" s="110"/>
      <c r="M45" s="136" t="str">
        <f t="shared" si="4"/>
        <v/>
      </c>
      <c r="N45" s="137">
        <f t="shared" si="5"/>
        <v>0</v>
      </c>
      <c r="O45" s="111"/>
      <c r="P45" s="145" t="str">
        <f t="shared" si="15"/>
        <v/>
      </c>
      <c r="Q45" s="146" t="str">
        <f t="shared" si="2"/>
        <v/>
      </c>
      <c r="R45" s="545" t="str">
        <f t="shared" si="16"/>
        <v/>
      </c>
      <c r="S45" s="147" t="str">
        <f t="shared" si="17"/>
        <v/>
      </c>
      <c r="T45" s="147" t="str">
        <f t="shared" si="7"/>
        <v/>
      </c>
      <c r="U45" s="148" t="str">
        <f t="shared" si="8"/>
        <v/>
      </c>
      <c r="V45" s="552" t="str">
        <f ca="1">IF('Extra look-up'!$H39="Math o Waith","Gwiriwch Math o Waith",IF(AND(D45="",F45="",H45="",I45="",L45="",M45=""),"",IF(OR(D45="",F45="",H45="",I45="",L45="",M45="",$L$9&lt;&gt;"OK"),"Gwiriwch bod yr holl feysydd wedi eu llenwi'n gywir",IF(AND(D45="",OR(F45&lt;&gt;"",H45&lt;&gt;"",I45&lt;&gt;"",L45&lt;&gt;"")),"Gwiriwch bod yr holl feysydd wedi eu llenwi'n gywir","OK"))))</f>
        <v/>
      </c>
      <c r="W45" s="521" t="str">
        <f>IF(I45="","",IF(VLOOKUP(I45,'Eligible Technologies'!$D$7:$G$69,4,FALSE)&lt;$F$9,VLOOKUP(I45,'Eligible Technologies'!$D$7:$G$69,4,FALSE),$F$9))</f>
        <v/>
      </c>
      <c r="X45" s="522" t="str">
        <f t="shared" si="13"/>
        <v/>
      </c>
      <c r="Y45" s="522">
        <f t="shared" ca="1" si="10"/>
        <v>0</v>
      </c>
      <c r="Z45" s="522" t="str">
        <f>'Extra look-up'!F39</f>
        <v/>
      </c>
      <c r="AA45" s="522" t="str">
        <f ca="1">'Extra look-up'!H39</f>
        <v>OK</v>
      </c>
      <c r="AB45" s="522">
        <f t="shared" ca="1" si="11"/>
        <v>1</v>
      </c>
      <c r="AC45" s="536" t="e">
        <f t="shared" si="12"/>
        <v>#VALUE!</v>
      </c>
      <c r="AD45" s="539" t="str">
        <f ca="1">IFERROR(AVERAGE($AH$101:INDIRECT(CONCATENATE("AH"&amp;AC45))),"")</f>
        <v/>
      </c>
      <c r="AE45" s="533"/>
      <c r="AF45" s="533"/>
      <c r="AG45" s="24"/>
      <c r="AH45" s="24"/>
      <c r="AI45" s="24"/>
      <c r="AJ45" s="24"/>
      <c r="AK45" s="24"/>
      <c r="AL45" s="24"/>
      <c r="AM45" s="24"/>
      <c r="AN45" s="24"/>
      <c r="AO45" s="24"/>
      <c r="AP45" s="24"/>
      <c r="AQ45" s="24"/>
      <c r="AR45" s="731"/>
      <c r="AS45" s="731"/>
      <c r="AT45" s="731"/>
      <c r="AU45" s="731"/>
      <c r="AV45" s="731"/>
      <c r="AW45" s="731"/>
      <c r="AX45" s="731"/>
      <c r="AY45" s="731"/>
      <c r="AZ45" s="731"/>
      <c r="BA45" s="731"/>
      <c r="BB45" s="731"/>
      <c r="BC45" s="731"/>
      <c r="BD45" s="731"/>
      <c r="BE45" s="731"/>
      <c r="BF45" s="731"/>
      <c r="BG45" s="731"/>
      <c r="BH45" s="731"/>
      <c r="BI45" s="731"/>
      <c r="BJ45" s="731"/>
      <c r="BK45" s="731"/>
      <c r="BL45" s="731"/>
      <c r="BM45" s="731"/>
      <c r="BN45" s="731"/>
      <c r="BO45" s="731"/>
      <c r="BP45" s="731"/>
      <c r="BQ45" s="731"/>
      <c r="BR45" s="731"/>
    </row>
    <row r="46" spans="1:70" s="741" customFormat="1" ht="34" hidden="1" customHeight="1" x14ac:dyDescent="0.3">
      <c r="A46" s="158">
        <v>35</v>
      </c>
      <c r="B46" s="104"/>
      <c r="C46" s="114"/>
      <c r="D46" s="106"/>
      <c r="E46" s="107"/>
      <c r="F46" s="108"/>
      <c r="G46" s="133" t="str">
        <f t="shared" si="14"/>
        <v/>
      </c>
      <c r="H46" s="328"/>
      <c r="I46" s="846"/>
      <c r="J46" s="847"/>
      <c r="K46" s="109"/>
      <c r="L46" s="110"/>
      <c r="M46" s="136" t="str">
        <f t="shared" si="4"/>
        <v/>
      </c>
      <c r="N46" s="137">
        <f t="shared" si="5"/>
        <v>0</v>
      </c>
      <c r="O46" s="111"/>
      <c r="P46" s="145" t="str">
        <f t="shared" si="15"/>
        <v/>
      </c>
      <c r="Q46" s="146" t="str">
        <f t="shared" si="2"/>
        <v/>
      </c>
      <c r="R46" s="545" t="str">
        <f t="shared" si="16"/>
        <v/>
      </c>
      <c r="S46" s="147" t="str">
        <f t="shared" si="17"/>
        <v/>
      </c>
      <c r="T46" s="147" t="str">
        <f t="shared" si="7"/>
        <v/>
      </c>
      <c r="U46" s="148" t="str">
        <f t="shared" si="8"/>
        <v/>
      </c>
      <c r="V46" s="552" t="str">
        <f ca="1">IF('Extra look-up'!$H40="Math o Waith","Gwiriwch Math o Waith",IF(AND(D46="",F46="",H46="",I46="",L46="",M46=""),"",IF(OR(D46="",F46="",H46="",I46="",L46="",M46="",$L$9&lt;&gt;"OK"),"Gwiriwch bod yr holl feysydd wedi eu llenwi'n gywir",IF(AND(D46="",OR(F46&lt;&gt;"",H46&lt;&gt;"",I46&lt;&gt;"",L46&lt;&gt;"")),"Gwiriwch bod yr holl feysydd wedi eu llenwi'n gywir","OK"))))</f>
        <v/>
      </c>
      <c r="W46" s="521" t="str">
        <f>IF(I46="","",IF(VLOOKUP(I46,'Eligible Technologies'!$D$7:$G$69,4,FALSE)&lt;$F$9,VLOOKUP(I46,'Eligible Technologies'!$D$7:$G$69,4,FALSE),$F$9))</f>
        <v/>
      </c>
      <c r="X46" s="522" t="str">
        <f t="shared" si="13"/>
        <v/>
      </c>
      <c r="Y46" s="522">
        <f t="shared" ca="1" si="10"/>
        <v>0</v>
      </c>
      <c r="Z46" s="522" t="str">
        <f>'Extra look-up'!F40</f>
        <v/>
      </c>
      <c r="AA46" s="522" t="str">
        <f ca="1">'Extra look-up'!H40</f>
        <v>OK</v>
      </c>
      <c r="AB46" s="522">
        <f t="shared" ca="1" si="11"/>
        <v>1</v>
      </c>
      <c r="AC46" s="536" t="e">
        <f t="shared" si="12"/>
        <v>#VALUE!</v>
      </c>
      <c r="AD46" s="539" t="str">
        <f ca="1">IFERROR(AVERAGE($AH$101:INDIRECT(CONCATENATE("AH"&amp;AC46))),"")</f>
        <v/>
      </c>
      <c r="AE46" s="533"/>
      <c r="AF46" s="533"/>
      <c r="AG46" s="24"/>
      <c r="AH46" s="24"/>
      <c r="AI46" s="24"/>
      <c r="AJ46" s="24"/>
      <c r="AK46" s="24"/>
      <c r="AL46" s="24"/>
      <c r="AM46" s="24"/>
      <c r="AN46" s="24"/>
      <c r="AO46" s="24"/>
      <c r="AP46" s="24"/>
      <c r="AQ46" s="24"/>
      <c r="AR46" s="731"/>
      <c r="AS46" s="731"/>
      <c r="AT46" s="731"/>
      <c r="AU46" s="731"/>
      <c r="AV46" s="731"/>
      <c r="AW46" s="731"/>
      <c r="AX46" s="731"/>
      <c r="AY46" s="731"/>
      <c r="AZ46" s="731"/>
      <c r="BA46" s="731"/>
      <c r="BB46" s="731"/>
      <c r="BC46" s="731"/>
      <c r="BD46" s="731"/>
      <c r="BE46" s="731"/>
      <c r="BF46" s="731"/>
      <c r="BG46" s="731"/>
      <c r="BH46" s="731"/>
      <c r="BI46" s="731"/>
      <c r="BJ46" s="731"/>
      <c r="BK46" s="731"/>
      <c r="BL46" s="731"/>
      <c r="BM46" s="731"/>
      <c r="BN46" s="731"/>
      <c r="BO46" s="731"/>
      <c r="BP46" s="731"/>
      <c r="BQ46" s="731"/>
      <c r="BR46" s="731"/>
    </row>
    <row r="47" spans="1:70" s="741" customFormat="1" ht="34" hidden="1" customHeight="1" x14ac:dyDescent="0.3">
      <c r="A47" s="158">
        <v>36</v>
      </c>
      <c r="B47" s="104"/>
      <c r="C47" s="114"/>
      <c r="D47" s="106"/>
      <c r="E47" s="107"/>
      <c r="F47" s="108"/>
      <c r="G47" s="133" t="str">
        <f t="shared" si="14"/>
        <v/>
      </c>
      <c r="H47" s="328"/>
      <c r="I47" s="846"/>
      <c r="J47" s="847"/>
      <c r="K47" s="109"/>
      <c r="L47" s="110"/>
      <c r="M47" s="136" t="str">
        <f t="shared" si="4"/>
        <v/>
      </c>
      <c r="N47" s="137">
        <f t="shared" si="5"/>
        <v>0</v>
      </c>
      <c r="O47" s="111"/>
      <c r="P47" s="145" t="str">
        <f t="shared" si="15"/>
        <v/>
      </c>
      <c r="Q47" s="146" t="str">
        <f t="shared" si="2"/>
        <v/>
      </c>
      <c r="R47" s="545" t="str">
        <f t="shared" si="16"/>
        <v/>
      </c>
      <c r="S47" s="147" t="str">
        <f t="shared" si="17"/>
        <v/>
      </c>
      <c r="T47" s="147" t="str">
        <f t="shared" si="7"/>
        <v/>
      </c>
      <c r="U47" s="148" t="str">
        <f t="shared" si="8"/>
        <v/>
      </c>
      <c r="V47" s="552" t="str">
        <f ca="1">IF('Extra look-up'!$H41="Math o Waith","Gwiriwch Math o Waith",IF(AND(D47="",F47="",H47="",I47="",L47="",M47=""),"",IF(OR(D47="",F47="",H47="",I47="",L47="",M47="",$L$9&lt;&gt;"OK"),"Gwiriwch bod yr holl feysydd wedi eu llenwi'n gywir",IF(AND(D47="",OR(F47&lt;&gt;"",H47&lt;&gt;"",I47&lt;&gt;"",L47&lt;&gt;"")),"Gwiriwch bod yr holl feysydd wedi eu llenwi'n gywir","OK"))))</f>
        <v/>
      </c>
      <c r="W47" s="521" t="str">
        <f>IF(I47="","",IF(VLOOKUP(I47,'Eligible Technologies'!$D$7:$G$69,4,FALSE)&lt;$F$9,VLOOKUP(I47,'Eligible Technologies'!$D$7:$G$69,4,FALSE),$F$9))</f>
        <v/>
      </c>
      <c r="X47" s="522" t="str">
        <f t="shared" si="13"/>
        <v/>
      </c>
      <c r="Y47" s="522">
        <f t="shared" ca="1" si="10"/>
        <v>0</v>
      </c>
      <c r="Z47" s="522" t="str">
        <f>'Extra look-up'!F41</f>
        <v/>
      </c>
      <c r="AA47" s="522" t="str">
        <f ca="1">'Extra look-up'!H41</f>
        <v>OK</v>
      </c>
      <c r="AB47" s="522">
        <f t="shared" ca="1" si="11"/>
        <v>1</v>
      </c>
      <c r="AC47" s="536" t="e">
        <f t="shared" si="12"/>
        <v>#VALUE!</v>
      </c>
      <c r="AD47" s="539" t="str">
        <f ca="1">IFERROR(AVERAGE($AH$101:INDIRECT(CONCATENATE("AH"&amp;AC47))),"")</f>
        <v/>
      </c>
      <c r="AE47" s="533"/>
      <c r="AF47" s="533"/>
      <c r="AG47" s="25"/>
      <c r="AH47" s="25"/>
      <c r="AI47" s="25"/>
      <c r="AJ47" s="25"/>
      <c r="AK47" s="25"/>
      <c r="AL47" s="25"/>
      <c r="AM47" s="25"/>
      <c r="AN47" s="25"/>
      <c r="AO47" s="25"/>
      <c r="AP47" s="25"/>
      <c r="AQ47" s="25"/>
      <c r="AR47" s="731"/>
      <c r="AS47" s="731"/>
      <c r="AT47" s="731"/>
      <c r="AU47" s="731"/>
      <c r="AV47" s="731"/>
      <c r="AW47" s="731"/>
      <c r="AX47" s="731"/>
      <c r="AY47" s="731"/>
      <c r="AZ47" s="731"/>
      <c r="BA47" s="731"/>
      <c r="BB47" s="731"/>
      <c r="BC47" s="731"/>
      <c r="BD47" s="731"/>
      <c r="BE47" s="731"/>
      <c r="BF47" s="731"/>
      <c r="BG47" s="731"/>
      <c r="BH47" s="731"/>
      <c r="BI47" s="731"/>
      <c r="BJ47" s="731"/>
      <c r="BK47" s="731"/>
      <c r="BL47" s="731"/>
      <c r="BM47" s="731"/>
      <c r="BN47" s="731"/>
      <c r="BO47" s="731"/>
      <c r="BP47" s="731"/>
      <c r="BQ47" s="731"/>
      <c r="BR47" s="731"/>
    </row>
    <row r="48" spans="1:70" s="741" customFormat="1" ht="34" hidden="1" customHeight="1" x14ac:dyDescent="0.3">
      <c r="A48" s="158">
        <v>37</v>
      </c>
      <c r="B48" s="104"/>
      <c r="C48" s="114"/>
      <c r="D48" s="106"/>
      <c r="E48" s="107"/>
      <c r="F48" s="108"/>
      <c r="G48" s="133" t="str">
        <f t="shared" si="14"/>
        <v/>
      </c>
      <c r="H48" s="328"/>
      <c r="I48" s="846"/>
      <c r="J48" s="847"/>
      <c r="K48" s="109"/>
      <c r="L48" s="110"/>
      <c r="M48" s="136" t="str">
        <f t="shared" si="4"/>
        <v/>
      </c>
      <c r="N48" s="137">
        <f t="shared" si="5"/>
        <v>0</v>
      </c>
      <c r="O48" s="111"/>
      <c r="P48" s="145" t="str">
        <f t="shared" si="15"/>
        <v/>
      </c>
      <c r="Q48" s="146" t="str">
        <f t="shared" si="2"/>
        <v/>
      </c>
      <c r="R48" s="545" t="str">
        <f t="shared" si="16"/>
        <v/>
      </c>
      <c r="S48" s="147" t="str">
        <f t="shared" si="17"/>
        <v/>
      </c>
      <c r="T48" s="147" t="str">
        <f t="shared" si="7"/>
        <v/>
      </c>
      <c r="U48" s="148" t="str">
        <f t="shared" si="8"/>
        <v/>
      </c>
      <c r="V48" s="552" t="str">
        <f ca="1">IF('Extra look-up'!$H42="Math o Waith","Gwiriwch Math o Waith",IF(AND(D48="",F48="",H48="",I48="",L48="",M48=""),"",IF(OR(D48="",F48="",H48="",I48="",L48="",M48="",$L$9&lt;&gt;"OK"),"Gwiriwch bod yr holl feysydd wedi eu llenwi'n gywir",IF(AND(D48="",OR(F48&lt;&gt;"",H48&lt;&gt;"",I48&lt;&gt;"",L48&lt;&gt;"")),"Gwiriwch bod yr holl feysydd wedi eu llenwi'n gywir","OK"))))</f>
        <v/>
      </c>
      <c r="W48" s="521" t="str">
        <f>IF(I48="","",IF(VLOOKUP(I48,'Eligible Technologies'!$D$7:$G$69,4,FALSE)&lt;$F$9,VLOOKUP(I48,'Eligible Technologies'!$D$7:$G$69,4,FALSE),$F$9))</f>
        <v/>
      </c>
      <c r="X48" s="522" t="str">
        <f t="shared" si="13"/>
        <v/>
      </c>
      <c r="Y48" s="522">
        <f t="shared" ca="1" si="10"/>
        <v>0</v>
      </c>
      <c r="Z48" s="522" t="str">
        <f>'Extra look-up'!F42</f>
        <v/>
      </c>
      <c r="AA48" s="522" t="str">
        <f ca="1">'Extra look-up'!H42</f>
        <v>OK</v>
      </c>
      <c r="AB48" s="522">
        <f t="shared" ca="1" si="11"/>
        <v>1</v>
      </c>
      <c r="AC48" s="536" t="e">
        <f t="shared" si="12"/>
        <v>#VALUE!</v>
      </c>
      <c r="AD48" s="539" t="str">
        <f ca="1">IFERROR(AVERAGE($AH$101:INDIRECT(CONCATENATE("AH"&amp;AC48))),"")</f>
        <v/>
      </c>
      <c r="AE48" s="533"/>
      <c r="AF48" s="533"/>
      <c r="AG48" s="25"/>
      <c r="AH48" s="25"/>
      <c r="AI48" s="25"/>
      <c r="AJ48" s="25"/>
      <c r="AK48" s="25"/>
      <c r="AL48" s="25"/>
      <c r="AM48" s="25"/>
      <c r="AN48" s="25"/>
      <c r="AO48" s="25"/>
      <c r="AP48" s="25"/>
      <c r="AQ48" s="25"/>
      <c r="AR48" s="731"/>
      <c r="AS48" s="731"/>
      <c r="AT48" s="731"/>
      <c r="AU48" s="731"/>
      <c r="AV48" s="731"/>
      <c r="AW48" s="731"/>
      <c r="AX48" s="731"/>
      <c r="AY48" s="731"/>
      <c r="AZ48" s="731"/>
      <c r="BA48" s="731"/>
      <c r="BB48" s="731"/>
      <c r="BC48" s="731"/>
      <c r="BD48" s="731"/>
      <c r="BE48" s="731"/>
      <c r="BF48" s="731"/>
      <c r="BG48" s="731"/>
      <c r="BH48" s="731"/>
      <c r="BI48" s="731"/>
      <c r="BJ48" s="731"/>
      <c r="BK48" s="731"/>
      <c r="BL48" s="731"/>
      <c r="BM48" s="731"/>
      <c r="BN48" s="731"/>
      <c r="BO48" s="731"/>
      <c r="BP48" s="731"/>
      <c r="BQ48" s="731"/>
      <c r="BR48" s="731"/>
    </row>
    <row r="49" spans="1:70" s="741" customFormat="1" ht="34" hidden="1" customHeight="1" x14ac:dyDescent="0.3">
      <c r="A49" s="158">
        <v>38</v>
      </c>
      <c r="B49" s="104"/>
      <c r="C49" s="114"/>
      <c r="D49" s="106"/>
      <c r="E49" s="107"/>
      <c r="F49" s="108"/>
      <c r="G49" s="133" t="str">
        <f t="shared" si="14"/>
        <v/>
      </c>
      <c r="H49" s="328"/>
      <c r="I49" s="846"/>
      <c r="J49" s="847"/>
      <c r="K49" s="109"/>
      <c r="L49" s="110"/>
      <c r="M49" s="136" t="str">
        <f t="shared" si="4"/>
        <v/>
      </c>
      <c r="N49" s="137">
        <f t="shared" si="5"/>
        <v>0</v>
      </c>
      <c r="O49" s="111"/>
      <c r="P49" s="145" t="str">
        <f t="shared" si="15"/>
        <v/>
      </c>
      <c r="Q49" s="146" t="str">
        <f t="shared" si="2"/>
        <v/>
      </c>
      <c r="R49" s="545" t="str">
        <f t="shared" si="16"/>
        <v/>
      </c>
      <c r="S49" s="147" t="str">
        <f t="shared" si="17"/>
        <v/>
      </c>
      <c r="T49" s="147" t="str">
        <f t="shared" si="7"/>
        <v/>
      </c>
      <c r="U49" s="148" t="str">
        <f t="shared" si="8"/>
        <v/>
      </c>
      <c r="V49" s="552" t="str">
        <f ca="1">IF('Extra look-up'!$H43="Math o Waith","Gwiriwch Math o Waith",IF(AND(D49="",F49="",H49="",I49="",L49="",M49=""),"",IF(OR(D49="",F49="",H49="",I49="",L49="",M49="",$L$9&lt;&gt;"OK"),"Gwiriwch bod yr holl feysydd wedi eu llenwi'n gywir",IF(AND(D49="",OR(F49&lt;&gt;"",H49&lt;&gt;"",I49&lt;&gt;"",L49&lt;&gt;"")),"Gwiriwch bod yr holl feysydd wedi eu llenwi'n gywir","OK"))))</f>
        <v/>
      </c>
      <c r="W49" s="521" t="str">
        <f>IF(I49="","",IF(VLOOKUP(I49,'Eligible Technologies'!$D$7:$G$69,4,FALSE)&lt;$F$9,VLOOKUP(I49,'Eligible Technologies'!$D$7:$G$69,4,FALSE),$F$9))</f>
        <v/>
      </c>
      <c r="X49" s="522" t="str">
        <f t="shared" si="13"/>
        <v/>
      </c>
      <c r="Y49" s="522">
        <f t="shared" ca="1" si="10"/>
        <v>0</v>
      </c>
      <c r="Z49" s="522" t="str">
        <f>'Extra look-up'!F43</f>
        <v/>
      </c>
      <c r="AA49" s="522" t="str">
        <f ca="1">'Extra look-up'!H43</f>
        <v>OK</v>
      </c>
      <c r="AB49" s="522">
        <f t="shared" ca="1" si="11"/>
        <v>1</v>
      </c>
      <c r="AC49" s="536" t="e">
        <f t="shared" si="12"/>
        <v>#VALUE!</v>
      </c>
      <c r="AD49" s="539" t="str">
        <f ca="1">IFERROR(AVERAGE($AH$101:INDIRECT(CONCATENATE("AH"&amp;AC49))),"")</f>
        <v/>
      </c>
      <c r="AE49" s="533"/>
      <c r="AF49" s="533"/>
      <c r="AG49" s="25"/>
      <c r="AH49" s="25"/>
      <c r="AI49" s="25"/>
      <c r="AJ49" s="25"/>
      <c r="AK49" s="25"/>
      <c r="AL49" s="25"/>
      <c r="AM49" s="25"/>
      <c r="AN49" s="25"/>
      <c r="AO49" s="25"/>
      <c r="AP49" s="25"/>
      <c r="AQ49" s="25"/>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row>
    <row r="50" spans="1:70" s="741" customFormat="1" ht="34" hidden="1" customHeight="1" x14ac:dyDescent="0.3">
      <c r="A50" s="158">
        <v>39</v>
      </c>
      <c r="B50" s="104"/>
      <c r="C50" s="114"/>
      <c r="D50" s="106"/>
      <c r="E50" s="107"/>
      <c r="F50" s="108"/>
      <c r="G50" s="133" t="str">
        <f t="shared" si="14"/>
        <v/>
      </c>
      <c r="H50" s="328"/>
      <c r="I50" s="846"/>
      <c r="J50" s="847"/>
      <c r="K50" s="109"/>
      <c r="L50" s="110"/>
      <c r="M50" s="136" t="str">
        <f t="shared" si="4"/>
        <v/>
      </c>
      <c r="N50" s="137">
        <f t="shared" si="5"/>
        <v>0</v>
      </c>
      <c r="O50" s="111"/>
      <c r="P50" s="145" t="str">
        <f t="shared" si="15"/>
        <v/>
      </c>
      <c r="Q50" s="146" t="str">
        <f t="shared" si="2"/>
        <v/>
      </c>
      <c r="R50" s="545" t="str">
        <f t="shared" si="16"/>
        <v/>
      </c>
      <c r="S50" s="147" t="str">
        <f t="shared" si="17"/>
        <v/>
      </c>
      <c r="T50" s="147" t="str">
        <f t="shared" si="7"/>
        <v/>
      </c>
      <c r="U50" s="148" t="str">
        <f t="shared" si="8"/>
        <v/>
      </c>
      <c r="V50" s="552" t="str">
        <f ca="1">IF('Extra look-up'!$H44="Math o Waith","Gwiriwch Math o Waith",IF(AND(D50="",F50="",H50="",I50="",L50="",M50=""),"",IF(OR(D50="",F50="",H50="",I50="",L50="",M50="",$L$9&lt;&gt;"OK"),"Gwiriwch bod yr holl feysydd wedi eu llenwi'n gywir",IF(AND(D50="",OR(F50&lt;&gt;"",H50&lt;&gt;"",I50&lt;&gt;"",L50&lt;&gt;"")),"Gwiriwch bod yr holl feysydd wedi eu llenwi'n gywir","OK"))))</f>
        <v/>
      </c>
      <c r="W50" s="521" t="str">
        <f>IF(I50="","",IF(VLOOKUP(I50,'Eligible Technologies'!$D$7:$G$69,4,FALSE)&lt;$F$9,VLOOKUP(I50,'Eligible Technologies'!$D$7:$G$69,4,FALSE),$F$9))</f>
        <v/>
      </c>
      <c r="X50" s="522" t="str">
        <f t="shared" si="13"/>
        <v/>
      </c>
      <c r="Y50" s="522">
        <f t="shared" ca="1" si="10"/>
        <v>0</v>
      </c>
      <c r="Z50" s="522" t="str">
        <f>'Extra look-up'!F44</f>
        <v/>
      </c>
      <c r="AA50" s="522" t="str">
        <f ca="1">'Extra look-up'!H44</f>
        <v>OK</v>
      </c>
      <c r="AB50" s="522">
        <f t="shared" ca="1" si="11"/>
        <v>1</v>
      </c>
      <c r="AC50" s="536" t="e">
        <f t="shared" si="12"/>
        <v>#VALUE!</v>
      </c>
      <c r="AD50" s="539" t="str">
        <f ca="1">IFERROR(AVERAGE($AH$101:INDIRECT(CONCATENATE("AH"&amp;AC50))),"")</f>
        <v/>
      </c>
      <c r="AE50" s="533"/>
      <c r="AF50" s="533"/>
      <c r="AG50" s="25"/>
      <c r="AH50" s="25"/>
      <c r="AI50" s="25"/>
      <c r="AJ50" s="25"/>
      <c r="AK50" s="25"/>
      <c r="AL50" s="25"/>
      <c r="AM50" s="25"/>
      <c r="AN50" s="25"/>
      <c r="AO50" s="25"/>
      <c r="AP50" s="25"/>
      <c r="AQ50" s="25"/>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row>
    <row r="51" spans="1:70" s="741" customFormat="1" ht="34" hidden="1" customHeight="1" x14ac:dyDescent="0.3">
      <c r="A51" s="158">
        <v>40</v>
      </c>
      <c r="B51" s="104"/>
      <c r="C51" s="114"/>
      <c r="D51" s="106"/>
      <c r="E51" s="107"/>
      <c r="F51" s="108"/>
      <c r="G51" s="133" t="str">
        <f t="shared" si="14"/>
        <v/>
      </c>
      <c r="H51" s="328"/>
      <c r="I51" s="846"/>
      <c r="J51" s="847"/>
      <c r="K51" s="109"/>
      <c r="L51" s="110"/>
      <c r="M51" s="136" t="str">
        <f t="shared" si="4"/>
        <v/>
      </c>
      <c r="N51" s="137">
        <f t="shared" si="5"/>
        <v>0</v>
      </c>
      <c r="O51" s="111"/>
      <c r="P51" s="145" t="str">
        <f t="shared" si="15"/>
        <v/>
      </c>
      <c r="Q51" s="146" t="str">
        <f t="shared" si="2"/>
        <v/>
      </c>
      <c r="R51" s="545" t="str">
        <f t="shared" si="16"/>
        <v/>
      </c>
      <c r="S51" s="147" t="str">
        <f t="shared" si="17"/>
        <v/>
      </c>
      <c r="T51" s="147" t="str">
        <f t="shared" si="7"/>
        <v/>
      </c>
      <c r="U51" s="148" t="str">
        <f t="shared" si="8"/>
        <v/>
      </c>
      <c r="V51" s="552" t="str">
        <f ca="1">IF('Extra look-up'!$H45="Math o Waith","Gwiriwch Math o Waith",IF(AND(D51="",F51="",H51="",I51="",L51="",M51=""),"",IF(OR(D51="",F51="",H51="",I51="",L51="",M51="",$L$9&lt;&gt;"OK"),"Gwiriwch bod yr holl feysydd wedi eu llenwi'n gywir",IF(AND(D51="",OR(F51&lt;&gt;"",H51&lt;&gt;"",I51&lt;&gt;"",L51&lt;&gt;"")),"Gwiriwch bod yr holl feysydd wedi eu llenwi'n gywir","OK"))))</f>
        <v/>
      </c>
      <c r="W51" s="521" t="str">
        <f>IF(I51="","",IF(VLOOKUP(I51,'Eligible Technologies'!$D$7:$G$69,4,FALSE)&lt;$F$9,VLOOKUP(I51,'Eligible Technologies'!$D$7:$G$69,4,FALSE),$F$9))</f>
        <v/>
      </c>
      <c r="X51" s="522" t="str">
        <f t="shared" si="13"/>
        <v/>
      </c>
      <c r="Y51" s="522">
        <f t="shared" ca="1" si="10"/>
        <v>0</v>
      </c>
      <c r="Z51" s="522" t="str">
        <f>'Extra look-up'!F45</f>
        <v/>
      </c>
      <c r="AA51" s="522" t="str">
        <f ca="1">'Extra look-up'!H45</f>
        <v>OK</v>
      </c>
      <c r="AB51" s="522">
        <f t="shared" ca="1" si="11"/>
        <v>1</v>
      </c>
      <c r="AC51" s="536" t="e">
        <f t="shared" si="12"/>
        <v>#VALUE!</v>
      </c>
      <c r="AD51" s="539" t="str">
        <f ca="1">IFERROR(AVERAGE($AH$101:INDIRECT(CONCATENATE("AH"&amp;AC51))),"")</f>
        <v/>
      </c>
      <c r="AE51" s="533"/>
      <c r="AF51" s="533"/>
      <c r="AG51" s="25"/>
      <c r="AH51" s="25"/>
      <c r="AI51" s="25"/>
      <c r="AJ51" s="25"/>
      <c r="AK51" s="25"/>
      <c r="AL51" s="25"/>
      <c r="AM51" s="25"/>
      <c r="AN51" s="25"/>
      <c r="AO51" s="25"/>
      <c r="AP51" s="25"/>
      <c r="AQ51" s="25"/>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row>
    <row r="52" spans="1:70" s="741" customFormat="1" ht="34" hidden="1" customHeight="1" x14ac:dyDescent="0.3">
      <c r="A52" s="158">
        <v>41</v>
      </c>
      <c r="B52" s="104"/>
      <c r="C52" s="114"/>
      <c r="D52" s="106"/>
      <c r="E52" s="107"/>
      <c r="F52" s="108"/>
      <c r="G52" s="133" t="str">
        <f t="shared" si="14"/>
        <v/>
      </c>
      <c r="H52" s="328"/>
      <c r="I52" s="846"/>
      <c r="J52" s="847"/>
      <c r="K52" s="109"/>
      <c r="L52" s="110"/>
      <c r="M52" s="136" t="str">
        <f t="shared" si="4"/>
        <v/>
      </c>
      <c r="N52" s="137">
        <f t="shared" si="5"/>
        <v>0</v>
      </c>
      <c r="O52" s="111"/>
      <c r="P52" s="145" t="str">
        <f t="shared" si="15"/>
        <v/>
      </c>
      <c r="Q52" s="146" t="str">
        <f t="shared" si="2"/>
        <v/>
      </c>
      <c r="R52" s="545" t="str">
        <f t="shared" si="16"/>
        <v/>
      </c>
      <c r="S52" s="147" t="str">
        <f t="shared" si="17"/>
        <v/>
      </c>
      <c r="T52" s="147" t="str">
        <f t="shared" si="7"/>
        <v/>
      </c>
      <c r="U52" s="148" t="str">
        <f t="shared" si="8"/>
        <v/>
      </c>
      <c r="V52" s="552" t="str">
        <f ca="1">IF('Extra look-up'!$H46="Math o Waith","Gwiriwch Math o Waith",IF(AND(D52="",F52="",H52="",I52="",L52="",M52=""),"",IF(OR(D52="",F52="",H52="",I52="",L52="",M52="",$L$9&lt;&gt;"OK"),"Gwiriwch bod yr holl feysydd wedi eu llenwi'n gywir",IF(AND(D52="",OR(F52&lt;&gt;"",H52&lt;&gt;"",I52&lt;&gt;"",L52&lt;&gt;"")),"Gwiriwch bod yr holl feysydd wedi eu llenwi'n gywir","OK"))))</f>
        <v/>
      </c>
      <c r="W52" s="521" t="str">
        <f>IF(I52="","",IF(VLOOKUP(I52,'Eligible Technologies'!$D$7:$G$69,4,FALSE)&lt;$F$9,VLOOKUP(I52,'Eligible Technologies'!$D$7:$G$69,4,FALSE),$F$9))</f>
        <v/>
      </c>
      <c r="X52" s="522" t="str">
        <f t="shared" si="13"/>
        <v/>
      </c>
      <c r="Y52" s="522">
        <f t="shared" ca="1" si="10"/>
        <v>0</v>
      </c>
      <c r="Z52" s="522" t="str">
        <f>'Extra look-up'!F46</f>
        <v/>
      </c>
      <c r="AA52" s="522" t="str">
        <f ca="1">'Extra look-up'!H46</f>
        <v>OK</v>
      </c>
      <c r="AB52" s="522">
        <f t="shared" ca="1" si="11"/>
        <v>1</v>
      </c>
      <c r="AC52" s="536" t="e">
        <f t="shared" si="12"/>
        <v>#VALUE!</v>
      </c>
      <c r="AD52" s="539" t="str">
        <f ca="1">IFERROR(AVERAGE($AH$101:INDIRECT(CONCATENATE("AH"&amp;AC52))),"")</f>
        <v/>
      </c>
      <c r="AE52" s="533"/>
      <c r="AF52" s="533"/>
      <c r="AG52" s="25"/>
      <c r="AH52" s="25"/>
      <c r="AI52" s="25"/>
      <c r="AJ52" s="25"/>
      <c r="AK52" s="25"/>
      <c r="AL52" s="25"/>
      <c r="AM52" s="25"/>
      <c r="AN52" s="25"/>
      <c r="AO52" s="25"/>
      <c r="AP52" s="25"/>
      <c r="AQ52" s="25"/>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row>
    <row r="53" spans="1:70" s="741" customFormat="1" ht="34" hidden="1" customHeight="1" x14ac:dyDescent="0.3">
      <c r="A53" s="158">
        <v>42</v>
      </c>
      <c r="B53" s="104"/>
      <c r="C53" s="114"/>
      <c r="D53" s="106"/>
      <c r="E53" s="107"/>
      <c r="F53" s="108"/>
      <c r="G53" s="133" t="str">
        <f t="shared" si="14"/>
        <v/>
      </c>
      <c r="H53" s="328"/>
      <c r="I53" s="846"/>
      <c r="J53" s="847"/>
      <c r="K53" s="109"/>
      <c r="L53" s="110"/>
      <c r="M53" s="136" t="str">
        <f t="shared" si="4"/>
        <v/>
      </c>
      <c r="N53" s="137">
        <f t="shared" si="5"/>
        <v>0</v>
      </c>
      <c r="O53" s="111"/>
      <c r="P53" s="145" t="str">
        <f t="shared" si="15"/>
        <v/>
      </c>
      <c r="Q53" s="146" t="str">
        <f t="shared" si="2"/>
        <v/>
      </c>
      <c r="R53" s="545" t="str">
        <f t="shared" si="16"/>
        <v/>
      </c>
      <c r="S53" s="147" t="str">
        <f t="shared" si="17"/>
        <v/>
      </c>
      <c r="T53" s="147" t="str">
        <f t="shared" si="7"/>
        <v/>
      </c>
      <c r="U53" s="148" t="str">
        <f t="shared" si="8"/>
        <v/>
      </c>
      <c r="V53" s="552" t="str">
        <f ca="1">IF('Extra look-up'!$H47="Math o Waith","Gwiriwch Math o Waith",IF(AND(D53="",F53="",H53="",I53="",L53="",M53=""),"",IF(OR(D53="",F53="",H53="",I53="",L53="",M53="",$L$9&lt;&gt;"OK"),"Gwiriwch bod yr holl feysydd wedi eu llenwi'n gywir",IF(AND(D53="",OR(F53&lt;&gt;"",H53&lt;&gt;"",I53&lt;&gt;"",L53&lt;&gt;"")),"Gwiriwch bod yr holl feysydd wedi eu llenwi'n gywir","OK"))))</f>
        <v/>
      </c>
      <c r="W53" s="521" t="str">
        <f>IF(I53="","",IF(VLOOKUP(I53,'Eligible Technologies'!$D$7:$G$69,4,FALSE)&lt;$F$9,VLOOKUP(I53,'Eligible Technologies'!$D$7:$G$69,4,FALSE),$F$9))</f>
        <v/>
      </c>
      <c r="X53" s="522" t="str">
        <f t="shared" si="13"/>
        <v/>
      </c>
      <c r="Y53" s="522">
        <f t="shared" ca="1" si="10"/>
        <v>0</v>
      </c>
      <c r="Z53" s="522" t="str">
        <f>'Extra look-up'!F47</f>
        <v/>
      </c>
      <c r="AA53" s="522" t="str">
        <f ca="1">'Extra look-up'!H47</f>
        <v>OK</v>
      </c>
      <c r="AB53" s="522">
        <f t="shared" ca="1" si="11"/>
        <v>1</v>
      </c>
      <c r="AC53" s="536" t="e">
        <f t="shared" si="12"/>
        <v>#VALUE!</v>
      </c>
      <c r="AD53" s="539" t="str">
        <f ca="1">IFERROR(AVERAGE($AH$101:INDIRECT(CONCATENATE("AH"&amp;AC53))),"")</f>
        <v/>
      </c>
      <c r="AE53" s="533"/>
      <c r="AF53" s="533"/>
      <c r="AG53" s="25"/>
      <c r="AH53" s="25"/>
      <c r="AI53" s="25"/>
      <c r="AJ53" s="25"/>
      <c r="AK53" s="25"/>
      <c r="AL53" s="25"/>
      <c r="AM53" s="25"/>
      <c r="AN53" s="25"/>
      <c r="AO53" s="25"/>
      <c r="AP53" s="25"/>
      <c r="AQ53" s="25"/>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row>
    <row r="54" spans="1:70" s="741" customFormat="1" ht="34" hidden="1" customHeight="1" x14ac:dyDescent="0.3">
      <c r="A54" s="158">
        <v>43</v>
      </c>
      <c r="B54" s="104"/>
      <c r="C54" s="114"/>
      <c r="D54" s="106"/>
      <c r="E54" s="107"/>
      <c r="F54" s="108"/>
      <c r="G54" s="133" t="str">
        <f t="shared" si="14"/>
        <v/>
      </c>
      <c r="H54" s="328"/>
      <c r="I54" s="846"/>
      <c r="J54" s="847"/>
      <c r="K54" s="109"/>
      <c r="L54" s="110"/>
      <c r="M54" s="136" t="str">
        <f t="shared" si="4"/>
        <v/>
      </c>
      <c r="N54" s="137">
        <f t="shared" si="5"/>
        <v>0</v>
      </c>
      <c r="O54" s="111"/>
      <c r="P54" s="145" t="str">
        <f t="shared" si="15"/>
        <v/>
      </c>
      <c r="Q54" s="146" t="str">
        <f t="shared" si="2"/>
        <v/>
      </c>
      <c r="R54" s="545" t="str">
        <f t="shared" si="16"/>
        <v/>
      </c>
      <c r="S54" s="147" t="str">
        <f t="shared" si="17"/>
        <v/>
      </c>
      <c r="T54" s="147" t="str">
        <f t="shared" si="7"/>
        <v/>
      </c>
      <c r="U54" s="148" t="str">
        <f t="shared" si="8"/>
        <v/>
      </c>
      <c r="V54" s="552" t="str">
        <f ca="1">IF('Extra look-up'!$H48="Math o Waith","Gwiriwch Math o Waith",IF(AND(D54="",F54="",H54="",I54="",L54="",M54=""),"",IF(OR(D54="",F54="",H54="",I54="",L54="",M54="",$L$9&lt;&gt;"OK"),"Gwiriwch bod yr holl feysydd wedi eu llenwi'n gywir",IF(AND(D54="",OR(F54&lt;&gt;"",H54&lt;&gt;"",I54&lt;&gt;"",L54&lt;&gt;"")),"Gwiriwch bod yr holl feysydd wedi eu llenwi'n gywir","OK"))))</f>
        <v/>
      </c>
      <c r="W54" s="521" t="str">
        <f>IF(I54="","",IF(VLOOKUP(I54,'Eligible Technologies'!$D$7:$G$69,4,FALSE)&lt;$F$9,VLOOKUP(I54,'Eligible Technologies'!$D$7:$G$69,4,FALSE),$F$9))</f>
        <v/>
      </c>
      <c r="X54" s="522" t="str">
        <f t="shared" si="13"/>
        <v/>
      </c>
      <c r="Y54" s="522">
        <f t="shared" ca="1" si="10"/>
        <v>0</v>
      </c>
      <c r="Z54" s="522" t="str">
        <f>'Extra look-up'!F48</f>
        <v/>
      </c>
      <c r="AA54" s="522" t="str">
        <f ca="1">'Extra look-up'!H48</f>
        <v>OK</v>
      </c>
      <c r="AB54" s="522">
        <f t="shared" ca="1" si="11"/>
        <v>1</v>
      </c>
      <c r="AC54" s="536" t="e">
        <f t="shared" si="12"/>
        <v>#VALUE!</v>
      </c>
      <c r="AD54" s="539" t="str">
        <f ca="1">IFERROR(AVERAGE($AH$101:INDIRECT(CONCATENATE("AH"&amp;AC54))),"")</f>
        <v/>
      </c>
      <c r="AE54" s="533"/>
      <c r="AF54" s="533"/>
      <c r="AG54" s="25"/>
      <c r="AH54" s="25"/>
      <c r="AI54" s="25"/>
      <c r="AJ54" s="25"/>
      <c r="AK54" s="25"/>
      <c r="AL54" s="25"/>
      <c r="AM54" s="25"/>
      <c r="AN54" s="25"/>
      <c r="AO54" s="25"/>
      <c r="AP54" s="25"/>
      <c r="AQ54" s="25"/>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row>
    <row r="55" spans="1:70" s="741" customFormat="1" ht="34" hidden="1" customHeight="1" x14ac:dyDescent="0.3">
      <c r="A55" s="158">
        <v>44</v>
      </c>
      <c r="B55" s="104"/>
      <c r="C55" s="114"/>
      <c r="D55" s="106"/>
      <c r="E55" s="107"/>
      <c r="F55" s="108"/>
      <c r="G55" s="133" t="str">
        <f t="shared" si="14"/>
        <v/>
      </c>
      <c r="H55" s="328"/>
      <c r="I55" s="846"/>
      <c r="J55" s="847"/>
      <c r="K55" s="109"/>
      <c r="L55" s="110"/>
      <c r="M55" s="136" t="str">
        <f t="shared" si="4"/>
        <v/>
      </c>
      <c r="N55" s="137">
        <f t="shared" si="5"/>
        <v>0</v>
      </c>
      <c r="O55" s="111"/>
      <c r="P55" s="145" t="str">
        <f t="shared" si="15"/>
        <v/>
      </c>
      <c r="Q55" s="146" t="str">
        <f t="shared" si="2"/>
        <v/>
      </c>
      <c r="R55" s="545" t="str">
        <f t="shared" si="16"/>
        <v/>
      </c>
      <c r="S55" s="147" t="str">
        <f t="shared" si="17"/>
        <v/>
      </c>
      <c r="T55" s="147" t="str">
        <f t="shared" si="7"/>
        <v/>
      </c>
      <c r="U55" s="148" t="str">
        <f t="shared" si="8"/>
        <v/>
      </c>
      <c r="V55" s="552" t="str">
        <f ca="1">IF('Extra look-up'!$H49="Math o Waith","Gwiriwch Math o Waith",IF(AND(D55="",F55="",H55="",I55="",L55="",M55=""),"",IF(OR(D55="",F55="",H55="",I55="",L55="",M55="",$L$9&lt;&gt;"OK"),"Gwiriwch bod yr holl feysydd wedi eu llenwi'n gywir",IF(AND(D55="",OR(F55&lt;&gt;"",H55&lt;&gt;"",I55&lt;&gt;"",L55&lt;&gt;"")),"Gwiriwch bod yr holl feysydd wedi eu llenwi'n gywir","OK"))))</f>
        <v/>
      </c>
      <c r="W55" s="521" t="str">
        <f>IF(I55="","",IF(VLOOKUP(I55,'Eligible Technologies'!$D$7:$G$69,4,FALSE)&lt;$F$9,VLOOKUP(I55,'Eligible Technologies'!$D$7:$G$69,4,FALSE),$F$9))</f>
        <v/>
      </c>
      <c r="X55" s="522" t="str">
        <f t="shared" si="13"/>
        <v/>
      </c>
      <c r="Y55" s="522">
        <f t="shared" ca="1" si="10"/>
        <v>0</v>
      </c>
      <c r="Z55" s="522" t="str">
        <f>'Extra look-up'!F49</f>
        <v/>
      </c>
      <c r="AA55" s="522" t="str">
        <f ca="1">'Extra look-up'!H49</f>
        <v>OK</v>
      </c>
      <c r="AB55" s="522">
        <f t="shared" ca="1" si="11"/>
        <v>1</v>
      </c>
      <c r="AC55" s="536" t="e">
        <f t="shared" si="12"/>
        <v>#VALUE!</v>
      </c>
      <c r="AD55" s="539" t="str">
        <f ca="1">IFERROR(AVERAGE($AH$101:INDIRECT(CONCATENATE("AH"&amp;AC55))),"")</f>
        <v/>
      </c>
      <c r="AE55" s="533"/>
      <c r="AF55" s="533"/>
      <c r="AG55" s="25"/>
      <c r="AH55" s="25"/>
      <c r="AI55" s="25"/>
      <c r="AJ55" s="25"/>
      <c r="AK55" s="25"/>
      <c r="AL55" s="25"/>
      <c r="AM55" s="25"/>
      <c r="AN55" s="25"/>
      <c r="AO55" s="25"/>
      <c r="AP55" s="25"/>
      <c r="AQ55" s="25"/>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row>
    <row r="56" spans="1:70" s="741" customFormat="1" ht="34" hidden="1" customHeight="1" x14ac:dyDescent="0.3">
      <c r="A56" s="158">
        <v>45</v>
      </c>
      <c r="B56" s="104"/>
      <c r="C56" s="114"/>
      <c r="D56" s="106"/>
      <c r="E56" s="107"/>
      <c r="F56" s="108"/>
      <c r="G56" s="133" t="str">
        <f t="shared" si="14"/>
        <v/>
      </c>
      <c r="H56" s="328"/>
      <c r="I56" s="846"/>
      <c r="J56" s="847"/>
      <c r="K56" s="109"/>
      <c r="L56" s="110"/>
      <c r="M56" s="136" t="str">
        <f t="shared" si="4"/>
        <v/>
      </c>
      <c r="N56" s="137">
        <f t="shared" si="5"/>
        <v>0</v>
      </c>
      <c r="O56" s="111"/>
      <c r="P56" s="145" t="str">
        <f t="shared" si="15"/>
        <v/>
      </c>
      <c r="Q56" s="146" t="str">
        <f t="shared" si="2"/>
        <v/>
      </c>
      <c r="R56" s="545" t="str">
        <f t="shared" si="16"/>
        <v/>
      </c>
      <c r="S56" s="147" t="str">
        <f t="shared" si="17"/>
        <v/>
      </c>
      <c r="T56" s="147" t="str">
        <f t="shared" si="7"/>
        <v/>
      </c>
      <c r="U56" s="148" t="str">
        <f t="shared" si="8"/>
        <v/>
      </c>
      <c r="V56" s="552" t="str">
        <f ca="1">IF('Extra look-up'!$H50="Math o Waith","Gwiriwch Math o Waith",IF(AND(D56="",F56="",H56="",I56="",L56="",M56=""),"",IF(OR(D56="",F56="",H56="",I56="",L56="",M56="",$L$9&lt;&gt;"OK"),"Gwiriwch bod yr holl feysydd wedi eu llenwi'n gywir",IF(AND(D56="",OR(F56&lt;&gt;"",H56&lt;&gt;"",I56&lt;&gt;"",L56&lt;&gt;"")),"Gwiriwch bod yr holl feysydd wedi eu llenwi'n gywir","OK"))))</f>
        <v/>
      </c>
      <c r="W56" s="521" t="str">
        <f>IF(I56="","",IF(VLOOKUP(I56,'Eligible Technologies'!$D$7:$G$69,4,FALSE)&lt;$F$9,VLOOKUP(I56,'Eligible Technologies'!$D$7:$G$69,4,FALSE),$F$9))</f>
        <v/>
      </c>
      <c r="X56" s="522" t="str">
        <f t="shared" si="13"/>
        <v/>
      </c>
      <c r="Y56" s="522">
        <f t="shared" ca="1" si="10"/>
        <v>0</v>
      </c>
      <c r="Z56" s="522" t="str">
        <f>'Extra look-up'!F50</f>
        <v/>
      </c>
      <c r="AA56" s="522" t="str">
        <f ca="1">'Extra look-up'!H50</f>
        <v>OK</v>
      </c>
      <c r="AB56" s="522">
        <f t="shared" ca="1" si="11"/>
        <v>1</v>
      </c>
      <c r="AC56" s="536" t="e">
        <f t="shared" si="12"/>
        <v>#VALUE!</v>
      </c>
      <c r="AD56" s="539" t="str">
        <f ca="1">IFERROR(AVERAGE($AH$101:INDIRECT(CONCATENATE("AH"&amp;AC56))),"")</f>
        <v/>
      </c>
      <c r="AE56" s="533"/>
      <c r="AF56" s="533"/>
      <c r="AG56" s="25"/>
      <c r="AH56" s="25"/>
      <c r="AI56" s="25"/>
      <c r="AJ56" s="25"/>
      <c r="AK56" s="25"/>
      <c r="AL56" s="25"/>
      <c r="AM56" s="25"/>
      <c r="AN56" s="25"/>
      <c r="AO56" s="25"/>
      <c r="AP56" s="25"/>
      <c r="AQ56" s="25"/>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row>
    <row r="57" spans="1:70" s="741" customFormat="1" ht="34" hidden="1" customHeight="1" x14ac:dyDescent="0.3">
      <c r="A57" s="158">
        <v>46</v>
      </c>
      <c r="B57" s="104"/>
      <c r="C57" s="114"/>
      <c r="D57" s="106"/>
      <c r="E57" s="107"/>
      <c r="F57" s="108"/>
      <c r="G57" s="133" t="str">
        <f t="shared" si="14"/>
        <v/>
      </c>
      <c r="H57" s="328"/>
      <c r="I57" s="846"/>
      <c r="J57" s="847"/>
      <c r="K57" s="109"/>
      <c r="L57" s="110"/>
      <c r="M57" s="136" t="str">
        <f t="shared" si="4"/>
        <v/>
      </c>
      <c r="N57" s="137">
        <f t="shared" si="5"/>
        <v>0</v>
      </c>
      <c r="O57" s="111"/>
      <c r="P57" s="145" t="str">
        <f t="shared" si="15"/>
        <v/>
      </c>
      <c r="Q57" s="146" t="str">
        <f t="shared" si="2"/>
        <v/>
      </c>
      <c r="R57" s="545" t="str">
        <f t="shared" si="16"/>
        <v/>
      </c>
      <c r="S57" s="147" t="str">
        <f t="shared" si="17"/>
        <v/>
      </c>
      <c r="T57" s="147" t="str">
        <f t="shared" si="7"/>
        <v/>
      </c>
      <c r="U57" s="148" t="str">
        <f t="shared" si="8"/>
        <v/>
      </c>
      <c r="V57" s="552" t="str">
        <f ca="1">IF('Extra look-up'!$H51="Math o Waith","Gwiriwch Math o Waith",IF(AND(D57="",F57="",H57="",I57="",L57="",M57=""),"",IF(OR(D57="",F57="",H57="",I57="",L57="",M57="",$L$9&lt;&gt;"OK"),"Gwiriwch bod yr holl feysydd wedi eu llenwi'n gywir",IF(AND(D57="",OR(F57&lt;&gt;"",H57&lt;&gt;"",I57&lt;&gt;"",L57&lt;&gt;"")),"Gwiriwch bod yr holl feysydd wedi eu llenwi'n gywir","OK"))))</f>
        <v/>
      </c>
      <c r="W57" s="521" t="str">
        <f>IF(I57="","",IF(VLOOKUP(I57,'Eligible Technologies'!$D$7:$G$69,4,FALSE)&lt;$F$9,VLOOKUP(I57,'Eligible Technologies'!$D$7:$G$69,4,FALSE),$F$9))</f>
        <v/>
      </c>
      <c r="X57" s="522" t="str">
        <f t="shared" si="13"/>
        <v/>
      </c>
      <c r="Y57" s="522">
        <f t="shared" ca="1" si="10"/>
        <v>0</v>
      </c>
      <c r="Z57" s="522" t="str">
        <f>'Extra look-up'!F51</f>
        <v/>
      </c>
      <c r="AA57" s="522" t="str">
        <f ca="1">'Extra look-up'!H51</f>
        <v>OK</v>
      </c>
      <c r="AB57" s="522">
        <f t="shared" ca="1" si="11"/>
        <v>1</v>
      </c>
      <c r="AC57" s="536" t="e">
        <f t="shared" si="12"/>
        <v>#VALUE!</v>
      </c>
      <c r="AD57" s="539" t="str">
        <f ca="1">IFERROR(AVERAGE($AH$101:INDIRECT(CONCATENATE("AH"&amp;AC57))),"")</f>
        <v/>
      </c>
      <c r="AE57" s="533"/>
      <c r="AF57" s="533"/>
      <c r="AG57" s="25"/>
      <c r="AH57" s="25"/>
      <c r="AI57" s="25"/>
      <c r="AJ57" s="25"/>
      <c r="AK57" s="25"/>
      <c r="AL57" s="25"/>
      <c r="AM57" s="25"/>
      <c r="AN57" s="25"/>
      <c r="AO57" s="25"/>
      <c r="AP57" s="25"/>
      <c r="AQ57" s="25"/>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row>
    <row r="58" spans="1:70" s="741" customFormat="1" ht="34" hidden="1" customHeight="1" x14ac:dyDescent="0.3">
      <c r="A58" s="158">
        <v>47</v>
      </c>
      <c r="B58" s="104"/>
      <c r="C58" s="114"/>
      <c r="D58" s="106"/>
      <c r="E58" s="107"/>
      <c r="F58" s="108"/>
      <c r="G58" s="133" t="str">
        <f t="shared" si="14"/>
        <v/>
      </c>
      <c r="H58" s="328"/>
      <c r="I58" s="846"/>
      <c r="J58" s="847"/>
      <c r="K58" s="109"/>
      <c r="L58" s="110"/>
      <c r="M58" s="136" t="str">
        <f t="shared" si="4"/>
        <v/>
      </c>
      <c r="N58" s="137">
        <f t="shared" si="5"/>
        <v>0</v>
      </c>
      <c r="O58" s="111"/>
      <c r="P58" s="145" t="str">
        <f t="shared" si="15"/>
        <v/>
      </c>
      <c r="Q58" s="146" t="str">
        <f t="shared" si="2"/>
        <v/>
      </c>
      <c r="R58" s="545" t="str">
        <f t="shared" si="16"/>
        <v/>
      </c>
      <c r="S58" s="147" t="str">
        <f t="shared" si="17"/>
        <v/>
      </c>
      <c r="T58" s="147" t="str">
        <f t="shared" si="7"/>
        <v/>
      </c>
      <c r="U58" s="148" t="str">
        <f t="shared" si="8"/>
        <v/>
      </c>
      <c r="V58" s="552" t="str">
        <f ca="1">IF('Extra look-up'!$H52="Math o Waith","Gwiriwch Math o Waith",IF(AND(D58="",F58="",H58="",I58="",L58="",M58=""),"",IF(OR(D58="",F58="",H58="",I58="",L58="",M58="",$L$9&lt;&gt;"OK"),"Gwiriwch bod yr holl feysydd wedi eu llenwi'n gywir",IF(AND(D58="",OR(F58&lt;&gt;"",H58&lt;&gt;"",I58&lt;&gt;"",L58&lt;&gt;"")),"Gwiriwch bod yr holl feysydd wedi eu llenwi'n gywir","OK"))))</f>
        <v/>
      </c>
      <c r="W58" s="521" t="str">
        <f>IF(I58="","",IF(VLOOKUP(I58,'Eligible Technologies'!$D$7:$G$69,4,FALSE)&lt;$F$9,VLOOKUP(I58,'Eligible Technologies'!$D$7:$G$69,4,FALSE),$F$9))</f>
        <v/>
      </c>
      <c r="X58" s="522" t="str">
        <f t="shared" si="13"/>
        <v/>
      </c>
      <c r="Y58" s="522">
        <f t="shared" ca="1" si="10"/>
        <v>0</v>
      </c>
      <c r="Z58" s="522" t="str">
        <f>'Extra look-up'!F52</f>
        <v/>
      </c>
      <c r="AA58" s="522" t="str">
        <f ca="1">'Extra look-up'!H52</f>
        <v>OK</v>
      </c>
      <c r="AB58" s="522">
        <f t="shared" ca="1" si="11"/>
        <v>1</v>
      </c>
      <c r="AC58" s="536" t="e">
        <f t="shared" si="12"/>
        <v>#VALUE!</v>
      </c>
      <c r="AD58" s="539" t="str">
        <f ca="1">IFERROR(AVERAGE($AH$101:INDIRECT(CONCATENATE("AH"&amp;AC58))),"")</f>
        <v/>
      </c>
      <c r="AE58" s="533"/>
      <c r="AF58" s="533"/>
      <c r="AG58" s="25"/>
      <c r="AH58" s="25"/>
      <c r="AI58" s="25"/>
      <c r="AJ58" s="25"/>
      <c r="AK58" s="25"/>
      <c r="AL58" s="25"/>
      <c r="AM58" s="25"/>
      <c r="AN58" s="25"/>
      <c r="AO58" s="25"/>
      <c r="AP58" s="25"/>
      <c r="AQ58" s="25"/>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row>
    <row r="59" spans="1:70" s="741" customFormat="1" ht="34" hidden="1" customHeight="1" x14ac:dyDescent="0.3">
      <c r="A59" s="158">
        <v>48</v>
      </c>
      <c r="B59" s="104"/>
      <c r="C59" s="114"/>
      <c r="D59" s="106"/>
      <c r="E59" s="107"/>
      <c r="F59" s="108"/>
      <c r="G59" s="133" t="str">
        <f t="shared" si="14"/>
        <v/>
      </c>
      <c r="H59" s="328"/>
      <c r="I59" s="846"/>
      <c r="J59" s="847"/>
      <c r="K59" s="109"/>
      <c r="L59" s="110"/>
      <c r="M59" s="136" t="str">
        <f t="shared" si="4"/>
        <v/>
      </c>
      <c r="N59" s="137">
        <f t="shared" si="5"/>
        <v>0</v>
      </c>
      <c r="O59" s="111"/>
      <c r="P59" s="145" t="str">
        <f t="shared" si="15"/>
        <v/>
      </c>
      <c r="Q59" s="146" t="str">
        <f t="shared" si="2"/>
        <v/>
      </c>
      <c r="R59" s="545" t="str">
        <f t="shared" si="16"/>
        <v/>
      </c>
      <c r="S59" s="147" t="str">
        <f t="shared" si="17"/>
        <v/>
      </c>
      <c r="T59" s="147" t="str">
        <f t="shared" si="7"/>
        <v/>
      </c>
      <c r="U59" s="148" t="str">
        <f t="shared" si="8"/>
        <v/>
      </c>
      <c r="V59" s="552" t="str">
        <f ca="1">IF('Extra look-up'!$H53="Math o Waith","Gwiriwch Math o Waith",IF(AND(D59="",F59="",H59="",I59="",L59="",M59=""),"",IF(OR(D59="",F59="",H59="",I59="",L59="",M59="",$L$9&lt;&gt;"OK"),"Gwiriwch bod yr holl feysydd wedi eu llenwi'n gywir",IF(AND(D59="",OR(F59&lt;&gt;"",H59&lt;&gt;"",I59&lt;&gt;"",L59&lt;&gt;"")),"Gwiriwch bod yr holl feysydd wedi eu llenwi'n gywir","OK"))))</f>
        <v/>
      </c>
      <c r="W59" s="521" t="str">
        <f>IF(I59="","",IF(VLOOKUP(I59,'Eligible Technologies'!$D$7:$G$69,4,FALSE)&lt;$F$9,VLOOKUP(I59,'Eligible Technologies'!$D$7:$G$69,4,FALSE),$F$9))</f>
        <v/>
      </c>
      <c r="X59" s="522" t="str">
        <f t="shared" si="13"/>
        <v/>
      </c>
      <c r="Y59" s="522">
        <f t="shared" ca="1" si="10"/>
        <v>0</v>
      </c>
      <c r="Z59" s="522" t="str">
        <f>'Extra look-up'!F53</f>
        <v/>
      </c>
      <c r="AA59" s="522" t="str">
        <f ca="1">'Extra look-up'!H53</f>
        <v>OK</v>
      </c>
      <c r="AB59" s="522">
        <f t="shared" ca="1" si="11"/>
        <v>1</v>
      </c>
      <c r="AC59" s="536" t="e">
        <f t="shared" si="12"/>
        <v>#VALUE!</v>
      </c>
      <c r="AD59" s="539" t="str">
        <f ca="1">IFERROR(AVERAGE($AH$101:INDIRECT(CONCATENATE("AH"&amp;AC59))),"")</f>
        <v/>
      </c>
      <c r="AE59" s="533"/>
      <c r="AF59" s="533"/>
      <c r="AG59" s="25"/>
      <c r="AH59" s="25"/>
      <c r="AI59" s="25"/>
      <c r="AJ59" s="25"/>
      <c r="AK59" s="25"/>
      <c r="AL59" s="25"/>
      <c r="AM59" s="25"/>
      <c r="AN59" s="25"/>
      <c r="AO59" s="25"/>
      <c r="AP59" s="25"/>
      <c r="AQ59" s="25"/>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row>
    <row r="60" spans="1:70" s="741" customFormat="1" ht="34" hidden="1" customHeight="1" x14ac:dyDescent="0.3">
      <c r="A60" s="158">
        <v>49</v>
      </c>
      <c r="B60" s="104"/>
      <c r="C60" s="114"/>
      <c r="D60" s="106"/>
      <c r="E60" s="107"/>
      <c r="F60" s="108"/>
      <c r="G60" s="133" t="str">
        <f t="shared" si="14"/>
        <v/>
      </c>
      <c r="H60" s="328"/>
      <c r="I60" s="846"/>
      <c r="J60" s="847"/>
      <c r="K60" s="109"/>
      <c r="L60" s="110"/>
      <c r="M60" s="136" t="str">
        <f t="shared" si="4"/>
        <v/>
      </c>
      <c r="N60" s="137">
        <f t="shared" si="5"/>
        <v>0</v>
      </c>
      <c r="O60" s="111"/>
      <c r="P60" s="145" t="str">
        <f t="shared" si="15"/>
        <v/>
      </c>
      <c r="Q60" s="146" t="str">
        <f t="shared" si="2"/>
        <v/>
      </c>
      <c r="R60" s="545" t="str">
        <f t="shared" si="16"/>
        <v/>
      </c>
      <c r="S60" s="147" t="str">
        <f t="shared" si="17"/>
        <v/>
      </c>
      <c r="T60" s="147" t="str">
        <f t="shared" si="7"/>
        <v/>
      </c>
      <c r="U60" s="148" t="str">
        <f t="shared" si="8"/>
        <v/>
      </c>
      <c r="V60" s="552" t="str">
        <f ca="1">IF('Extra look-up'!$H54="Math o Waith","Gwiriwch Math o Waith",IF(AND(D60="",F60="",H60="",I60="",L60="",M60=""),"",IF(OR(D60="",F60="",H60="",I60="",L60="",M60="",$L$9&lt;&gt;"OK"),"Gwiriwch bod yr holl feysydd wedi eu llenwi'n gywir",IF(AND(D60="",OR(F60&lt;&gt;"",H60&lt;&gt;"",I60&lt;&gt;"",L60&lt;&gt;"")),"Gwiriwch bod yr holl feysydd wedi eu llenwi'n gywir","OK"))))</f>
        <v/>
      </c>
      <c r="W60" s="521" t="str">
        <f>IF(I60="","",IF(VLOOKUP(I60,'Eligible Technologies'!$D$7:$G$69,4,FALSE)&lt;$F$9,VLOOKUP(I60,'Eligible Technologies'!$D$7:$G$69,4,FALSE),$F$9))</f>
        <v/>
      </c>
      <c r="X60" s="522" t="str">
        <f t="shared" si="13"/>
        <v/>
      </c>
      <c r="Y60" s="522">
        <f t="shared" ca="1" si="10"/>
        <v>0</v>
      </c>
      <c r="Z60" s="522" t="str">
        <f>'Extra look-up'!F54</f>
        <v/>
      </c>
      <c r="AA60" s="522" t="str">
        <f ca="1">'Extra look-up'!H54</f>
        <v>OK</v>
      </c>
      <c r="AB60" s="522">
        <f t="shared" ca="1" si="11"/>
        <v>1</v>
      </c>
      <c r="AC60" s="536" t="e">
        <f t="shared" si="12"/>
        <v>#VALUE!</v>
      </c>
      <c r="AD60" s="539" t="str">
        <f ca="1">IFERROR(AVERAGE($AH$101:INDIRECT(CONCATENATE("AH"&amp;AC60))),"")</f>
        <v/>
      </c>
      <c r="AE60" s="533"/>
      <c r="AF60" s="533"/>
      <c r="AG60" s="25"/>
      <c r="AH60" s="25"/>
      <c r="AI60" s="25"/>
      <c r="AJ60" s="25"/>
      <c r="AK60" s="25"/>
      <c r="AL60" s="25"/>
      <c r="AM60" s="25"/>
      <c r="AN60" s="25"/>
      <c r="AO60" s="25"/>
      <c r="AP60" s="25"/>
      <c r="AQ60" s="25"/>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row>
    <row r="61" spans="1:70" s="741" customFormat="1" ht="12.5" hidden="1" customHeight="1" thickBot="1" x14ac:dyDescent="0.35">
      <c r="A61" s="158">
        <v>50</v>
      </c>
      <c r="B61" s="104"/>
      <c r="C61" s="112"/>
      <c r="D61" s="106"/>
      <c r="E61" s="107"/>
      <c r="F61" s="108"/>
      <c r="G61" s="133" t="str">
        <f t="shared" si="14"/>
        <v/>
      </c>
      <c r="H61" s="328"/>
      <c r="I61" s="846"/>
      <c r="J61" s="847"/>
      <c r="K61" s="109"/>
      <c r="L61" s="110"/>
      <c r="M61" s="136" t="str">
        <f t="shared" si="4"/>
        <v/>
      </c>
      <c r="N61" s="137">
        <f t="shared" si="5"/>
        <v>0</v>
      </c>
      <c r="O61" s="111"/>
      <c r="P61" s="145" t="str">
        <f t="shared" si="15"/>
        <v/>
      </c>
      <c r="Q61" s="146" t="str">
        <f t="shared" si="2"/>
        <v/>
      </c>
      <c r="R61" s="545" t="str">
        <f t="shared" si="16"/>
        <v/>
      </c>
      <c r="S61" s="147" t="str">
        <f t="shared" si="17"/>
        <v/>
      </c>
      <c r="T61" s="147" t="str">
        <f t="shared" si="7"/>
        <v/>
      </c>
      <c r="U61" s="148" t="str">
        <f t="shared" si="8"/>
        <v/>
      </c>
      <c r="V61" s="553" t="str">
        <f>IF('Extra look-up'!$H80="Work Type","Check Work Type",IF(AND(D61="",F61="",H61="",I61="",L61="",M61=""),"",IF(OR(D61="",F61="",H61="",I61="",L61="",M61="",$L$9&lt;&gt;"OK"),"Check all fields completed correctly",IF(AND(D61="",OR(F61&lt;&gt;"",H61&lt;&gt;"",I61&lt;&gt;"",L61&lt;&gt;"")),"Check all fields completed correctly","OK"))))</f>
        <v/>
      </c>
      <c r="W61" s="523" t="str">
        <f>IF(I61="","",IF(VLOOKUP(I61,'Eligible Technologies'!$D$7:$G$69,4,FALSE)&lt;$F$9,VLOOKUP(I61,'Eligible Technologies'!$D$7:$G$69,4,FALSE),$F$9))</f>
        <v/>
      </c>
      <c r="X61" s="524" t="str">
        <f t="shared" si="13"/>
        <v/>
      </c>
      <c r="Y61" s="524">
        <f t="shared" si="10"/>
        <v>0</v>
      </c>
      <c r="Z61" s="524" t="str">
        <f>'Extra look-up'!F55</f>
        <v/>
      </c>
      <c r="AA61" s="524" t="str">
        <f ca="1">'Extra look-up'!H55</f>
        <v>OK</v>
      </c>
      <c r="AB61" s="524">
        <f t="shared" si="11"/>
        <v>1</v>
      </c>
      <c r="AC61" s="537" t="e">
        <f t="shared" si="12"/>
        <v>#VALUE!</v>
      </c>
      <c r="AD61" s="540" t="str">
        <f ca="1">IFERROR(AVERAGE($AH$101:INDIRECT(CONCATENATE("AH"&amp;AC61))),"")</f>
        <v/>
      </c>
      <c r="AE61" s="533"/>
      <c r="AF61" s="533"/>
      <c r="AG61" s="25"/>
      <c r="AH61" s="25"/>
      <c r="AI61" s="25"/>
      <c r="AJ61" s="25"/>
      <c r="AK61" s="25"/>
      <c r="AL61" s="25"/>
      <c r="AM61" s="25"/>
      <c r="AN61" s="25"/>
      <c r="AO61" s="25"/>
      <c r="AP61" s="25"/>
      <c r="AQ61" s="25"/>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row>
    <row r="62" spans="1:70" s="741" customFormat="1" ht="15" customHeight="1" thickBot="1" x14ac:dyDescent="0.35">
      <c r="A62" s="222"/>
      <c r="B62" s="223"/>
      <c r="C62" s="223"/>
      <c r="D62" s="223"/>
      <c r="E62" s="223"/>
      <c r="F62" s="223"/>
      <c r="G62" s="223"/>
      <c r="H62" s="223"/>
      <c r="I62" s="223"/>
      <c r="J62" s="223"/>
      <c r="K62" s="223"/>
      <c r="L62" s="223"/>
      <c r="M62" s="223"/>
      <c r="N62" s="223"/>
      <c r="O62" s="223"/>
      <c r="P62" s="223"/>
      <c r="Q62" s="223"/>
      <c r="R62" s="223"/>
      <c r="S62" s="223"/>
      <c r="T62" s="223"/>
      <c r="U62" s="223"/>
      <c r="V62" s="224"/>
      <c r="W62" s="6"/>
      <c r="X62" s="24"/>
      <c r="Y62" s="528">
        <f ca="1">SUM(Y12:Y61)</f>
        <v>0</v>
      </c>
      <c r="Z62" s="24"/>
      <c r="AA62" s="24"/>
      <c r="AB62" s="528">
        <f ca="1">SUM(AB12:AB61)</f>
        <v>50</v>
      </c>
      <c r="AC62" s="24"/>
      <c r="AD62" s="24"/>
      <c r="AE62" s="24"/>
      <c r="AF62" s="24"/>
      <c r="AG62" s="25"/>
      <c r="AH62" s="25"/>
      <c r="AI62" s="25"/>
      <c r="AJ62" s="25"/>
      <c r="AK62" s="25"/>
      <c r="AL62" s="25"/>
      <c r="AM62" s="25"/>
      <c r="AN62" s="25"/>
      <c r="AO62" s="25"/>
      <c r="AP62" s="25"/>
      <c r="AQ62" s="25"/>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row>
    <row r="63" spans="1:70" s="741" customFormat="1" ht="15" customHeight="1" thickBot="1" x14ac:dyDescent="0.35">
      <c r="A63" s="159"/>
      <c r="B63" s="336"/>
      <c r="C63" s="336"/>
      <c r="D63" s="336"/>
      <c r="E63" s="336"/>
      <c r="F63" s="336"/>
      <c r="G63" s="336"/>
      <c r="H63" s="336"/>
      <c r="I63" s="336"/>
      <c r="J63" s="336"/>
      <c r="K63" s="336"/>
      <c r="L63" s="336"/>
      <c r="M63" s="336"/>
      <c r="N63" s="336"/>
      <c r="O63" s="336"/>
      <c r="P63" s="336"/>
      <c r="Q63" s="336"/>
      <c r="R63" s="336"/>
      <c r="S63" s="336"/>
      <c r="T63" s="336"/>
      <c r="U63" s="336"/>
      <c r="V63" s="336"/>
      <c r="W63" s="6"/>
      <c r="X63" s="24"/>
      <c r="Y63" s="24"/>
      <c r="Z63" s="24"/>
      <c r="AA63" s="24"/>
      <c r="AB63" s="24"/>
      <c r="AC63" s="24"/>
      <c r="AD63" s="24"/>
      <c r="AE63" s="24"/>
      <c r="AF63" s="24"/>
      <c r="AG63" s="25"/>
      <c r="AH63" s="25"/>
      <c r="AI63" s="25"/>
      <c r="AJ63" s="25"/>
      <c r="AK63" s="25"/>
      <c r="AL63" s="25"/>
      <c r="AM63" s="25"/>
      <c r="AN63" s="25"/>
      <c r="AO63" s="25"/>
      <c r="AP63" s="25"/>
      <c r="AQ63" s="25"/>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row>
    <row r="64" spans="1:70" s="741" customFormat="1" ht="60.75" customHeight="1" thickBot="1" x14ac:dyDescent="0.35">
      <c r="A64" s="156"/>
      <c r="B64" s="336"/>
      <c r="C64" s="336"/>
      <c r="D64" s="336"/>
      <c r="E64" s="336"/>
      <c r="F64" s="336"/>
      <c r="G64" s="336"/>
      <c r="H64" s="337"/>
      <c r="I64" s="336"/>
      <c r="J64" s="336"/>
      <c r="K64" s="336"/>
      <c r="L64" s="336"/>
      <c r="M64" s="336"/>
      <c r="N64" s="234" t="s">
        <v>121</v>
      </c>
      <c r="O64" s="234" t="s">
        <v>122</v>
      </c>
      <c r="P64" s="235" t="s">
        <v>123</v>
      </c>
      <c r="Q64" s="124" t="s">
        <v>53</v>
      </c>
      <c r="R64" s="124" t="s">
        <v>124</v>
      </c>
      <c r="S64" s="124" t="s">
        <v>125</v>
      </c>
      <c r="T64" s="124" t="s">
        <v>126</v>
      </c>
      <c r="U64" s="132" t="s">
        <v>127</v>
      </c>
      <c r="V64" s="236" t="s">
        <v>128</v>
      </c>
      <c r="W64" s="6"/>
      <c r="X64" s="24"/>
      <c r="Y64" s="24"/>
      <c r="Z64" s="24"/>
      <c r="AA64" s="24"/>
      <c r="AB64" s="24"/>
      <c r="AC64" s="24"/>
      <c r="AD64" s="24"/>
      <c r="AE64" s="24"/>
      <c r="AF64" s="24"/>
      <c r="AG64" s="25"/>
      <c r="AH64" s="25"/>
      <c r="AI64" s="25"/>
      <c r="AJ64" s="25"/>
      <c r="AK64" s="25"/>
      <c r="AL64" s="25"/>
      <c r="AM64" s="25"/>
      <c r="AN64" s="25"/>
      <c r="AO64" s="25"/>
      <c r="AP64" s="25"/>
      <c r="AQ64" s="25"/>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row>
    <row r="65" spans="1:70" s="741" customFormat="1" ht="51.65" customHeight="1" x14ac:dyDescent="0.3">
      <c r="A65" s="156"/>
      <c r="B65" s="338"/>
      <c r="C65" s="339"/>
      <c r="D65" s="340"/>
      <c r="E65" s="338"/>
      <c r="F65" s="338"/>
      <c r="G65" s="338"/>
      <c r="H65" s="338"/>
      <c r="I65" s="338"/>
      <c r="J65" s="338"/>
      <c r="K65" s="341"/>
      <c r="L65" s="341"/>
      <c r="M65" s="341"/>
      <c r="N65" s="225"/>
      <c r="O65" s="226" t="str">
        <f>IF(OR(L9&lt;&gt;"OK",$D$4=""),"",SUM(O12:O61))</f>
        <v/>
      </c>
      <c r="P65" s="227" t="str">
        <f>IF(OR(L9&lt;&gt;"OK",$D$4=""),"",SUM(P12:P61))</f>
        <v/>
      </c>
      <c r="Q65" s="228" t="str">
        <f>IF(OR(P65&lt;=0,P65=""),"",N65/P65)</f>
        <v/>
      </c>
      <c r="R65" s="229" t="str">
        <f>IF(Q65="","",SUM(R12:R61))</f>
        <v/>
      </c>
      <c r="S65" s="230" t="str">
        <f>IF(R65="","",SUM(S12:S61))</f>
        <v/>
      </c>
      <c r="T65" s="231" t="str">
        <f>IF(S65="","",SUM(T12:T61))</f>
        <v/>
      </c>
      <c r="U65" s="232" t="str">
        <f>IF(ISERROR(N65/T65),"",N65/T65)</f>
        <v/>
      </c>
      <c r="V65" s="233" t="str">
        <f>IF($D$4="","Dewiswch Raglen",IF(L9&lt;&gt;"OK","Gwirio Manylion y Prosiect",IF(Y62=0,"Nodwch Fanylion y Math o Waith",IF(N65=0,"Nodwch y Cyllid y Gwneir Cais Amdano",IF(AB62&gt;=51,"Gwiriwch Fanylion y Math o Waith",'Extra look-up'!H77)))))</f>
        <v>Dewiswch Raglen</v>
      </c>
      <c r="W65" s="6"/>
      <c r="X65" s="24"/>
      <c r="Y65" s="24"/>
      <c r="Z65" s="24"/>
      <c r="AA65" s="24"/>
      <c r="AB65" s="24"/>
      <c r="AC65" s="24"/>
      <c r="AD65" s="24"/>
      <c r="AE65" s="24"/>
      <c r="AF65" s="24"/>
      <c r="AG65" s="25"/>
      <c r="AH65" s="25"/>
      <c r="AI65" s="25"/>
      <c r="AJ65" s="25"/>
      <c r="AK65" s="25"/>
      <c r="AL65" s="25"/>
      <c r="AM65" s="25"/>
      <c r="AN65" s="25"/>
      <c r="AO65" s="25"/>
      <c r="AP65" s="25"/>
      <c r="AQ65" s="25"/>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row>
    <row r="66" spans="1:70" s="741" customFormat="1" ht="15" customHeight="1" thickBot="1" x14ac:dyDescent="0.35">
      <c r="A66" s="155"/>
      <c r="B66" s="342"/>
      <c r="C66" s="343"/>
      <c r="D66" s="344"/>
      <c r="E66" s="342"/>
      <c r="F66" s="342"/>
      <c r="G66" s="342"/>
      <c r="H66" s="342"/>
      <c r="I66" s="342"/>
      <c r="J66" s="342"/>
      <c r="K66" s="345"/>
      <c r="L66" s="346"/>
      <c r="M66" s="149"/>
      <c r="N66" s="149"/>
      <c r="O66" s="150"/>
      <c r="P66" s="151"/>
      <c r="Q66" s="152"/>
      <c r="R66" s="153"/>
      <c r="S66" s="152"/>
      <c r="T66" s="154"/>
      <c r="U66" s="350"/>
      <c r="V66" s="350"/>
      <c r="W66" s="6"/>
      <c r="X66" s="24"/>
      <c r="Y66" s="24"/>
      <c r="Z66" s="24"/>
      <c r="AA66" s="24"/>
      <c r="AB66" s="24"/>
      <c r="AC66" s="24"/>
      <c r="AD66" s="24"/>
      <c r="AE66" s="24"/>
      <c r="AF66" s="24"/>
      <c r="AG66" s="6"/>
      <c r="AH66" s="6"/>
      <c r="AI66" s="6"/>
      <c r="AJ66" s="6"/>
      <c r="AK66" s="6"/>
      <c r="AL66" s="6"/>
      <c r="AM66" s="6"/>
      <c r="AN66" s="6"/>
      <c r="AO66" s="6"/>
      <c r="AP66" s="6"/>
      <c r="AQ66" s="6"/>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row>
    <row r="67" spans="1:70" s="741" customFormat="1" ht="36.75" customHeight="1" x14ac:dyDescent="0.3">
      <c r="A67" s="347"/>
      <c r="B67" s="857" t="s">
        <v>129</v>
      </c>
      <c r="C67" s="858"/>
      <c r="D67" s="858"/>
      <c r="E67" s="858"/>
      <c r="F67" s="858"/>
      <c r="G67" s="858"/>
      <c r="H67" s="858"/>
      <c r="I67" s="858"/>
      <c r="J67" s="858"/>
      <c r="K67" s="858"/>
      <c r="L67" s="858"/>
      <c r="M67" s="858"/>
      <c r="N67" s="858"/>
      <c r="O67" s="858"/>
      <c r="P67" s="858"/>
      <c r="Q67" s="858"/>
      <c r="R67" s="858"/>
      <c r="S67" s="858"/>
      <c r="T67" s="858"/>
      <c r="U67" s="858"/>
      <c r="V67" s="859"/>
      <c r="W67" s="6"/>
      <c r="X67" s="24"/>
      <c r="Y67" s="24"/>
      <c r="Z67" s="24"/>
      <c r="AA67" s="24"/>
      <c r="AB67" s="24"/>
      <c r="AC67" s="24"/>
      <c r="AD67" s="24"/>
      <c r="AE67" s="24"/>
      <c r="AF67" s="24"/>
      <c r="AG67" s="6"/>
      <c r="AH67" s="6"/>
      <c r="AI67" s="6"/>
      <c r="AJ67" s="6"/>
      <c r="AK67" s="6"/>
      <c r="AL67" s="6"/>
      <c r="AM67" s="6"/>
      <c r="AN67" s="6"/>
      <c r="AO67" s="6"/>
      <c r="AP67" s="6"/>
      <c r="AQ67" s="6"/>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row>
    <row r="68" spans="1:70" s="741" customFormat="1" ht="21" customHeight="1" x14ac:dyDescent="0.3">
      <c r="A68" s="347"/>
      <c r="B68" s="864" t="s">
        <v>130</v>
      </c>
      <c r="C68" s="865"/>
      <c r="D68" s="865"/>
      <c r="E68" s="865"/>
      <c r="F68" s="865"/>
      <c r="G68" s="865"/>
      <c r="H68" s="865"/>
      <c r="I68" s="865"/>
      <c r="J68" s="865"/>
      <c r="K68" s="865"/>
      <c r="L68" s="865"/>
      <c r="M68" s="865"/>
      <c r="N68" s="865"/>
      <c r="O68" s="865"/>
      <c r="P68" s="865"/>
      <c r="Q68" s="865"/>
      <c r="R68" s="865"/>
      <c r="S68" s="865"/>
      <c r="T68" s="865"/>
      <c r="U68" s="865"/>
      <c r="V68" s="866"/>
      <c r="W68" s="6"/>
      <c r="X68" s="24"/>
      <c r="Y68" s="24"/>
      <c r="Z68" s="24"/>
      <c r="AA68" s="24"/>
      <c r="AB68" s="24"/>
      <c r="AC68" s="24"/>
      <c r="AD68" s="24"/>
      <c r="AE68" s="24"/>
      <c r="AF68" s="24"/>
      <c r="AG68" s="6"/>
      <c r="AH68" s="6"/>
      <c r="AI68" s="6"/>
      <c r="AJ68" s="6"/>
      <c r="AK68" s="6"/>
      <c r="AL68" s="6"/>
      <c r="AM68" s="6"/>
      <c r="AN68" s="6"/>
      <c r="AO68" s="6"/>
      <c r="AP68" s="6"/>
      <c r="AQ68" s="6"/>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row>
    <row r="69" spans="1:70" ht="97.5" customHeight="1" thickBot="1" x14ac:dyDescent="0.35">
      <c r="A69" s="347"/>
      <c r="B69" s="860" t="s">
        <v>131</v>
      </c>
      <c r="C69" s="861"/>
      <c r="D69" s="861"/>
      <c r="E69" s="861"/>
      <c r="F69" s="861"/>
      <c r="G69" s="861"/>
      <c r="H69" s="861"/>
      <c r="I69" s="861"/>
      <c r="J69" s="861"/>
      <c r="K69" s="861"/>
      <c r="L69" s="861"/>
      <c r="M69" s="861"/>
      <c r="N69" s="861"/>
      <c r="O69" s="861"/>
      <c r="P69" s="861"/>
      <c r="Q69" s="861"/>
      <c r="R69" s="861"/>
      <c r="S69" s="861"/>
      <c r="T69" s="861"/>
      <c r="U69" s="861"/>
      <c r="V69" s="862"/>
      <c r="W69" s="11"/>
      <c r="X69" s="24"/>
      <c r="Y69" s="24"/>
      <c r="Z69" s="24"/>
      <c r="AA69" s="24"/>
      <c r="AB69" s="24"/>
      <c r="AC69" s="24"/>
      <c r="AD69" s="24"/>
      <c r="AE69" s="24"/>
      <c r="AF69" s="24"/>
      <c r="AG69" s="24"/>
      <c r="AH69" s="24"/>
      <c r="AI69" s="24"/>
      <c r="AJ69" s="24"/>
      <c r="AK69" s="24"/>
      <c r="AL69" s="24"/>
      <c r="AM69" s="24"/>
      <c r="AN69" s="24"/>
      <c r="AO69" s="24"/>
      <c r="AP69" s="24"/>
      <c r="AQ69" s="24"/>
    </row>
    <row r="70" spans="1:70" ht="13.5" x14ac:dyDescent="0.3">
      <c r="A70" s="348"/>
      <c r="B70" s="349"/>
      <c r="C70" s="349"/>
      <c r="D70" s="349"/>
      <c r="E70" s="349"/>
      <c r="F70" s="349"/>
      <c r="G70" s="349"/>
      <c r="H70" s="349"/>
      <c r="I70" s="349"/>
      <c r="J70" s="349"/>
      <c r="K70" s="349"/>
      <c r="L70" s="349"/>
      <c r="M70" s="349"/>
      <c r="N70" s="349"/>
      <c r="O70" s="349"/>
      <c r="P70" s="349"/>
      <c r="Q70" s="349"/>
      <c r="R70" s="349"/>
      <c r="S70" s="349"/>
      <c r="T70" s="349"/>
      <c r="U70" s="349"/>
      <c r="V70" s="742"/>
      <c r="W70" s="11"/>
      <c r="X70" s="24"/>
      <c r="Y70" s="24"/>
      <c r="Z70" s="24"/>
      <c r="AA70" s="24"/>
      <c r="AB70" s="24"/>
      <c r="AC70" s="24"/>
      <c r="AD70" s="24"/>
      <c r="AE70" s="24"/>
      <c r="AF70" s="24"/>
      <c r="AG70" s="24"/>
      <c r="AH70" s="24"/>
      <c r="AI70" s="24"/>
      <c r="AJ70" s="24"/>
      <c r="AK70" s="24"/>
      <c r="AL70" s="24"/>
      <c r="AM70" s="24"/>
      <c r="AN70" s="24"/>
      <c r="AO70" s="24"/>
      <c r="AP70" s="24"/>
      <c r="AQ70" s="24"/>
    </row>
    <row r="71" spans="1:70" ht="15" customHeight="1" x14ac:dyDescent="0.3">
      <c r="A71" s="863"/>
      <c r="B71" s="863"/>
      <c r="C71" s="863"/>
      <c r="D71" s="863"/>
      <c r="E71" s="863"/>
      <c r="F71" s="863"/>
      <c r="G71" s="863"/>
      <c r="H71" s="863"/>
      <c r="I71" s="863"/>
      <c r="J71" s="863"/>
      <c r="K71" s="863"/>
      <c r="L71" s="863"/>
      <c r="M71" s="863"/>
      <c r="N71" s="863"/>
      <c r="O71" s="863"/>
      <c r="P71" s="863"/>
      <c r="Q71" s="863"/>
      <c r="R71" s="863"/>
      <c r="S71" s="863"/>
      <c r="T71" s="863"/>
      <c r="U71" s="863"/>
      <c r="V71" s="863"/>
      <c r="W71" s="11"/>
      <c r="X71" s="24"/>
      <c r="Y71" s="24"/>
      <c r="Z71" s="24"/>
      <c r="AA71" s="24"/>
      <c r="AB71" s="24"/>
      <c r="AC71" s="24"/>
      <c r="AD71" s="24"/>
      <c r="AE71" s="24"/>
      <c r="AF71" s="24"/>
      <c r="AG71" s="24"/>
      <c r="AH71" s="24"/>
      <c r="AI71" s="24"/>
      <c r="AJ71" s="24"/>
      <c r="AK71" s="24"/>
      <c r="AL71" s="24"/>
      <c r="AM71" s="24"/>
      <c r="AN71" s="24"/>
      <c r="AO71" s="24"/>
      <c r="AP71" s="24"/>
      <c r="AQ71" s="24"/>
    </row>
    <row r="72" spans="1:70" ht="13.5" x14ac:dyDescent="0.3">
      <c r="A72" s="115"/>
      <c r="B72" s="116"/>
      <c r="C72" s="116"/>
      <c r="D72" s="117"/>
      <c r="E72" s="118"/>
      <c r="F72" s="118"/>
      <c r="G72" s="118"/>
      <c r="H72" s="119"/>
      <c r="I72" s="119"/>
      <c r="J72" s="119"/>
      <c r="K72" s="120"/>
      <c r="L72" s="120"/>
      <c r="M72" s="121"/>
      <c r="N72" s="121"/>
      <c r="O72" s="99"/>
      <c r="P72" s="99"/>
      <c r="Q72" s="99"/>
      <c r="R72" s="115"/>
      <c r="S72" s="99"/>
      <c r="T72" s="99"/>
      <c r="U72" s="99"/>
      <c r="V72" s="99"/>
      <c r="W72" s="11"/>
      <c r="X72" s="24"/>
      <c r="Y72" s="24"/>
      <c r="Z72" s="24"/>
      <c r="AA72" s="24"/>
      <c r="AB72" s="24"/>
      <c r="AC72" s="24"/>
      <c r="AD72" s="24"/>
      <c r="AE72" s="24"/>
      <c r="AF72" s="24"/>
      <c r="AG72" s="24"/>
      <c r="AH72" s="24"/>
      <c r="AI72" s="24"/>
      <c r="AJ72" s="24"/>
      <c r="AK72" s="24"/>
      <c r="AL72" s="24"/>
      <c r="AM72" s="24"/>
      <c r="AN72" s="24"/>
      <c r="AO72" s="24"/>
      <c r="AP72" s="24"/>
      <c r="AQ72" s="24"/>
    </row>
    <row r="73" spans="1:70" ht="30.75" customHeight="1" x14ac:dyDescent="0.3">
      <c r="A73" s="723"/>
      <c r="B73" s="724"/>
      <c r="C73" s="724"/>
      <c r="D73" s="725"/>
      <c r="E73" s="726"/>
      <c r="F73" s="726"/>
      <c r="G73" s="726"/>
      <c r="H73" s="727"/>
      <c r="I73" s="727"/>
      <c r="J73" s="727"/>
      <c r="K73" s="728"/>
      <c r="L73" s="728"/>
      <c r="M73" s="729"/>
      <c r="N73" s="729"/>
      <c r="O73" s="730"/>
      <c r="P73" s="730"/>
      <c r="Q73" s="730"/>
      <c r="R73" s="723"/>
      <c r="S73" s="730"/>
      <c r="T73" s="730"/>
      <c r="U73" s="730"/>
      <c r="V73" s="730"/>
    </row>
    <row r="74" spans="1:70" ht="13.5" x14ac:dyDescent="0.3">
      <c r="A74" s="723"/>
      <c r="B74" s="724"/>
      <c r="C74" s="724"/>
      <c r="D74" s="725"/>
      <c r="E74" s="726"/>
      <c r="F74" s="726"/>
      <c r="G74" s="726"/>
      <c r="H74" s="727"/>
      <c r="I74" s="727"/>
      <c r="J74" s="727"/>
      <c r="K74" s="728"/>
      <c r="L74" s="728"/>
      <c r="M74" s="729"/>
      <c r="N74" s="729"/>
      <c r="O74" s="730"/>
      <c r="P74" s="730"/>
      <c r="Q74" s="730"/>
      <c r="R74" s="723"/>
      <c r="S74" s="730"/>
      <c r="T74" s="730"/>
      <c r="U74" s="730"/>
      <c r="V74" s="730"/>
    </row>
    <row r="75" spans="1:70" ht="13.5" x14ac:dyDescent="0.3">
      <c r="A75" s="723"/>
      <c r="B75" s="724"/>
      <c r="C75" s="724"/>
      <c r="D75" s="725"/>
      <c r="E75" s="726"/>
      <c r="F75" s="726"/>
      <c r="G75" s="726"/>
      <c r="H75" s="727"/>
      <c r="I75" s="727"/>
      <c r="J75" s="727"/>
      <c r="K75" s="728"/>
      <c r="L75" s="728"/>
      <c r="M75" s="729"/>
      <c r="N75" s="729"/>
      <c r="O75" s="730"/>
      <c r="P75" s="730"/>
      <c r="Q75" s="730"/>
      <c r="R75" s="723"/>
      <c r="S75" s="730"/>
      <c r="T75" s="730"/>
      <c r="U75" s="730"/>
      <c r="V75" s="730"/>
    </row>
    <row r="76" spans="1:70" ht="13.5" x14ac:dyDescent="0.3">
      <c r="A76" s="723"/>
      <c r="B76" s="724"/>
      <c r="C76" s="724"/>
      <c r="D76" s="725"/>
      <c r="E76" s="726"/>
      <c r="F76" s="726"/>
      <c r="G76" s="726"/>
      <c r="H76" s="727"/>
      <c r="I76" s="727"/>
      <c r="J76" s="727"/>
      <c r="K76" s="728"/>
      <c r="L76" s="728"/>
      <c r="M76" s="729"/>
      <c r="N76" s="729"/>
      <c r="O76" s="730"/>
      <c r="P76" s="730"/>
      <c r="Q76" s="730"/>
      <c r="R76" s="723"/>
      <c r="S76" s="730"/>
      <c r="T76" s="730"/>
      <c r="U76" s="730"/>
      <c r="V76" s="730"/>
    </row>
    <row r="99" spans="33:43" x14ac:dyDescent="0.3">
      <c r="AH99" s="731" t="s">
        <v>132</v>
      </c>
    </row>
    <row r="100" spans="33:43" x14ac:dyDescent="0.3">
      <c r="AG100" s="739" t="s">
        <v>133</v>
      </c>
      <c r="AH100" s="739" t="s">
        <v>134</v>
      </c>
      <c r="AI100" s="739" t="s">
        <v>135</v>
      </c>
      <c r="AJ100" s="739" t="s">
        <v>136</v>
      </c>
      <c r="AK100" s="739" t="s">
        <v>137</v>
      </c>
      <c r="AL100" s="739" t="s">
        <v>138</v>
      </c>
      <c r="AM100" s="739" t="s">
        <v>139</v>
      </c>
      <c r="AN100" s="739" t="s">
        <v>140</v>
      </c>
      <c r="AO100" s="739" t="s">
        <v>141</v>
      </c>
      <c r="AP100" s="739" t="s">
        <v>142</v>
      </c>
      <c r="AQ100" s="739" t="s">
        <v>143</v>
      </c>
    </row>
    <row r="101" spans="33:43" x14ac:dyDescent="0.3">
      <c r="AG101" s="739">
        <v>2023</v>
      </c>
      <c r="AH101" s="740">
        <f>SUM(0.207074288590604+0.017915111409396)</f>
        <v>0.22498940000000001</v>
      </c>
      <c r="AI101" s="739">
        <v>0.18387000000000001</v>
      </c>
      <c r="AJ101" s="739">
        <v>0.25679000000000002</v>
      </c>
      <c r="AK101" s="739">
        <v>0.26774999999999999</v>
      </c>
      <c r="AL101" s="739">
        <v>0.24665999999999999</v>
      </c>
      <c r="AM101" s="739">
        <v>0.32040000000000002</v>
      </c>
      <c r="AN101" s="739">
        <v>0.21448</v>
      </c>
      <c r="AO101" s="739">
        <f t="shared" ref="AO101:AO140" si="18">$B$9</f>
        <v>0</v>
      </c>
      <c r="AP101" s="739">
        <v>3.7440000000000001E-2</v>
      </c>
      <c r="AQ101" s="739">
        <v>7.92E-3</v>
      </c>
    </row>
    <row r="102" spans="33:43" x14ac:dyDescent="0.3">
      <c r="AG102" s="739">
        <v>2024</v>
      </c>
      <c r="AH102" s="740">
        <f t="shared" ref="AH102:AH140" si="19">SUM(0.207074288590604+0.017915111409396)</f>
        <v>0.22498940000000001</v>
      </c>
      <c r="AI102" s="739">
        <v>0.18387000000000001</v>
      </c>
      <c r="AJ102" s="739">
        <v>0.25679000000000002</v>
      </c>
      <c r="AK102" s="739">
        <v>0.26774999999999999</v>
      </c>
      <c r="AL102" s="739">
        <v>0.24665999999999999</v>
      </c>
      <c r="AM102" s="739">
        <v>0.32040000000000002</v>
      </c>
      <c r="AN102" s="739">
        <v>0.21448</v>
      </c>
      <c r="AO102" s="739">
        <f t="shared" si="18"/>
        <v>0</v>
      </c>
      <c r="AP102" s="739">
        <v>3.7440000000000001E-2</v>
      </c>
      <c r="AQ102" s="739">
        <v>7.92E-3</v>
      </c>
    </row>
    <row r="103" spans="33:43" x14ac:dyDescent="0.3">
      <c r="AG103" s="739">
        <v>2025</v>
      </c>
      <c r="AH103" s="740">
        <f t="shared" si="19"/>
        <v>0.22498940000000001</v>
      </c>
      <c r="AI103" s="739">
        <v>0.18387000000000001</v>
      </c>
      <c r="AJ103" s="739">
        <v>0.25679000000000002</v>
      </c>
      <c r="AK103" s="739">
        <v>0.26774999999999999</v>
      </c>
      <c r="AL103" s="739">
        <v>0.24665999999999999</v>
      </c>
      <c r="AM103" s="739">
        <v>0.32040000000000002</v>
      </c>
      <c r="AN103" s="739">
        <v>0.21448</v>
      </c>
      <c r="AO103" s="739">
        <f t="shared" si="18"/>
        <v>0</v>
      </c>
      <c r="AP103" s="739">
        <v>3.7440000000000001E-2</v>
      </c>
      <c r="AQ103" s="739">
        <v>7.92E-3</v>
      </c>
    </row>
    <row r="104" spans="33:43" x14ac:dyDescent="0.3">
      <c r="AG104" s="739">
        <v>2026</v>
      </c>
      <c r="AH104" s="740">
        <f t="shared" si="19"/>
        <v>0.22498940000000001</v>
      </c>
      <c r="AI104" s="739">
        <v>0.18387000000000001</v>
      </c>
      <c r="AJ104" s="739">
        <v>0.25679000000000002</v>
      </c>
      <c r="AK104" s="739">
        <v>0.26774999999999999</v>
      </c>
      <c r="AL104" s="739">
        <v>0.24665999999999999</v>
      </c>
      <c r="AM104" s="739">
        <v>0.32040000000000002</v>
      </c>
      <c r="AN104" s="739">
        <v>0.21448</v>
      </c>
      <c r="AO104" s="739">
        <f t="shared" si="18"/>
        <v>0</v>
      </c>
      <c r="AP104" s="739">
        <v>3.7440000000000001E-2</v>
      </c>
      <c r="AQ104" s="739">
        <v>7.92E-3</v>
      </c>
    </row>
    <row r="105" spans="33:43" x14ac:dyDescent="0.3">
      <c r="AG105" s="739">
        <v>2027</v>
      </c>
      <c r="AH105" s="740">
        <f t="shared" si="19"/>
        <v>0.22498940000000001</v>
      </c>
      <c r="AI105" s="739">
        <v>0.18387000000000001</v>
      </c>
      <c r="AJ105" s="739">
        <v>0.25679000000000002</v>
      </c>
      <c r="AK105" s="739">
        <v>0.26774999999999999</v>
      </c>
      <c r="AL105" s="739">
        <v>0.24665999999999999</v>
      </c>
      <c r="AM105" s="739">
        <v>0.32040000000000002</v>
      </c>
      <c r="AN105" s="739">
        <v>0.21448</v>
      </c>
      <c r="AO105" s="739">
        <f t="shared" si="18"/>
        <v>0</v>
      </c>
      <c r="AP105" s="739">
        <v>3.7440000000000001E-2</v>
      </c>
      <c r="AQ105" s="739">
        <v>7.92E-3</v>
      </c>
    </row>
    <row r="106" spans="33:43" x14ac:dyDescent="0.3">
      <c r="AG106" s="739">
        <v>2028</v>
      </c>
      <c r="AH106" s="740">
        <f t="shared" si="19"/>
        <v>0.22498940000000001</v>
      </c>
      <c r="AI106" s="739">
        <v>0.18387000000000001</v>
      </c>
      <c r="AJ106" s="739">
        <v>0.25679000000000002</v>
      </c>
      <c r="AK106" s="739">
        <v>0.26774999999999999</v>
      </c>
      <c r="AL106" s="739">
        <v>0.24665999999999999</v>
      </c>
      <c r="AM106" s="739">
        <v>0.32040000000000002</v>
      </c>
      <c r="AN106" s="739">
        <v>0.21448</v>
      </c>
      <c r="AO106" s="739">
        <f t="shared" si="18"/>
        <v>0</v>
      </c>
      <c r="AP106" s="739">
        <v>3.7440000000000001E-2</v>
      </c>
      <c r="AQ106" s="739">
        <v>7.92E-3</v>
      </c>
    </row>
    <row r="107" spans="33:43" x14ac:dyDescent="0.3">
      <c r="AG107" s="739">
        <v>2029</v>
      </c>
      <c r="AH107" s="740">
        <f t="shared" si="19"/>
        <v>0.22498940000000001</v>
      </c>
      <c r="AI107" s="739">
        <v>0.18387000000000001</v>
      </c>
      <c r="AJ107" s="739">
        <v>0.25679000000000002</v>
      </c>
      <c r="AK107" s="739">
        <v>0.26774999999999999</v>
      </c>
      <c r="AL107" s="739">
        <v>0.24665999999999999</v>
      </c>
      <c r="AM107" s="739">
        <v>0.32040000000000002</v>
      </c>
      <c r="AN107" s="739">
        <v>0.21448</v>
      </c>
      <c r="AO107" s="739">
        <f t="shared" si="18"/>
        <v>0</v>
      </c>
      <c r="AP107" s="739">
        <v>3.7440000000000001E-2</v>
      </c>
      <c r="AQ107" s="739">
        <v>7.92E-3</v>
      </c>
    </row>
    <row r="108" spans="33:43" x14ac:dyDescent="0.3">
      <c r="AG108" s="739">
        <v>2030</v>
      </c>
      <c r="AH108" s="740">
        <f t="shared" si="19"/>
        <v>0.22498940000000001</v>
      </c>
      <c r="AI108" s="739">
        <v>0.18387000000000001</v>
      </c>
      <c r="AJ108" s="739">
        <v>0.25679000000000002</v>
      </c>
      <c r="AK108" s="739">
        <v>0.26774999999999999</v>
      </c>
      <c r="AL108" s="739">
        <v>0.24665999999999999</v>
      </c>
      <c r="AM108" s="739">
        <v>0.32040000000000002</v>
      </c>
      <c r="AN108" s="739">
        <v>0.21448</v>
      </c>
      <c r="AO108" s="739">
        <f t="shared" si="18"/>
        <v>0</v>
      </c>
      <c r="AP108" s="739">
        <v>3.7440000000000001E-2</v>
      </c>
      <c r="AQ108" s="739">
        <v>7.92E-3</v>
      </c>
    </row>
    <row r="109" spans="33:43" x14ac:dyDescent="0.3">
      <c r="AG109" s="739">
        <v>2031</v>
      </c>
      <c r="AH109" s="740">
        <f t="shared" si="19"/>
        <v>0.22498940000000001</v>
      </c>
      <c r="AI109" s="739">
        <v>0.18387000000000001</v>
      </c>
      <c r="AJ109" s="739">
        <v>0.25679000000000002</v>
      </c>
      <c r="AK109" s="739">
        <v>0.26774999999999999</v>
      </c>
      <c r="AL109" s="739">
        <v>0.24665999999999999</v>
      </c>
      <c r="AM109" s="739">
        <v>0.32040000000000002</v>
      </c>
      <c r="AN109" s="739">
        <v>0.21448</v>
      </c>
      <c r="AO109" s="739">
        <f t="shared" si="18"/>
        <v>0</v>
      </c>
      <c r="AP109" s="739">
        <v>3.7440000000000001E-2</v>
      </c>
      <c r="AQ109" s="739">
        <v>7.92E-3</v>
      </c>
    </row>
    <row r="110" spans="33:43" x14ac:dyDescent="0.3">
      <c r="AG110" s="739">
        <v>2032</v>
      </c>
      <c r="AH110" s="740">
        <f t="shared" si="19"/>
        <v>0.22498940000000001</v>
      </c>
      <c r="AI110" s="739">
        <v>0.18387000000000001</v>
      </c>
      <c r="AJ110" s="739">
        <v>0.25679000000000002</v>
      </c>
      <c r="AK110" s="739">
        <v>0.26774999999999999</v>
      </c>
      <c r="AL110" s="739">
        <v>0.24665999999999999</v>
      </c>
      <c r="AM110" s="739">
        <v>0.32040000000000002</v>
      </c>
      <c r="AN110" s="739">
        <v>0.21448</v>
      </c>
      <c r="AO110" s="739">
        <f t="shared" si="18"/>
        <v>0</v>
      </c>
      <c r="AP110" s="739">
        <v>3.7440000000000001E-2</v>
      </c>
      <c r="AQ110" s="739">
        <v>7.92E-3</v>
      </c>
    </row>
    <row r="111" spans="33:43" x14ac:dyDescent="0.3">
      <c r="AG111" s="739">
        <v>2033</v>
      </c>
      <c r="AH111" s="740">
        <f t="shared" si="19"/>
        <v>0.22498940000000001</v>
      </c>
      <c r="AI111" s="739">
        <v>0.18387000000000001</v>
      </c>
      <c r="AJ111" s="739">
        <v>0.25679000000000002</v>
      </c>
      <c r="AK111" s="739">
        <v>0.26774999999999999</v>
      </c>
      <c r="AL111" s="739">
        <v>0.24665999999999999</v>
      </c>
      <c r="AM111" s="739">
        <v>0.32040000000000002</v>
      </c>
      <c r="AN111" s="739">
        <v>0.21448</v>
      </c>
      <c r="AO111" s="739">
        <f t="shared" si="18"/>
        <v>0</v>
      </c>
      <c r="AP111" s="739">
        <v>3.7440000000000001E-2</v>
      </c>
      <c r="AQ111" s="739">
        <v>7.92E-3</v>
      </c>
    </row>
    <row r="112" spans="33:43" x14ac:dyDescent="0.3">
      <c r="AG112" s="739">
        <v>2034</v>
      </c>
      <c r="AH112" s="740">
        <f t="shared" si="19"/>
        <v>0.22498940000000001</v>
      </c>
      <c r="AI112" s="739">
        <v>0.18387000000000001</v>
      </c>
      <c r="AJ112" s="739">
        <v>0.25679000000000002</v>
      </c>
      <c r="AK112" s="739">
        <v>0.26774999999999999</v>
      </c>
      <c r="AL112" s="739">
        <v>0.24665999999999999</v>
      </c>
      <c r="AM112" s="739">
        <v>0.32040000000000002</v>
      </c>
      <c r="AN112" s="739">
        <v>0.21448</v>
      </c>
      <c r="AO112" s="739">
        <f t="shared" si="18"/>
        <v>0</v>
      </c>
      <c r="AP112" s="739">
        <v>3.7440000000000001E-2</v>
      </c>
      <c r="AQ112" s="739">
        <v>7.92E-3</v>
      </c>
    </row>
    <row r="113" spans="33:43" x14ac:dyDescent="0.3">
      <c r="AG113" s="739">
        <v>2035</v>
      </c>
      <c r="AH113" s="740">
        <f t="shared" si="19"/>
        <v>0.22498940000000001</v>
      </c>
      <c r="AI113" s="739">
        <v>0.18387000000000001</v>
      </c>
      <c r="AJ113" s="739">
        <v>0.25679000000000002</v>
      </c>
      <c r="AK113" s="739">
        <v>0.26774999999999999</v>
      </c>
      <c r="AL113" s="739">
        <v>0.24665999999999999</v>
      </c>
      <c r="AM113" s="739">
        <v>0.32040000000000002</v>
      </c>
      <c r="AN113" s="739">
        <v>0.21448</v>
      </c>
      <c r="AO113" s="739">
        <f t="shared" si="18"/>
        <v>0</v>
      </c>
      <c r="AP113" s="739">
        <v>3.7440000000000001E-2</v>
      </c>
      <c r="AQ113" s="739">
        <v>7.92E-3</v>
      </c>
    </row>
    <row r="114" spans="33:43" x14ac:dyDescent="0.3">
      <c r="AG114" s="739">
        <v>2036</v>
      </c>
      <c r="AH114" s="740">
        <f t="shared" si="19"/>
        <v>0.22498940000000001</v>
      </c>
      <c r="AI114" s="739">
        <v>0.18387000000000001</v>
      </c>
      <c r="AJ114" s="739">
        <v>0.25679000000000002</v>
      </c>
      <c r="AK114" s="739">
        <v>0.26774999999999999</v>
      </c>
      <c r="AL114" s="739">
        <v>0.24665999999999999</v>
      </c>
      <c r="AM114" s="739">
        <v>0.32040000000000002</v>
      </c>
      <c r="AN114" s="739">
        <v>0.21448</v>
      </c>
      <c r="AO114" s="739">
        <f t="shared" si="18"/>
        <v>0</v>
      </c>
      <c r="AP114" s="739">
        <v>3.7440000000000001E-2</v>
      </c>
      <c r="AQ114" s="739">
        <v>7.92E-3</v>
      </c>
    </row>
    <row r="115" spans="33:43" x14ac:dyDescent="0.3">
      <c r="AG115" s="739">
        <v>2037</v>
      </c>
      <c r="AH115" s="740">
        <f t="shared" si="19"/>
        <v>0.22498940000000001</v>
      </c>
      <c r="AI115" s="739">
        <v>0.18387000000000001</v>
      </c>
      <c r="AJ115" s="739">
        <v>0.25679000000000002</v>
      </c>
      <c r="AK115" s="739">
        <v>0.26774999999999999</v>
      </c>
      <c r="AL115" s="739">
        <v>0.24665999999999999</v>
      </c>
      <c r="AM115" s="739">
        <v>0.32040000000000002</v>
      </c>
      <c r="AN115" s="739">
        <v>0.21448</v>
      </c>
      <c r="AO115" s="739">
        <f t="shared" si="18"/>
        <v>0</v>
      </c>
      <c r="AP115" s="739">
        <v>3.7440000000000001E-2</v>
      </c>
      <c r="AQ115" s="739">
        <v>7.92E-3</v>
      </c>
    </row>
    <row r="116" spans="33:43" x14ac:dyDescent="0.3">
      <c r="AG116" s="739">
        <v>2038</v>
      </c>
      <c r="AH116" s="740">
        <f t="shared" si="19"/>
        <v>0.22498940000000001</v>
      </c>
      <c r="AI116" s="739">
        <v>0.18387000000000001</v>
      </c>
      <c r="AJ116" s="739">
        <v>0.25679000000000002</v>
      </c>
      <c r="AK116" s="739">
        <v>0.26774999999999999</v>
      </c>
      <c r="AL116" s="739">
        <v>0.24665999999999999</v>
      </c>
      <c r="AM116" s="739">
        <v>0.32040000000000002</v>
      </c>
      <c r="AN116" s="739">
        <v>0.21448</v>
      </c>
      <c r="AO116" s="739">
        <f t="shared" si="18"/>
        <v>0</v>
      </c>
      <c r="AP116" s="739">
        <v>3.7440000000000001E-2</v>
      </c>
      <c r="AQ116" s="739">
        <v>7.92E-3</v>
      </c>
    </row>
    <row r="117" spans="33:43" x14ac:dyDescent="0.3">
      <c r="AG117" s="739">
        <v>2039</v>
      </c>
      <c r="AH117" s="740">
        <f t="shared" si="19"/>
        <v>0.22498940000000001</v>
      </c>
      <c r="AI117" s="739">
        <v>0.18387000000000001</v>
      </c>
      <c r="AJ117" s="739">
        <v>0.25679000000000002</v>
      </c>
      <c r="AK117" s="739">
        <v>0.26774999999999999</v>
      </c>
      <c r="AL117" s="739">
        <v>0.24665999999999999</v>
      </c>
      <c r="AM117" s="739">
        <v>0.32040000000000002</v>
      </c>
      <c r="AN117" s="739">
        <v>0.21448</v>
      </c>
      <c r="AO117" s="739">
        <f t="shared" si="18"/>
        <v>0</v>
      </c>
      <c r="AP117" s="739">
        <v>3.7440000000000001E-2</v>
      </c>
      <c r="AQ117" s="739">
        <v>7.92E-3</v>
      </c>
    </row>
    <row r="118" spans="33:43" x14ac:dyDescent="0.3">
      <c r="AG118" s="739">
        <v>2040</v>
      </c>
      <c r="AH118" s="740">
        <f t="shared" si="19"/>
        <v>0.22498940000000001</v>
      </c>
      <c r="AI118" s="739">
        <v>0.18387000000000001</v>
      </c>
      <c r="AJ118" s="739">
        <v>0.25679000000000002</v>
      </c>
      <c r="AK118" s="739">
        <v>0.26774999999999999</v>
      </c>
      <c r="AL118" s="739">
        <v>0.24665999999999999</v>
      </c>
      <c r="AM118" s="739">
        <v>0.32040000000000002</v>
      </c>
      <c r="AN118" s="739">
        <v>0.21448</v>
      </c>
      <c r="AO118" s="739">
        <f t="shared" si="18"/>
        <v>0</v>
      </c>
      <c r="AP118" s="739">
        <v>3.7440000000000001E-2</v>
      </c>
      <c r="AQ118" s="739">
        <v>7.92E-3</v>
      </c>
    </row>
    <row r="119" spans="33:43" x14ac:dyDescent="0.3">
      <c r="AG119" s="739">
        <v>2041</v>
      </c>
      <c r="AH119" s="740">
        <f t="shared" si="19"/>
        <v>0.22498940000000001</v>
      </c>
      <c r="AI119" s="739">
        <v>0.18387000000000001</v>
      </c>
      <c r="AJ119" s="739">
        <v>0.25679000000000002</v>
      </c>
      <c r="AK119" s="739">
        <v>0.26774999999999999</v>
      </c>
      <c r="AL119" s="739">
        <v>0.24665999999999999</v>
      </c>
      <c r="AM119" s="739">
        <v>0.32040000000000002</v>
      </c>
      <c r="AN119" s="739">
        <v>0.21448</v>
      </c>
      <c r="AO119" s="739">
        <f t="shared" si="18"/>
        <v>0</v>
      </c>
      <c r="AP119" s="739">
        <v>3.7440000000000001E-2</v>
      </c>
      <c r="AQ119" s="739">
        <v>7.92E-3</v>
      </c>
    </row>
    <row r="120" spans="33:43" x14ac:dyDescent="0.3">
      <c r="AG120" s="739">
        <v>2042</v>
      </c>
      <c r="AH120" s="740">
        <f t="shared" si="19"/>
        <v>0.22498940000000001</v>
      </c>
      <c r="AI120" s="739">
        <v>0.18387000000000001</v>
      </c>
      <c r="AJ120" s="739">
        <v>0.25679000000000002</v>
      </c>
      <c r="AK120" s="739">
        <v>0.26774999999999999</v>
      </c>
      <c r="AL120" s="739">
        <v>0.24665999999999999</v>
      </c>
      <c r="AM120" s="739">
        <v>0.32040000000000002</v>
      </c>
      <c r="AN120" s="739">
        <v>0.21448</v>
      </c>
      <c r="AO120" s="739">
        <f t="shared" si="18"/>
        <v>0</v>
      </c>
      <c r="AP120" s="739">
        <v>3.7440000000000001E-2</v>
      </c>
      <c r="AQ120" s="739">
        <v>7.92E-3</v>
      </c>
    </row>
    <row r="121" spans="33:43" x14ac:dyDescent="0.3">
      <c r="AG121" s="739">
        <v>2043</v>
      </c>
      <c r="AH121" s="740">
        <f t="shared" si="19"/>
        <v>0.22498940000000001</v>
      </c>
      <c r="AI121" s="739">
        <v>0.18387000000000001</v>
      </c>
      <c r="AJ121" s="739">
        <v>0.25679000000000002</v>
      </c>
      <c r="AK121" s="739">
        <v>0.26774999999999999</v>
      </c>
      <c r="AL121" s="739">
        <v>0.24665999999999999</v>
      </c>
      <c r="AM121" s="739">
        <v>0.32040000000000002</v>
      </c>
      <c r="AN121" s="739">
        <v>0.21448</v>
      </c>
      <c r="AO121" s="739">
        <f t="shared" si="18"/>
        <v>0</v>
      </c>
      <c r="AP121" s="739">
        <v>3.7440000000000001E-2</v>
      </c>
      <c r="AQ121" s="739">
        <v>7.92E-3</v>
      </c>
    </row>
    <row r="122" spans="33:43" x14ac:dyDescent="0.3">
      <c r="AG122" s="739">
        <v>2044</v>
      </c>
      <c r="AH122" s="740">
        <f t="shared" si="19"/>
        <v>0.22498940000000001</v>
      </c>
      <c r="AI122" s="739">
        <v>0.18387000000000001</v>
      </c>
      <c r="AJ122" s="739">
        <v>0.25679000000000002</v>
      </c>
      <c r="AK122" s="739">
        <v>0.26774999999999999</v>
      </c>
      <c r="AL122" s="739">
        <v>0.24665999999999999</v>
      </c>
      <c r="AM122" s="739">
        <v>0.32040000000000002</v>
      </c>
      <c r="AN122" s="739">
        <v>0.21448</v>
      </c>
      <c r="AO122" s="739">
        <f t="shared" si="18"/>
        <v>0</v>
      </c>
      <c r="AP122" s="739">
        <v>3.7440000000000001E-2</v>
      </c>
      <c r="AQ122" s="739">
        <v>7.92E-3</v>
      </c>
    </row>
    <row r="123" spans="33:43" x14ac:dyDescent="0.3">
      <c r="AG123" s="739">
        <v>2045</v>
      </c>
      <c r="AH123" s="740">
        <f t="shared" si="19"/>
        <v>0.22498940000000001</v>
      </c>
      <c r="AI123" s="739">
        <v>0.18387000000000001</v>
      </c>
      <c r="AJ123" s="739">
        <v>0.25679000000000002</v>
      </c>
      <c r="AK123" s="739">
        <v>0.26774999999999999</v>
      </c>
      <c r="AL123" s="739">
        <v>0.24665999999999999</v>
      </c>
      <c r="AM123" s="739">
        <v>0.32040000000000002</v>
      </c>
      <c r="AN123" s="739">
        <v>0.21448</v>
      </c>
      <c r="AO123" s="739">
        <f t="shared" si="18"/>
        <v>0</v>
      </c>
      <c r="AP123" s="739">
        <v>3.7440000000000001E-2</v>
      </c>
      <c r="AQ123" s="739">
        <v>7.92E-3</v>
      </c>
    </row>
    <row r="124" spans="33:43" x14ac:dyDescent="0.3">
      <c r="AG124" s="739">
        <v>2046</v>
      </c>
      <c r="AH124" s="740">
        <f t="shared" si="19"/>
        <v>0.22498940000000001</v>
      </c>
      <c r="AI124" s="739">
        <v>0.18387000000000001</v>
      </c>
      <c r="AJ124" s="739">
        <v>0.25679000000000002</v>
      </c>
      <c r="AK124" s="739">
        <v>0.26774999999999999</v>
      </c>
      <c r="AL124" s="739">
        <v>0.24665999999999999</v>
      </c>
      <c r="AM124" s="739">
        <v>0.32040000000000002</v>
      </c>
      <c r="AN124" s="739">
        <v>0.21448</v>
      </c>
      <c r="AO124" s="739">
        <f t="shared" si="18"/>
        <v>0</v>
      </c>
      <c r="AP124" s="739">
        <v>3.7440000000000001E-2</v>
      </c>
      <c r="AQ124" s="739">
        <v>7.92E-3</v>
      </c>
    </row>
    <row r="125" spans="33:43" x14ac:dyDescent="0.3">
      <c r="AG125" s="739">
        <v>2047</v>
      </c>
      <c r="AH125" s="740">
        <f t="shared" si="19"/>
        <v>0.22498940000000001</v>
      </c>
      <c r="AI125" s="739">
        <v>0.18387000000000001</v>
      </c>
      <c r="AJ125" s="739">
        <v>0.25679000000000002</v>
      </c>
      <c r="AK125" s="739">
        <v>0.26774999999999999</v>
      </c>
      <c r="AL125" s="739">
        <v>0.24665999999999999</v>
      </c>
      <c r="AM125" s="739">
        <v>0.32040000000000002</v>
      </c>
      <c r="AN125" s="739">
        <v>0.21448</v>
      </c>
      <c r="AO125" s="739">
        <f t="shared" si="18"/>
        <v>0</v>
      </c>
      <c r="AP125" s="739">
        <v>3.7440000000000001E-2</v>
      </c>
      <c r="AQ125" s="739">
        <v>7.92E-3</v>
      </c>
    </row>
    <row r="126" spans="33:43" x14ac:dyDescent="0.3">
      <c r="AG126" s="739">
        <v>2048</v>
      </c>
      <c r="AH126" s="740">
        <f t="shared" si="19"/>
        <v>0.22498940000000001</v>
      </c>
      <c r="AI126" s="739">
        <v>0.18387000000000001</v>
      </c>
      <c r="AJ126" s="739">
        <v>0.25679000000000002</v>
      </c>
      <c r="AK126" s="739">
        <v>0.26774999999999999</v>
      </c>
      <c r="AL126" s="739">
        <v>0.24665999999999999</v>
      </c>
      <c r="AM126" s="739">
        <v>0.32040000000000002</v>
      </c>
      <c r="AN126" s="739">
        <v>0.21448</v>
      </c>
      <c r="AO126" s="739">
        <f t="shared" si="18"/>
        <v>0</v>
      </c>
      <c r="AP126" s="739">
        <v>3.7440000000000001E-2</v>
      </c>
      <c r="AQ126" s="739">
        <v>7.92E-3</v>
      </c>
    </row>
    <row r="127" spans="33:43" x14ac:dyDescent="0.3">
      <c r="AG127" s="739">
        <v>2049</v>
      </c>
      <c r="AH127" s="740">
        <f t="shared" si="19"/>
        <v>0.22498940000000001</v>
      </c>
      <c r="AI127" s="739">
        <v>0.18387000000000001</v>
      </c>
      <c r="AJ127" s="739">
        <v>0.25679000000000002</v>
      </c>
      <c r="AK127" s="739">
        <v>0.26774999999999999</v>
      </c>
      <c r="AL127" s="739">
        <v>0.24665999999999999</v>
      </c>
      <c r="AM127" s="739">
        <v>0.32040000000000002</v>
      </c>
      <c r="AN127" s="739">
        <v>0.21448</v>
      </c>
      <c r="AO127" s="739">
        <f t="shared" si="18"/>
        <v>0</v>
      </c>
      <c r="AP127" s="739">
        <v>3.7440000000000001E-2</v>
      </c>
      <c r="AQ127" s="739">
        <v>7.92E-3</v>
      </c>
    </row>
    <row r="128" spans="33:43" x14ac:dyDescent="0.3">
      <c r="AG128" s="739">
        <v>2050</v>
      </c>
      <c r="AH128" s="740">
        <f>SUM(0.207074288590604+0.017915111409396)</f>
        <v>0.22498940000000001</v>
      </c>
      <c r="AI128" s="739">
        <v>0.18387000000000001</v>
      </c>
      <c r="AJ128" s="739">
        <v>0.25679000000000002</v>
      </c>
      <c r="AK128" s="739">
        <v>0.26774999999999999</v>
      </c>
      <c r="AL128" s="739">
        <v>0.24665999999999999</v>
      </c>
      <c r="AM128" s="739">
        <v>0.32040000000000002</v>
      </c>
      <c r="AN128" s="739">
        <v>0.21448</v>
      </c>
      <c r="AO128" s="739">
        <f t="shared" si="18"/>
        <v>0</v>
      </c>
      <c r="AP128" s="739">
        <v>3.7440000000000001E-2</v>
      </c>
      <c r="AQ128" s="739">
        <v>7.92E-3</v>
      </c>
    </row>
    <row r="129" spans="33:43" x14ac:dyDescent="0.3">
      <c r="AG129" s="739">
        <v>2051</v>
      </c>
      <c r="AH129" s="740">
        <f t="shared" si="19"/>
        <v>0.22498940000000001</v>
      </c>
      <c r="AI129" s="739">
        <v>0.18387000000000001</v>
      </c>
      <c r="AJ129" s="739">
        <v>0.25679000000000002</v>
      </c>
      <c r="AK129" s="739">
        <v>0.26774999999999999</v>
      </c>
      <c r="AL129" s="739">
        <v>0.24665999999999999</v>
      </c>
      <c r="AM129" s="739">
        <v>0.32040000000000002</v>
      </c>
      <c r="AN129" s="739">
        <v>0.21448</v>
      </c>
      <c r="AO129" s="739">
        <f t="shared" si="18"/>
        <v>0</v>
      </c>
      <c r="AP129" s="739">
        <v>3.7440000000000001E-2</v>
      </c>
      <c r="AQ129" s="739">
        <v>7.92E-3</v>
      </c>
    </row>
    <row r="130" spans="33:43" x14ac:dyDescent="0.3">
      <c r="AG130" s="739">
        <v>2052</v>
      </c>
      <c r="AH130" s="740">
        <f t="shared" si="19"/>
        <v>0.22498940000000001</v>
      </c>
      <c r="AI130" s="739">
        <v>0.18387000000000001</v>
      </c>
      <c r="AJ130" s="739">
        <v>0.25679000000000002</v>
      </c>
      <c r="AK130" s="739">
        <v>0.26774999999999999</v>
      </c>
      <c r="AL130" s="739">
        <v>0.24665999999999999</v>
      </c>
      <c r="AM130" s="739">
        <v>0.32040000000000002</v>
      </c>
      <c r="AN130" s="739">
        <v>0.21448</v>
      </c>
      <c r="AO130" s="739">
        <f t="shared" si="18"/>
        <v>0</v>
      </c>
      <c r="AP130" s="739">
        <v>3.7440000000000001E-2</v>
      </c>
      <c r="AQ130" s="739">
        <v>7.92E-3</v>
      </c>
    </row>
    <row r="131" spans="33:43" x14ac:dyDescent="0.3">
      <c r="AG131" s="739">
        <v>2053</v>
      </c>
      <c r="AH131" s="740">
        <f t="shared" si="19"/>
        <v>0.22498940000000001</v>
      </c>
      <c r="AI131" s="739">
        <v>0.18387000000000001</v>
      </c>
      <c r="AJ131" s="739">
        <v>0.25679000000000002</v>
      </c>
      <c r="AK131" s="739">
        <v>0.26774999999999999</v>
      </c>
      <c r="AL131" s="739">
        <v>0.24665999999999999</v>
      </c>
      <c r="AM131" s="739">
        <v>0.32040000000000002</v>
      </c>
      <c r="AN131" s="739">
        <v>0.21448</v>
      </c>
      <c r="AO131" s="739">
        <f t="shared" si="18"/>
        <v>0</v>
      </c>
      <c r="AP131" s="739">
        <v>3.7440000000000001E-2</v>
      </c>
      <c r="AQ131" s="739">
        <v>7.92E-3</v>
      </c>
    </row>
    <row r="132" spans="33:43" x14ac:dyDescent="0.3">
      <c r="AG132" s="739">
        <v>2054</v>
      </c>
      <c r="AH132" s="740">
        <f t="shared" si="19"/>
        <v>0.22498940000000001</v>
      </c>
      <c r="AI132" s="739">
        <v>0.18387000000000001</v>
      </c>
      <c r="AJ132" s="739">
        <v>0.25679000000000002</v>
      </c>
      <c r="AK132" s="739">
        <v>0.26774999999999999</v>
      </c>
      <c r="AL132" s="739">
        <v>0.24665999999999999</v>
      </c>
      <c r="AM132" s="739">
        <v>0.32040000000000002</v>
      </c>
      <c r="AN132" s="739">
        <v>0.21448</v>
      </c>
      <c r="AO132" s="739">
        <f t="shared" si="18"/>
        <v>0</v>
      </c>
      <c r="AP132" s="739">
        <v>3.7440000000000001E-2</v>
      </c>
      <c r="AQ132" s="739">
        <v>7.92E-3</v>
      </c>
    </row>
    <row r="133" spans="33:43" x14ac:dyDescent="0.3">
      <c r="AG133" s="739">
        <v>2055</v>
      </c>
      <c r="AH133" s="740">
        <f t="shared" si="19"/>
        <v>0.22498940000000001</v>
      </c>
      <c r="AI133" s="739">
        <v>0.18387000000000001</v>
      </c>
      <c r="AJ133" s="739">
        <v>0.25679000000000002</v>
      </c>
      <c r="AK133" s="739">
        <v>0.26774999999999999</v>
      </c>
      <c r="AL133" s="739">
        <v>0.24665999999999999</v>
      </c>
      <c r="AM133" s="739">
        <v>0.32040000000000002</v>
      </c>
      <c r="AN133" s="739">
        <v>0.21448</v>
      </c>
      <c r="AO133" s="739">
        <f t="shared" si="18"/>
        <v>0</v>
      </c>
      <c r="AP133" s="739">
        <v>3.7440000000000001E-2</v>
      </c>
      <c r="AQ133" s="739">
        <v>7.92E-3</v>
      </c>
    </row>
    <row r="134" spans="33:43" x14ac:dyDescent="0.3">
      <c r="AG134" s="739">
        <v>2056</v>
      </c>
      <c r="AH134" s="740">
        <f t="shared" si="19"/>
        <v>0.22498940000000001</v>
      </c>
      <c r="AI134" s="739">
        <v>0.18387000000000001</v>
      </c>
      <c r="AJ134" s="739">
        <v>0.25679000000000002</v>
      </c>
      <c r="AK134" s="739">
        <v>0.26774999999999999</v>
      </c>
      <c r="AL134" s="739">
        <v>0.24665999999999999</v>
      </c>
      <c r="AM134" s="739">
        <v>0.32040000000000002</v>
      </c>
      <c r="AN134" s="739">
        <v>0.21448</v>
      </c>
      <c r="AO134" s="739">
        <f t="shared" si="18"/>
        <v>0</v>
      </c>
      <c r="AP134" s="739">
        <v>3.7440000000000001E-2</v>
      </c>
      <c r="AQ134" s="739">
        <v>7.92E-3</v>
      </c>
    </row>
    <row r="135" spans="33:43" x14ac:dyDescent="0.3">
      <c r="AG135" s="739">
        <v>2057</v>
      </c>
      <c r="AH135" s="740">
        <f t="shared" si="19"/>
        <v>0.22498940000000001</v>
      </c>
      <c r="AI135" s="739">
        <v>0.18387000000000001</v>
      </c>
      <c r="AJ135" s="739">
        <v>0.25679000000000002</v>
      </c>
      <c r="AK135" s="739">
        <v>0.26774999999999999</v>
      </c>
      <c r="AL135" s="739">
        <v>0.24665999999999999</v>
      </c>
      <c r="AM135" s="739">
        <v>0.32040000000000002</v>
      </c>
      <c r="AN135" s="739">
        <v>0.21448</v>
      </c>
      <c r="AO135" s="739">
        <f t="shared" si="18"/>
        <v>0</v>
      </c>
      <c r="AP135" s="739">
        <v>3.7440000000000001E-2</v>
      </c>
      <c r="AQ135" s="739">
        <v>7.92E-3</v>
      </c>
    </row>
    <row r="136" spans="33:43" x14ac:dyDescent="0.3">
      <c r="AG136" s="739">
        <v>2058</v>
      </c>
      <c r="AH136" s="740">
        <f t="shared" si="19"/>
        <v>0.22498940000000001</v>
      </c>
      <c r="AI136" s="739">
        <v>0.18387000000000001</v>
      </c>
      <c r="AJ136" s="739">
        <v>0.25679000000000002</v>
      </c>
      <c r="AK136" s="739">
        <v>0.26774999999999999</v>
      </c>
      <c r="AL136" s="739">
        <v>0.24665999999999999</v>
      </c>
      <c r="AM136" s="739">
        <v>0.32040000000000002</v>
      </c>
      <c r="AN136" s="739">
        <v>0.21448</v>
      </c>
      <c r="AO136" s="739">
        <f t="shared" si="18"/>
        <v>0</v>
      </c>
      <c r="AP136" s="739">
        <v>3.7440000000000001E-2</v>
      </c>
      <c r="AQ136" s="739">
        <v>7.92E-3</v>
      </c>
    </row>
    <row r="137" spans="33:43" x14ac:dyDescent="0.3">
      <c r="AG137" s="739">
        <v>2059</v>
      </c>
      <c r="AH137" s="740">
        <f t="shared" si="19"/>
        <v>0.22498940000000001</v>
      </c>
      <c r="AI137" s="739">
        <v>0.18387000000000001</v>
      </c>
      <c r="AJ137" s="739">
        <v>0.25679000000000002</v>
      </c>
      <c r="AK137" s="739">
        <v>0.26774999999999999</v>
      </c>
      <c r="AL137" s="739">
        <v>0.24665999999999999</v>
      </c>
      <c r="AM137" s="739">
        <v>0.32040000000000002</v>
      </c>
      <c r="AN137" s="739">
        <v>0.21448</v>
      </c>
      <c r="AO137" s="739">
        <f t="shared" si="18"/>
        <v>0</v>
      </c>
      <c r="AP137" s="739">
        <v>3.7440000000000001E-2</v>
      </c>
      <c r="AQ137" s="739">
        <v>7.92E-3</v>
      </c>
    </row>
    <row r="138" spans="33:43" x14ac:dyDescent="0.3">
      <c r="AG138" s="739">
        <v>2060</v>
      </c>
      <c r="AH138" s="740">
        <f t="shared" si="19"/>
        <v>0.22498940000000001</v>
      </c>
      <c r="AI138" s="739">
        <v>0.18387000000000001</v>
      </c>
      <c r="AJ138" s="739">
        <v>0.25679000000000002</v>
      </c>
      <c r="AK138" s="739">
        <v>0.26774999999999999</v>
      </c>
      <c r="AL138" s="739">
        <v>0.24665999999999999</v>
      </c>
      <c r="AM138" s="739">
        <v>0.32040000000000002</v>
      </c>
      <c r="AN138" s="739">
        <v>0.21448</v>
      </c>
      <c r="AO138" s="739">
        <f t="shared" si="18"/>
        <v>0</v>
      </c>
      <c r="AP138" s="739">
        <v>3.7440000000000001E-2</v>
      </c>
      <c r="AQ138" s="739">
        <v>7.92E-3</v>
      </c>
    </row>
    <row r="139" spans="33:43" x14ac:dyDescent="0.3">
      <c r="AG139" s="739">
        <v>2061</v>
      </c>
      <c r="AH139" s="740">
        <f t="shared" si="19"/>
        <v>0.22498940000000001</v>
      </c>
      <c r="AI139" s="739">
        <v>0.18387000000000001</v>
      </c>
      <c r="AJ139" s="739">
        <v>0.25679000000000002</v>
      </c>
      <c r="AK139" s="739">
        <v>0.26774999999999999</v>
      </c>
      <c r="AL139" s="739">
        <v>0.24665999999999999</v>
      </c>
      <c r="AM139" s="739">
        <v>0.32040000000000002</v>
      </c>
      <c r="AN139" s="739">
        <v>0.21448</v>
      </c>
      <c r="AO139" s="739">
        <f t="shared" si="18"/>
        <v>0</v>
      </c>
      <c r="AP139" s="739">
        <v>3.7440000000000001E-2</v>
      </c>
      <c r="AQ139" s="739">
        <v>7.92E-3</v>
      </c>
    </row>
    <row r="140" spans="33:43" x14ac:dyDescent="0.3">
      <c r="AG140" s="739">
        <v>2062</v>
      </c>
      <c r="AH140" s="740">
        <f t="shared" si="19"/>
        <v>0.22498940000000001</v>
      </c>
      <c r="AI140" s="739">
        <v>0.18387000000000001</v>
      </c>
      <c r="AJ140" s="739">
        <v>0.25679000000000002</v>
      </c>
      <c r="AK140" s="739">
        <v>0.26774999999999999</v>
      </c>
      <c r="AL140" s="739">
        <v>0.24665999999999999</v>
      </c>
      <c r="AM140" s="739">
        <v>0.32040000000000002</v>
      </c>
      <c r="AN140" s="739">
        <v>0.21448</v>
      </c>
      <c r="AO140" s="739">
        <f t="shared" si="18"/>
        <v>0</v>
      </c>
      <c r="AP140" s="739">
        <v>3.7440000000000001E-2</v>
      </c>
      <c r="AQ140" s="739">
        <v>7.92E-3</v>
      </c>
    </row>
  </sheetData>
  <sheetProtection algorithmName="SHA-512" hashValue="9DsdkN95DEzi2as/uSh51Mu3Aiphmy4U9pHZk2B2vAevj9Aox15Bx/HdQwHDoWiEkSq/6WlV6M4gzEufPKnLLw==" saltValue="DQ82gtR7V6Z9hhtsoZFl6w==" spinCount="100000" sheet="1" objects="1" scenarios="1"/>
  <dataConsolidate link="1"/>
  <mergeCells count="67">
    <mergeCell ref="A71:V71"/>
    <mergeCell ref="B68:V68"/>
    <mergeCell ref="G8:K8"/>
    <mergeCell ref="D3:G3"/>
    <mergeCell ref="I13:J13"/>
    <mergeCell ref="B3:C3"/>
    <mergeCell ref="B10:V10"/>
    <mergeCell ref="U3:V7"/>
    <mergeCell ref="G9:K9"/>
    <mergeCell ref="L9:M9"/>
    <mergeCell ref="L8:M8"/>
    <mergeCell ref="I61:J61"/>
    <mergeCell ref="I19:J19"/>
    <mergeCell ref="I20:J20"/>
    <mergeCell ref="I17:J17"/>
    <mergeCell ref="I15:J15"/>
    <mergeCell ref="B67:V67"/>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I23:J23"/>
    <mergeCell ref="N6:O7"/>
    <mergeCell ref="D4:G4"/>
    <mergeCell ref="H6:I6"/>
    <mergeCell ref="I21:J21"/>
    <mergeCell ref="I22:J22"/>
    <mergeCell ref="I14:J14"/>
    <mergeCell ref="I24:J24"/>
    <mergeCell ref="B4:C4"/>
    <mergeCell ref="I11:J11"/>
    <mergeCell ref="I35:J35"/>
    <mergeCell ref="I36:J36"/>
    <mergeCell ref="I37:J37"/>
    <mergeCell ref="I38:J38"/>
    <mergeCell ref="I39:J39"/>
    <mergeCell ref="I40:J40"/>
    <mergeCell ref="I41:J41"/>
    <mergeCell ref="I42:J42"/>
    <mergeCell ref="I43:J43"/>
    <mergeCell ref="I44:J44"/>
    <mergeCell ref="I45:J45"/>
    <mergeCell ref="I46:J46"/>
    <mergeCell ref="I47:J47"/>
    <mergeCell ref="I48:J48"/>
    <mergeCell ref="I49:J49"/>
    <mergeCell ref="I50:J50"/>
    <mergeCell ref="I51:J51"/>
    <mergeCell ref="I52:J52"/>
    <mergeCell ref="I53:J53"/>
    <mergeCell ref="I54:J54"/>
    <mergeCell ref="I60:J60"/>
    <mergeCell ref="I55:J55"/>
    <mergeCell ref="I56:J56"/>
    <mergeCell ref="I57:J57"/>
    <mergeCell ref="I58:J58"/>
    <mergeCell ref="I59:J59"/>
  </mergeCells>
  <conditionalFormatting sqref="I12:I61">
    <cfRule type="expression" dxfId="111" priority="1" stopIfTrue="1">
      <formula>$V12="Check Work Type"</formula>
    </cfRule>
  </conditionalFormatting>
  <conditionalFormatting sqref="K12:L61">
    <cfRule type="expression" dxfId="110" priority="89" stopIfTrue="1">
      <formula>$V12="Check Work Type"</formula>
    </cfRule>
  </conditionalFormatting>
  <conditionalFormatting sqref="L9">
    <cfRule type="containsText" dxfId="109" priority="37" operator="containsText" text="Complete Salix Funding Requested">
      <formula>NOT(ISERROR(SEARCH("Complete Salix Funding Requested",L9)))</formula>
    </cfRule>
    <cfRule type="cellIs" dxfId="108" priority="38" operator="equal">
      <formula>"Enter site life"</formula>
    </cfRule>
    <cfRule type="cellIs" dxfId="107" priority="39" operator="equal">
      <formula>"Enter Total Project Cost"</formula>
    </cfRule>
    <cfRule type="cellIs" dxfId="106" priority="40" operator="equal">
      <formula>"Enter % of cost"</formula>
    </cfRule>
  </conditionalFormatting>
  <conditionalFormatting sqref="L9:M9">
    <cfRule type="containsText" dxfId="105" priority="35" operator="containsText" text="Funding Exceeds Total Value">
      <formula>NOT(ISERROR(SEARCH("Funding Exceeds Total Value",L9)))</formula>
    </cfRule>
    <cfRule type="containsText" dxfId="104" priority="36" operator="containsText" text="Complete Total Value of Projects">
      <formula>NOT(ISERROR(SEARCH("Complete Total Value of Projects",L9)))</formula>
    </cfRule>
  </conditionalFormatting>
  <conditionalFormatting sqref="M11 P11">
    <cfRule type="expression" dxfId="103" priority="373" stopIfTrue="1">
      <formula>#REF!="M"</formula>
    </cfRule>
  </conditionalFormatting>
  <conditionalFormatting sqref="Q3">
    <cfRule type="expression" dxfId="102" priority="51">
      <formula>$D$4="Recycling Fund"</formula>
    </cfRule>
  </conditionalFormatting>
  <conditionalFormatting sqref="V12:V61">
    <cfRule type="beginsWith" dxfId="99" priority="119" operator="beginsWith" text="Check">
      <formula>LEFT(V12,LEN("Check"))="Check"</formula>
    </cfRule>
    <cfRule type="beginsWith" dxfId="98" priority="304" operator="beginsWith" text="Enter">
      <formula>LEFT(V12,LEN("Enter"))="Enter"</formula>
    </cfRule>
  </conditionalFormatting>
  <conditionalFormatting sqref="V65">
    <cfRule type="beginsWith" dxfId="97" priority="108" operator="beginsWith" text="Complete">
      <formula>LEFT(V65,LEN("Complete"))="Complete"</formula>
    </cfRule>
    <cfRule type="beginsWith" dxfId="96" priority="109" operator="beginsWith" text="Check">
      <formula>LEFT(V65,LEN("Check"))="Check"</formula>
    </cfRule>
    <cfRule type="containsText" dxfId="95" priority="120" operator="containsText" text="Client additional only">
      <formula>NOT(ISERROR(SEARCH("Client additional only",V65)))</formula>
    </cfRule>
    <cfRule type="containsText" dxfId="94" priority="121" operator="containsText" text="Non-Compliant">
      <formula>NOT(ISERROR(SEARCH("Non-Compliant",V65)))</formula>
    </cfRule>
    <cfRule type="containsText" dxfId="93" priority="122" operator="containsText" text="Compliant with client additional">
      <formula>NOT(ISERROR(SEARCH("Compliant with client additional",V65)))</formula>
    </cfRule>
  </conditionalFormatting>
  <dataValidations xWindow="453" yWindow="461" count="19">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40179</formula1>
      <formula2>46022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NODYN CANLLAW" prompt="Nodwch ddyddiad realistig ar gyfer cwblhau'r prosiect. Rhaid i brosiectau gael eu cwblhau o fewn 9 mis i'r dyddiad ymrwymo." sqref="D9" xr:uid="{E0577A49-2BC8-41E5-9F0C-C098F35B8E7F}">
      <formula1>40179</formula1>
      <formula2>49674</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3: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Nodwch fesurau ar wahân ar gyfer pob adeilad os yw eich cais yn ymwneud â sawl adeilad" sqref="B12" xr:uid="{18269017-B01B-4ECD-8F35-8706C3F58648}"/>
    <dataValidation type="decimal" operator="lessThan" allowBlank="1" showInputMessage="1" showErrorMessage="1" errorTitle="Invalid Entry" error="Please enter your energy price in the box." promptTitle="NODYN CANLLAW" prompt=" I gyfrifo'r gost ynni a ragwelir, gweler y tab 'nodiadau canllaw'" sqref="F12:F60" xr:uid="{780B3417-B3D8-4781-AD5B-877D5FEDCA9B}">
      <formula1>999</formula1>
    </dataValidation>
    <dataValidation type="decimal" operator="greaterThanOrEqual" allowBlank="1" showInputMessage="1" showErrorMessage="1" error="Please enter a numerical value in kWh." promptTitle="NODYN CANLLAW" prompt="Nodwch yr ynni y mae'r offer/cyfarpar dan sylw sy'n bodoli eisoes yn ei ddefnyddio ar hyn o bryd" sqref="K12:K60" xr:uid="{226457E9-8451-4BA5-B790-A0FEBED44A3F}">
      <formula1>0</formula1>
    </dataValidation>
    <dataValidation type="decimal" operator="greaterThanOrEqual" allowBlank="1" showInputMessage="1" showErrorMessage="1" error="Please enter a numerical value in kWh." promptTitle="NODYN CANLLAW" prompt="Nodwch amcangyfrif o'r ynni y bydd yr offer/cyfarpar dan sylw yn ei ddefnyddio ar ôl y prosiect " sqref="L12:L60" xr:uid="{8575B360-CCB9-40A5-ABCC-B26E8650E160}">
      <formula1>0</formula1>
    </dataValidation>
    <dataValidation type="decimal" allowBlank="1" showInputMessage="1" showErrorMessage="1" errorTitle="Invalid Entry" error="Please enter value as a number" promptTitle="NODYN CANLLAW" prompt="Nodwch gyfanswm cost y mesur hwn" sqref="O12:O60" xr:uid="{C71695AA-DED0-458B-8079-8287BBC63A2F}">
      <formula1>0</formula1>
      <formula2>9999999999999990000</formula2>
    </dataValidation>
  </dataValidations>
  <pageMargins left="0.23622047244094491" right="0.23622047244094491" top="0.35433070866141736" bottom="0.35433070866141736" header="0.31496062992125984" footer="0.31496062992125984"/>
  <pageSetup paperSize="9" scale="40" fitToHeight="0" orientation="landscape" horizontalDpi="525" verticalDpi="525"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look-up'!$F$76</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look-up'!$G$76</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2">
        <x14:dataValidation type="list" allowBlank="1" showInputMessage="1" showErrorMessage="1" xr:uid="{ADEA02F4-F232-40EA-BBA9-0D6C26D2B81E}">
          <x14:formula1>
            <xm:f>'Extra look-up'!$D$80:$D$81</xm:f>
          </x14:formula1>
          <xm:sqref>D4:G4</xm:sqref>
        </x14:dataValidation>
        <x14:dataValidation type="list" allowBlank="1" showInputMessage="1" showErrorMessage="1" xr:uid="{98861A49-FEBC-4F30-86E5-572B0E422996}">
          <x14:formula1>
            <xm:f>'Extra look-up'!$A$3:$A$20</xm:f>
          </x14:formula1>
          <xm:sqref>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2DAE76"/>
    <pageSetUpPr fitToPage="1"/>
  </sheetPr>
  <dimension ref="B2:S102"/>
  <sheetViews>
    <sheetView showGridLines="0" zoomScale="74" zoomScaleNormal="74" workbookViewId="0">
      <selection activeCell="D11" sqref="D11:I11"/>
    </sheetView>
  </sheetViews>
  <sheetFormatPr defaultColWidth="9.1796875" defaultRowHeight="15.5" x14ac:dyDescent="0.25"/>
  <cols>
    <col min="1" max="2" width="3.54296875" style="654" customWidth="1"/>
    <col min="3" max="3" width="47.81640625" style="655" customWidth="1"/>
    <col min="4" max="4" width="41.81640625" style="654" customWidth="1"/>
    <col min="5" max="9" width="20.54296875" style="654" customWidth="1"/>
    <col min="10" max="10" width="5.54296875" style="654" customWidth="1"/>
    <col min="11" max="29" width="9.1796875" style="654" customWidth="1"/>
    <col min="30" max="16384" width="9.1796875" style="654"/>
  </cols>
  <sheetData>
    <row r="2" spans="2:19" x14ac:dyDescent="0.3">
      <c r="B2" s="29"/>
      <c r="C2" s="657"/>
      <c r="D2" s="657"/>
      <c r="E2" s="657"/>
      <c r="F2" s="657"/>
      <c r="G2" s="657"/>
      <c r="H2" s="657"/>
      <c r="I2" s="657"/>
      <c r="J2" s="29"/>
    </row>
    <row r="3" spans="2:19" x14ac:dyDescent="0.3">
      <c r="B3" s="29"/>
      <c r="C3" s="883" t="s">
        <v>144</v>
      </c>
      <c r="D3" s="883"/>
      <c r="E3" s="883"/>
      <c r="F3" s="883"/>
      <c r="G3" s="883"/>
      <c r="H3" s="657"/>
      <c r="I3" s="657"/>
      <c r="J3" s="29"/>
    </row>
    <row r="4" spans="2:19" x14ac:dyDescent="0.3">
      <c r="B4" s="29"/>
      <c r="C4" s="883"/>
      <c r="D4" s="883"/>
      <c r="E4" s="883"/>
      <c r="F4" s="883"/>
      <c r="G4" s="883"/>
      <c r="H4" s="657"/>
      <c r="I4" s="657"/>
      <c r="J4" s="29"/>
    </row>
    <row r="5" spans="2:19" ht="5.5" customHeight="1" x14ac:dyDescent="0.25">
      <c r="B5" s="29"/>
      <c r="C5" s="755"/>
      <c r="D5" s="756"/>
      <c r="E5" s="756"/>
      <c r="F5" s="756"/>
      <c r="G5" s="756"/>
      <c r="H5" s="756"/>
      <c r="I5" s="658"/>
      <c r="J5" s="29"/>
    </row>
    <row r="6" spans="2:19" ht="16" customHeight="1" x14ac:dyDescent="0.25">
      <c r="B6" s="29"/>
      <c r="C6" s="926"/>
      <c r="D6" s="926"/>
      <c r="E6" s="926"/>
      <c r="F6" s="926"/>
      <c r="G6" s="926"/>
      <c r="H6" s="926"/>
      <c r="I6" s="926"/>
      <c r="J6" s="29"/>
    </row>
    <row r="7" spans="2:19" ht="23" x14ac:dyDescent="0.25">
      <c r="B7" s="29"/>
      <c r="C7" s="698" t="s">
        <v>145</v>
      </c>
      <c r="D7" s="660"/>
      <c r="E7" s="660"/>
      <c r="F7" s="660"/>
      <c r="G7" s="660"/>
      <c r="H7" s="660"/>
      <c r="I7" s="660"/>
      <c r="J7" s="29"/>
    </row>
    <row r="8" spans="2:19" x14ac:dyDescent="0.25">
      <c r="B8" s="29"/>
      <c r="C8" s="661"/>
      <c r="D8" s="658"/>
      <c r="E8" s="658"/>
      <c r="F8" s="658"/>
      <c r="G8" s="658"/>
      <c r="H8" s="658"/>
      <c r="I8" s="658"/>
      <c r="J8" s="29"/>
    </row>
    <row r="9" spans="2:19" ht="19.5" x14ac:dyDescent="0.25">
      <c r="B9" s="29"/>
      <c r="C9" s="683" t="s">
        <v>146</v>
      </c>
      <c r="D9" s="927"/>
      <c r="E9" s="928"/>
      <c r="F9" s="928"/>
      <c r="G9" s="928"/>
      <c r="H9" s="928"/>
      <c r="I9" s="929"/>
      <c r="J9" s="29"/>
    </row>
    <row r="10" spans="2:19" x14ac:dyDescent="0.25">
      <c r="B10" s="29"/>
      <c r="C10" s="659"/>
      <c r="D10" s="658"/>
      <c r="E10" s="658"/>
      <c r="F10" s="658"/>
      <c r="G10" s="658"/>
      <c r="H10" s="658"/>
      <c r="I10" s="658"/>
      <c r="J10" s="29"/>
      <c r="K10" s="655"/>
      <c r="L10" s="655"/>
      <c r="M10" s="655"/>
      <c r="N10" s="655"/>
      <c r="O10" s="655"/>
      <c r="P10" s="655"/>
      <c r="Q10" s="655"/>
      <c r="R10" s="655"/>
      <c r="S10" s="655"/>
    </row>
    <row r="11" spans="2:19" ht="19.5" x14ac:dyDescent="0.25">
      <c r="B11" s="29"/>
      <c r="C11" s="683" t="s">
        <v>147</v>
      </c>
      <c r="D11" s="930" t="str">
        <f>IF('Project Compliance Tool'!D3="","",'Project Compliance Tool'!D3)</f>
        <v/>
      </c>
      <c r="E11" s="931"/>
      <c r="F11" s="931"/>
      <c r="G11" s="931"/>
      <c r="H11" s="931"/>
      <c r="I11" s="932"/>
      <c r="J11" s="29"/>
    </row>
    <row r="12" spans="2:19" x14ac:dyDescent="0.25">
      <c r="B12" s="29"/>
      <c r="C12" s="659"/>
      <c r="D12" s="658"/>
      <c r="E12" s="658"/>
      <c r="F12" s="658"/>
      <c r="G12" s="658"/>
      <c r="H12" s="658"/>
      <c r="I12" s="658"/>
      <c r="J12" s="29"/>
    </row>
    <row r="13" spans="2:19" ht="19.5" x14ac:dyDescent="0.35">
      <c r="B13" s="29"/>
      <c r="C13" s="683" t="s">
        <v>148</v>
      </c>
      <c r="D13" s="796"/>
      <c r="E13" s="658"/>
      <c r="F13" s="663"/>
      <c r="G13" s="658"/>
      <c r="H13" s="658"/>
      <c r="I13" s="658"/>
      <c r="J13" s="29"/>
    </row>
    <row r="14" spans="2:19" ht="19.5" x14ac:dyDescent="0.35">
      <c r="B14" s="29"/>
      <c r="C14" s="683"/>
      <c r="D14" s="662"/>
      <c r="E14" s="658"/>
      <c r="F14" s="663"/>
      <c r="G14" s="658"/>
      <c r="H14" s="658"/>
      <c r="I14" s="658"/>
      <c r="J14" s="29"/>
    </row>
    <row r="15" spans="2:19" ht="16" customHeight="1" x14ac:dyDescent="0.35">
      <c r="B15" s="29"/>
      <c r="C15" s="683" t="s">
        <v>149</v>
      </c>
      <c r="D15" s="817"/>
      <c r="E15" s="658"/>
      <c r="F15" s="663"/>
      <c r="G15" s="658"/>
      <c r="H15" s="658"/>
      <c r="I15" s="658"/>
      <c r="J15" s="29"/>
    </row>
    <row r="16" spans="2:19" hidden="1" x14ac:dyDescent="0.25">
      <c r="B16" s="29"/>
      <c r="C16" s="659"/>
      <c r="D16" s="658"/>
      <c r="E16" s="658"/>
      <c r="F16" s="658"/>
      <c r="G16" s="895"/>
      <c r="H16" s="895"/>
      <c r="I16" s="658"/>
      <c r="J16" s="29"/>
    </row>
    <row r="17" spans="2:11" ht="32.15" customHeight="1" x14ac:dyDescent="0.25">
      <c r="B17" s="29"/>
      <c r="C17" s="698" t="s">
        <v>150</v>
      </c>
      <c r="D17" s="658"/>
      <c r="E17" s="658"/>
      <c r="F17" s="664"/>
      <c r="G17" s="896" t="s">
        <v>151</v>
      </c>
      <c r="H17" s="896"/>
      <c r="I17" s="658"/>
      <c r="J17" s="29"/>
    </row>
    <row r="18" spans="2:11" ht="15.75" customHeight="1" x14ac:dyDescent="0.25">
      <c r="B18" s="29"/>
      <c r="C18" s="684" t="s">
        <v>152</v>
      </c>
      <c r="D18" s="925"/>
      <c r="E18" s="925"/>
      <c r="F18" s="164"/>
      <c r="G18" s="891" t="s">
        <v>153</v>
      </c>
      <c r="H18" s="891"/>
      <c r="I18" s="757"/>
      <c r="J18" s="29"/>
    </row>
    <row r="19" spans="2:11" x14ac:dyDescent="0.25">
      <c r="B19" s="29"/>
      <c r="C19" s="684" t="s">
        <v>154</v>
      </c>
      <c r="D19" s="925"/>
      <c r="E19" s="925"/>
      <c r="F19" s="658"/>
      <c r="G19" s="667"/>
      <c r="H19" s="668"/>
      <c r="I19" s="669"/>
      <c r="J19" s="29"/>
    </row>
    <row r="20" spans="2:11" ht="15.75" customHeight="1" x14ac:dyDescent="0.25">
      <c r="B20" s="29"/>
      <c r="C20" s="684" t="s">
        <v>155</v>
      </c>
      <c r="D20" s="933"/>
      <c r="E20" s="933"/>
      <c r="F20" s="658"/>
      <c r="G20" s="891" t="s">
        <v>156</v>
      </c>
      <c r="H20" s="891"/>
      <c r="I20" s="757"/>
      <c r="J20" s="29"/>
    </row>
    <row r="21" spans="2:11" x14ac:dyDescent="0.25">
      <c r="B21" s="29"/>
      <c r="C21" s="684" t="s">
        <v>157</v>
      </c>
      <c r="D21" s="925"/>
      <c r="E21" s="925"/>
      <c r="F21" s="658"/>
      <c r="G21" s="667"/>
      <c r="H21" s="670"/>
      <c r="I21" s="669"/>
      <c r="J21" s="29"/>
    </row>
    <row r="22" spans="2:11" ht="15.75" customHeight="1" x14ac:dyDescent="0.25">
      <c r="B22" s="29"/>
      <c r="C22" s="684" t="s">
        <v>158</v>
      </c>
      <c r="D22" s="921"/>
      <c r="E22" s="921"/>
      <c r="F22" s="164"/>
      <c r="G22" s="891" t="s">
        <v>159</v>
      </c>
      <c r="H22" s="891"/>
      <c r="I22" s="757"/>
      <c r="J22" s="29"/>
    </row>
    <row r="23" spans="2:11" x14ac:dyDescent="0.25">
      <c r="B23" s="29"/>
      <c r="C23" s="684" t="s">
        <v>160</v>
      </c>
      <c r="D23" s="925"/>
      <c r="E23" s="925"/>
      <c r="F23" s="658"/>
      <c r="G23" s="671"/>
      <c r="H23" s="670"/>
      <c r="I23" s="669"/>
      <c r="J23" s="30"/>
      <c r="K23" s="679"/>
    </row>
    <row r="24" spans="2:11" ht="15.75" customHeight="1" x14ac:dyDescent="0.25">
      <c r="B24" s="29"/>
      <c r="C24" s="684" t="s">
        <v>161</v>
      </c>
      <c r="D24" s="921"/>
      <c r="E24" s="921"/>
      <c r="F24" s="164"/>
      <c r="G24" s="891" t="s">
        <v>162</v>
      </c>
      <c r="H24" s="891"/>
      <c r="I24" s="757"/>
      <c r="J24" s="29"/>
    </row>
    <row r="25" spans="2:11" x14ac:dyDescent="0.25">
      <c r="B25" s="29"/>
      <c r="C25" s="684" t="s">
        <v>163</v>
      </c>
      <c r="D25" s="922"/>
      <c r="E25" s="923"/>
      <c r="F25" s="672"/>
      <c r="G25" s="671"/>
      <c r="H25" s="673"/>
      <c r="I25" s="674"/>
      <c r="J25" s="29"/>
    </row>
    <row r="26" spans="2:11" ht="15.75" customHeight="1" x14ac:dyDescent="0.25">
      <c r="B26" s="29"/>
      <c r="C26" s="665"/>
      <c r="D26" s="675"/>
      <c r="E26" s="675"/>
      <c r="F26" s="666"/>
      <c r="G26" s="891" t="s">
        <v>164</v>
      </c>
      <c r="H26" s="891"/>
      <c r="I26" s="757"/>
      <c r="J26" s="29"/>
    </row>
    <row r="27" spans="2:11" ht="15.75" customHeight="1" x14ac:dyDescent="0.25">
      <c r="B27" s="29"/>
      <c r="C27" s="659"/>
      <c r="D27" s="675"/>
      <c r="E27" s="675"/>
      <c r="F27" s="666"/>
      <c r="G27" s="667"/>
      <c r="H27" s="667"/>
      <c r="I27" s="674"/>
      <c r="J27" s="29"/>
    </row>
    <row r="28" spans="2:11" ht="15.75" customHeight="1" x14ac:dyDescent="0.25">
      <c r="B28" s="29"/>
      <c r="C28" s="659"/>
      <c r="D28" s="675"/>
      <c r="E28" s="675"/>
      <c r="F28" s="666"/>
      <c r="G28" s="891" t="s">
        <v>165</v>
      </c>
      <c r="H28" s="891"/>
      <c r="I28" s="758">
        <f>I18+I20+I22+I24+I26</f>
        <v>0</v>
      </c>
      <c r="J28" s="29"/>
    </row>
    <row r="29" spans="2:11" ht="17.5" x14ac:dyDescent="0.25">
      <c r="B29" s="29"/>
      <c r="C29" s="698" t="s">
        <v>166</v>
      </c>
      <c r="D29" s="686"/>
      <c r="E29" s="686"/>
      <c r="F29" s="687"/>
      <c r="G29" s="685"/>
      <c r="H29" s="685"/>
      <c r="I29" s="687"/>
      <c r="J29" s="29"/>
    </row>
    <row r="30" spans="2:11" ht="15.75" customHeight="1" x14ac:dyDescent="0.25">
      <c r="B30" s="29"/>
      <c r="C30" s="890" t="s">
        <v>167</v>
      </c>
      <c r="D30" s="890"/>
      <c r="E30" s="890"/>
      <c r="F30" s="890"/>
      <c r="G30" s="890"/>
      <c r="H30" s="890"/>
      <c r="I30" s="890"/>
      <c r="J30" s="29"/>
    </row>
    <row r="31" spans="2:11" ht="15.75" customHeight="1" x14ac:dyDescent="0.25">
      <c r="B31" s="29"/>
      <c r="C31" s="892" t="s">
        <v>168</v>
      </c>
      <c r="D31" s="892"/>
      <c r="E31" s="892"/>
      <c r="F31" s="892"/>
      <c r="G31" s="892"/>
      <c r="H31" s="892"/>
      <c r="I31" s="892"/>
      <c r="J31" s="29"/>
    </row>
    <row r="32" spans="2:11" ht="14.25" customHeight="1" x14ac:dyDescent="0.25">
      <c r="B32" s="29"/>
      <c r="C32" s="892"/>
      <c r="D32" s="892"/>
      <c r="E32" s="892"/>
      <c r="F32" s="892"/>
      <c r="G32" s="892"/>
      <c r="H32" s="892"/>
      <c r="I32" s="892"/>
      <c r="J32" s="29"/>
    </row>
    <row r="33" spans="2:10" ht="115.5" customHeight="1" x14ac:dyDescent="0.25">
      <c r="B33" s="29"/>
      <c r="C33" s="887"/>
      <c r="D33" s="888"/>
      <c r="E33" s="888"/>
      <c r="F33" s="888"/>
      <c r="G33" s="888"/>
      <c r="H33" s="888"/>
      <c r="I33" s="889"/>
      <c r="J33" s="29"/>
    </row>
    <row r="34" spans="2:10" ht="7.5" customHeight="1" x14ac:dyDescent="0.25">
      <c r="B34" s="29"/>
      <c r="C34" s="659"/>
      <c r="D34" s="675"/>
      <c r="E34" s="675"/>
      <c r="F34" s="666"/>
      <c r="G34" s="667"/>
      <c r="H34" s="667"/>
      <c r="I34" s="674"/>
      <c r="J34" s="29"/>
    </row>
    <row r="35" spans="2:10" ht="17.5" x14ac:dyDescent="0.25">
      <c r="B35" s="29"/>
      <c r="C35" s="698" t="s">
        <v>169</v>
      </c>
      <c r="D35" s="686"/>
      <c r="E35" s="686"/>
      <c r="F35" s="688"/>
      <c r="G35" s="891"/>
      <c r="H35" s="891"/>
      <c r="I35" s="689"/>
      <c r="J35" s="29"/>
    </row>
    <row r="36" spans="2:10" x14ac:dyDescent="0.25">
      <c r="B36" s="29"/>
      <c r="C36" s="890" t="s">
        <v>170</v>
      </c>
      <c r="D36" s="890"/>
      <c r="E36" s="890"/>
      <c r="F36" s="690"/>
      <c r="G36" s="897"/>
      <c r="H36" s="897"/>
      <c r="I36" s="684"/>
      <c r="J36" s="29"/>
    </row>
    <row r="37" spans="2:10" ht="15.75" customHeight="1" x14ac:dyDescent="0.25">
      <c r="B37" s="29"/>
      <c r="C37" s="892" t="s">
        <v>171</v>
      </c>
      <c r="D37" s="892"/>
      <c r="E37" s="892"/>
      <c r="F37" s="892"/>
      <c r="G37" s="892"/>
      <c r="H37" s="892"/>
      <c r="I37" s="892"/>
      <c r="J37" s="29"/>
    </row>
    <row r="38" spans="2:10" ht="15.75" customHeight="1" x14ac:dyDescent="0.25">
      <c r="B38" s="29"/>
      <c r="C38" s="892"/>
      <c r="D38" s="892"/>
      <c r="E38" s="892"/>
      <c r="F38" s="892"/>
      <c r="G38" s="892"/>
      <c r="H38" s="892"/>
      <c r="I38" s="892"/>
      <c r="J38" s="29"/>
    </row>
    <row r="39" spans="2:10" ht="15.75" customHeight="1" x14ac:dyDescent="0.25">
      <c r="B39" s="29"/>
      <c r="C39" s="892"/>
      <c r="D39" s="892"/>
      <c r="E39" s="892"/>
      <c r="F39" s="892"/>
      <c r="G39" s="892"/>
      <c r="H39" s="892"/>
      <c r="I39" s="892"/>
      <c r="J39" s="29"/>
    </row>
    <row r="40" spans="2:10" ht="10" customHeight="1" x14ac:dyDescent="0.25">
      <c r="B40" s="29"/>
      <c r="C40" s="892"/>
      <c r="D40" s="892"/>
      <c r="E40" s="892"/>
      <c r="F40" s="892"/>
      <c r="G40" s="892"/>
      <c r="H40" s="892"/>
      <c r="I40" s="892"/>
      <c r="J40" s="29"/>
    </row>
    <row r="41" spans="2:10" ht="115.5" customHeight="1" x14ac:dyDescent="0.25">
      <c r="B41" s="29"/>
      <c r="C41" s="893"/>
      <c r="D41" s="893"/>
      <c r="E41" s="893"/>
      <c r="F41" s="893"/>
      <c r="G41" s="893"/>
      <c r="H41" s="893"/>
      <c r="I41" s="893"/>
      <c r="J41" s="29"/>
    </row>
    <row r="42" spans="2:10" ht="23.5" customHeight="1" x14ac:dyDescent="0.35">
      <c r="B42" s="29"/>
      <c r="C42" s="699" t="s">
        <v>172</v>
      </c>
      <c r="D42" s="692"/>
      <c r="E42" s="692"/>
      <c r="F42" s="692"/>
      <c r="G42" s="692"/>
      <c r="H42" s="692"/>
      <c r="I42" s="676"/>
      <c r="J42" s="29"/>
    </row>
    <row r="43" spans="2:10" ht="24.65" customHeight="1" x14ac:dyDescent="0.25">
      <c r="B43" s="29"/>
      <c r="C43" s="924" t="s">
        <v>173</v>
      </c>
      <c r="D43" s="924"/>
      <c r="E43" s="924"/>
      <c r="F43" s="924"/>
      <c r="G43" s="924"/>
      <c r="H43" s="924"/>
      <c r="I43" s="676"/>
      <c r="J43" s="29"/>
    </row>
    <row r="44" spans="2:10" ht="21.65" customHeight="1" x14ac:dyDescent="0.25">
      <c r="B44" s="29"/>
      <c r="C44" s="924"/>
      <c r="D44" s="924"/>
      <c r="E44" s="924"/>
      <c r="F44" s="924"/>
      <c r="G44" s="924"/>
      <c r="H44" s="924"/>
      <c r="I44" s="676"/>
      <c r="J44" s="29"/>
    </row>
    <row r="45" spans="2:10" ht="115.5" customHeight="1" x14ac:dyDescent="0.25">
      <c r="B45" s="29"/>
      <c r="C45" s="893"/>
      <c r="D45" s="893"/>
      <c r="E45" s="893"/>
      <c r="F45" s="893"/>
      <c r="G45" s="893"/>
      <c r="H45" s="893"/>
      <c r="I45" s="893"/>
      <c r="J45" s="29"/>
    </row>
    <row r="46" spans="2:10" ht="26.5" customHeight="1" x14ac:dyDescent="0.35">
      <c r="B46" s="29"/>
      <c r="C46" s="699" t="s">
        <v>174</v>
      </c>
      <c r="D46" s="692"/>
      <c r="E46" s="692"/>
      <c r="F46" s="692"/>
      <c r="G46" s="692"/>
      <c r="H46" s="692"/>
      <c r="I46" s="676"/>
      <c r="J46" s="29"/>
    </row>
    <row r="47" spans="2:10" ht="51.65" customHeight="1" x14ac:dyDescent="0.25">
      <c r="B47" s="29"/>
      <c r="C47" s="924" t="s">
        <v>175</v>
      </c>
      <c r="D47" s="924"/>
      <c r="E47" s="924"/>
      <c r="F47" s="924"/>
      <c r="G47" s="924"/>
      <c r="H47" s="924"/>
      <c r="I47" s="676"/>
      <c r="J47" s="29"/>
    </row>
    <row r="48" spans="2:10" ht="93" customHeight="1" x14ac:dyDescent="0.25">
      <c r="B48" s="29"/>
      <c r="C48" s="893"/>
      <c r="D48" s="893"/>
      <c r="E48" s="893"/>
      <c r="F48" s="893"/>
      <c r="G48" s="893"/>
      <c r="H48" s="893"/>
      <c r="I48" s="893"/>
      <c r="J48" s="29"/>
    </row>
    <row r="49" spans="2:10" ht="28" customHeight="1" x14ac:dyDescent="0.35">
      <c r="B49" s="29"/>
      <c r="C49" s="699" t="s">
        <v>176</v>
      </c>
      <c r="D49" s="683"/>
      <c r="E49" s="683"/>
      <c r="F49" s="683"/>
      <c r="G49" s="683"/>
      <c r="H49" s="683"/>
      <c r="I49" s="683"/>
      <c r="J49" s="29"/>
    </row>
    <row r="50" spans="2:10" ht="46.5" customHeight="1" x14ac:dyDescent="0.25">
      <c r="B50" s="29"/>
      <c r="C50" s="892" t="s">
        <v>177</v>
      </c>
      <c r="D50" s="892"/>
      <c r="E50" s="892"/>
      <c r="F50" s="892"/>
      <c r="G50" s="892"/>
      <c r="H50" s="892"/>
      <c r="I50" s="892"/>
      <c r="J50" s="29"/>
    </row>
    <row r="51" spans="2:10" ht="94" customHeight="1" x14ac:dyDescent="0.25">
      <c r="B51" s="29"/>
      <c r="C51" s="893"/>
      <c r="D51" s="893"/>
      <c r="E51" s="893"/>
      <c r="F51" s="893"/>
      <c r="G51" s="893"/>
      <c r="H51" s="893"/>
      <c r="I51" s="893"/>
      <c r="J51" s="29"/>
    </row>
    <row r="52" spans="2:10" ht="25.5" customHeight="1" x14ac:dyDescent="0.35">
      <c r="B52" s="29"/>
      <c r="C52" s="894" t="s">
        <v>178</v>
      </c>
      <c r="D52" s="894"/>
      <c r="E52" s="693"/>
      <c r="F52" s="693"/>
      <c r="G52" s="693"/>
      <c r="H52" s="683"/>
      <c r="I52" s="683"/>
      <c r="J52" s="29"/>
    </row>
    <row r="53" spans="2:10" ht="69" customHeight="1" x14ac:dyDescent="0.25">
      <c r="B53" s="29"/>
      <c r="C53" s="915" t="s">
        <v>179</v>
      </c>
      <c r="D53" s="915"/>
      <c r="E53" s="915"/>
      <c r="F53" s="915"/>
      <c r="G53" s="915"/>
      <c r="H53" s="915"/>
      <c r="I53" s="915"/>
      <c r="J53" s="29"/>
    </row>
    <row r="54" spans="2:10" ht="88" customHeight="1" x14ac:dyDescent="0.25">
      <c r="B54" s="29"/>
      <c r="C54" s="884"/>
      <c r="D54" s="885"/>
      <c r="E54" s="885"/>
      <c r="F54" s="885"/>
      <c r="G54" s="885"/>
      <c r="H54" s="885"/>
      <c r="I54" s="886"/>
      <c r="J54" s="29"/>
    </row>
    <row r="55" spans="2:10" s="656" customFormat="1" ht="25.5" customHeight="1" x14ac:dyDescent="0.35">
      <c r="B55" s="546"/>
      <c r="C55" s="699" t="s">
        <v>180</v>
      </c>
      <c r="D55" s="694"/>
      <c r="E55" s="694"/>
      <c r="F55" s="694"/>
      <c r="G55" s="694"/>
      <c r="H55" s="694"/>
      <c r="I55" s="694"/>
      <c r="J55" s="546"/>
    </row>
    <row r="56" spans="2:10" ht="31.5" customHeight="1" x14ac:dyDescent="0.25">
      <c r="B56" s="29"/>
      <c r="C56" s="915" t="s">
        <v>181</v>
      </c>
      <c r="D56" s="915"/>
      <c r="E56" s="915"/>
      <c r="F56" s="915"/>
      <c r="G56" s="915"/>
      <c r="H56" s="915"/>
      <c r="I56" s="915"/>
      <c r="J56" s="29"/>
    </row>
    <row r="57" spans="2:10" ht="85" customHeight="1" x14ac:dyDescent="0.25">
      <c r="B57" s="29"/>
      <c r="C57" s="909"/>
      <c r="D57" s="910"/>
      <c r="E57" s="910"/>
      <c r="F57" s="910"/>
      <c r="G57" s="910"/>
      <c r="H57" s="910"/>
      <c r="I57" s="911"/>
      <c r="J57" s="29"/>
    </row>
    <row r="58" spans="2:10" ht="28.5" customHeight="1" x14ac:dyDescent="0.35">
      <c r="B58" s="29"/>
      <c r="C58" s="699" t="s">
        <v>182</v>
      </c>
      <c r="D58" s="683"/>
      <c r="E58" s="683"/>
      <c r="F58" s="683"/>
      <c r="G58" s="683"/>
      <c r="H58" s="683"/>
      <c r="I58" s="683"/>
      <c r="J58" s="29"/>
    </row>
    <row r="59" spans="2:10" ht="92.5" customHeight="1" thickBot="1" x14ac:dyDescent="0.3">
      <c r="B59" s="29"/>
      <c r="C59" s="892" t="s">
        <v>183</v>
      </c>
      <c r="D59" s="892"/>
      <c r="E59" s="892"/>
      <c r="F59" s="892"/>
      <c r="G59" s="892"/>
      <c r="H59" s="892"/>
      <c r="I59" s="892"/>
      <c r="J59" s="29"/>
    </row>
    <row r="60" spans="2:10" ht="40" customHeight="1" thickBot="1" x14ac:dyDescent="0.3">
      <c r="B60" s="29"/>
      <c r="C60" s="702" t="s">
        <v>184</v>
      </c>
      <c r="D60" s="703" t="s">
        <v>185</v>
      </c>
      <c r="E60" s="916" t="s">
        <v>186</v>
      </c>
      <c r="F60" s="916"/>
      <c r="G60" s="916"/>
      <c r="H60" s="916"/>
      <c r="I60" s="917"/>
      <c r="J60" s="29"/>
    </row>
    <row r="61" spans="2:10" ht="40" customHeight="1" x14ac:dyDescent="0.25">
      <c r="B61" s="29"/>
      <c r="C61" s="547"/>
      <c r="D61" s="548"/>
      <c r="E61" s="919"/>
      <c r="F61" s="919"/>
      <c r="G61" s="919"/>
      <c r="H61" s="919"/>
      <c r="I61" s="920"/>
      <c r="J61" s="29"/>
    </row>
    <row r="62" spans="2:10" ht="40" customHeight="1" x14ac:dyDescent="0.25">
      <c r="B62" s="29"/>
      <c r="C62" s="549"/>
      <c r="D62" s="704"/>
      <c r="E62" s="893"/>
      <c r="F62" s="893"/>
      <c r="G62" s="893"/>
      <c r="H62" s="893"/>
      <c r="I62" s="918"/>
      <c r="J62" s="29"/>
    </row>
    <row r="63" spans="2:10" ht="40" customHeight="1" x14ac:dyDescent="0.25">
      <c r="B63" s="29"/>
      <c r="C63" s="549"/>
      <c r="D63" s="704"/>
      <c r="E63" s="893"/>
      <c r="F63" s="893"/>
      <c r="G63" s="893"/>
      <c r="H63" s="893"/>
      <c r="I63" s="918"/>
      <c r="J63" s="29"/>
    </row>
    <row r="64" spans="2:10" ht="40" customHeight="1" x14ac:dyDescent="0.25">
      <c r="B64" s="29"/>
      <c r="C64" s="549"/>
      <c r="D64" s="704"/>
      <c r="E64" s="893"/>
      <c r="F64" s="893"/>
      <c r="G64" s="893"/>
      <c r="H64" s="893"/>
      <c r="I64" s="918"/>
      <c r="J64" s="29"/>
    </row>
    <row r="65" spans="2:10" ht="40" customHeight="1" x14ac:dyDescent="0.25">
      <c r="B65" s="29"/>
      <c r="C65" s="549"/>
      <c r="D65" s="704"/>
      <c r="E65" s="893"/>
      <c r="F65" s="893"/>
      <c r="G65" s="893"/>
      <c r="H65" s="893"/>
      <c r="I65" s="918"/>
      <c r="J65" s="29"/>
    </row>
    <row r="66" spans="2:10" ht="40" customHeight="1" x14ac:dyDescent="0.25">
      <c r="B66" s="29"/>
      <c r="C66" s="549"/>
      <c r="D66" s="704"/>
      <c r="E66" s="893"/>
      <c r="F66" s="893"/>
      <c r="G66" s="893"/>
      <c r="H66" s="893"/>
      <c r="I66" s="918"/>
      <c r="J66" s="29"/>
    </row>
    <row r="67" spans="2:10" ht="40" customHeight="1" x14ac:dyDescent="0.25">
      <c r="B67" s="29"/>
      <c r="C67" s="549"/>
      <c r="D67" s="704"/>
      <c r="E67" s="893"/>
      <c r="F67" s="893"/>
      <c r="G67" s="893"/>
      <c r="H67" s="893"/>
      <c r="I67" s="918"/>
      <c r="J67" s="29"/>
    </row>
    <row r="68" spans="2:10" ht="39.65" customHeight="1" thickBot="1" x14ac:dyDescent="0.3">
      <c r="B68" s="29"/>
      <c r="C68" s="550"/>
      <c r="D68" s="705"/>
      <c r="E68" s="913"/>
      <c r="F68" s="913"/>
      <c r="G68" s="913"/>
      <c r="H68" s="913"/>
      <c r="I68" s="914"/>
      <c r="J68" s="29"/>
    </row>
    <row r="69" spans="2:10" ht="29.15" customHeight="1" x14ac:dyDescent="0.3">
      <c r="B69" s="29"/>
      <c r="C69" s="691" t="s">
        <v>187</v>
      </c>
      <c r="D69" s="683"/>
      <c r="E69" s="683"/>
      <c r="F69" s="683"/>
      <c r="G69" s="683"/>
      <c r="H69" s="683"/>
      <c r="I69" s="683"/>
      <c r="J69" s="29"/>
    </row>
    <row r="70" spans="2:10" ht="95.15" customHeight="1" x14ac:dyDescent="0.25">
      <c r="B70" s="29"/>
      <c r="C70" s="892" t="s">
        <v>188</v>
      </c>
      <c r="D70" s="892"/>
      <c r="E70" s="892"/>
      <c r="F70" s="892"/>
      <c r="G70" s="892"/>
      <c r="H70" s="892"/>
      <c r="I70" s="892"/>
      <c r="J70" s="29"/>
    </row>
    <row r="71" spans="2:10" ht="112.5" customHeight="1" x14ac:dyDescent="0.25">
      <c r="B71" s="29"/>
      <c r="C71" s="899"/>
      <c r="D71" s="900"/>
      <c r="E71" s="900"/>
      <c r="F71" s="900"/>
      <c r="G71" s="900"/>
      <c r="H71" s="900"/>
      <c r="I71" s="901"/>
      <c r="J71" s="29"/>
    </row>
    <row r="72" spans="2:10" x14ac:dyDescent="0.25">
      <c r="B72" s="29"/>
      <c r="C72" s="659"/>
      <c r="D72" s="658"/>
      <c r="E72" s="658"/>
      <c r="F72" s="658"/>
      <c r="G72" s="658"/>
      <c r="H72" s="658"/>
      <c r="I72" s="658"/>
      <c r="J72" s="29"/>
    </row>
    <row r="73" spans="2:10" ht="16" thickBot="1" x14ac:dyDescent="0.3">
      <c r="B73" s="29"/>
      <c r="C73" s="682" t="s">
        <v>189</v>
      </c>
      <c r="D73" s="658"/>
      <c r="E73" s="658"/>
      <c r="F73" s="658"/>
      <c r="G73" s="658"/>
      <c r="H73" s="658"/>
      <c r="I73" s="658"/>
      <c r="J73" s="29"/>
    </row>
    <row r="74" spans="2:10" ht="41" thickBot="1" x14ac:dyDescent="0.3">
      <c r="B74" s="29"/>
      <c r="C74" s="700" t="s">
        <v>190</v>
      </c>
      <c r="D74" s="706" t="s">
        <v>191</v>
      </c>
      <c r="E74" s="707" t="s">
        <v>192</v>
      </c>
      <c r="F74" s="701" t="s">
        <v>193</v>
      </c>
      <c r="G74" s="706" t="s">
        <v>194</v>
      </c>
      <c r="H74" s="706" t="s">
        <v>195</v>
      </c>
      <c r="I74" s="658"/>
      <c r="J74" s="29"/>
    </row>
    <row r="75" spans="2:10" x14ac:dyDescent="0.25">
      <c r="B75" s="29"/>
      <c r="C75" s="902" t="s">
        <v>196</v>
      </c>
      <c r="D75" s="710" t="s">
        <v>197</v>
      </c>
      <c r="E75" s="161"/>
      <c r="F75" s="161"/>
      <c r="G75" s="162"/>
      <c r="H75" s="162"/>
      <c r="I75" s="658"/>
      <c r="J75" s="29"/>
    </row>
    <row r="76" spans="2:10" x14ac:dyDescent="0.25">
      <c r="B76" s="29"/>
      <c r="C76" s="903"/>
      <c r="D76" s="711" t="s">
        <v>198</v>
      </c>
      <c r="E76" s="163"/>
      <c r="F76" s="163"/>
      <c r="G76" s="162"/>
      <c r="H76" s="162"/>
      <c r="I76" s="658"/>
      <c r="J76" s="29"/>
    </row>
    <row r="77" spans="2:10" x14ac:dyDescent="0.25">
      <c r="B77" s="29"/>
      <c r="C77" s="904" t="s">
        <v>199</v>
      </c>
      <c r="D77" s="711" t="s">
        <v>200</v>
      </c>
      <c r="E77" s="161"/>
      <c r="F77" s="161"/>
      <c r="G77" s="162"/>
      <c r="H77" s="162"/>
      <c r="I77" s="658"/>
      <c r="J77" s="29"/>
    </row>
    <row r="78" spans="2:10" x14ac:dyDescent="0.25">
      <c r="B78" s="29"/>
      <c r="C78" s="902"/>
      <c r="D78" s="711" t="s">
        <v>201</v>
      </c>
      <c r="E78" s="163"/>
      <c r="F78" s="163"/>
      <c r="G78" s="162"/>
      <c r="H78" s="162"/>
      <c r="I78" s="658"/>
      <c r="J78" s="29"/>
    </row>
    <row r="79" spans="2:10" x14ac:dyDescent="0.25">
      <c r="B79" s="29"/>
      <c r="C79" s="902"/>
      <c r="D79" s="711" t="s">
        <v>202</v>
      </c>
      <c r="E79" s="161"/>
      <c r="F79" s="161"/>
      <c r="G79" s="162"/>
      <c r="H79" s="162"/>
      <c r="I79" s="658"/>
      <c r="J79" s="29"/>
    </row>
    <row r="80" spans="2:10" x14ac:dyDescent="0.25">
      <c r="B80" s="29"/>
      <c r="C80" s="903"/>
      <c r="D80" s="711" t="s">
        <v>203</v>
      </c>
      <c r="E80" s="163"/>
      <c r="F80" s="163"/>
      <c r="G80" s="162"/>
      <c r="H80" s="162"/>
      <c r="I80" s="658"/>
      <c r="J80" s="29"/>
    </row>
    <row r="81" spans="2:10" ht="22.5" customHeight="1" thickBot="1" x14ac:dyDescent="0.3">
      <c r="B81" s="29"/>
      <c r="C81" s="720" t="s">
        <v>204</v>
      </c>
      <c r="D81" s="721" t="s">
        <v>205</v>
      </c>
      <c r="E81" s="161"/>
      <c r="F81" s="161"/>
      <c r="G81" s="162"/>
      <c r="H81" s="162"/>
      <c r="I81" s="658"/>
      <c r="J81" s="29"/>
    </row>
    <row r="82" spans="2:10" ht="16" thickBot="1" x14ac:dyDescent="0.3">
      <c r="B82" s="29"/>
      <c r="C82" s="718"/>
      <c r="D82" s="719"/>
      <c r="E82" s="708"/>
      <c r="F82" s="708"/>
      <c r="G82" s="709"/>
      <c r="H82" s="709"/>
      <c r="I82" s="658"/>
      <c r="J82" s="29"/>
    </row>
    <row r="83" spans="2:10" x14ac:dyDescent="0.25">
      <c r="B83" s="29"/>
      <c r="C83" s="713" t="s">
        <v>206</v>
      </c>
      <c r="D83" s="714" t="s">
        <v>207</v>
      </c>
      <c r="E83" s="161"/>
      <c r="F83" s="161"/>
      <c r="G83" s="162"/>
      <c r="H83" s="658"/>
      <c r="I83" s="658"/>
      <c r="J83" s="29"/>
    </row>
    <row r="84" spans="2:10" x14ac:dyDescent="0.25">
      <c r="B84" s="29"/>
      <c r="C84" s="715" t="s">
        <v>208</v>
      </c>
      <c r="D84" s="711" t="s">
        <v>209</v>
      </c>
      <c r="E84" s="163"/>
      <c r="F84" s="163"/>
      <c r="G84" s="162"/>
      <c r="H84" s="658"/>
      <c r="I84" s="658"/>
      <c r="J84" s="29"/>
    </row>
    <row r="85" spans="2:10" x14ac:dyDescent="0.25">
      <c r="B85" s="29"/>
      <c r="C85" s="715" t="s">
        <v>210</v>
      </c>
      <c r="D85" s="712" t="s">
        <v>211</v>
      </c>
      <c r="E85" s="165"/>
      <c r="F85" s="165"/>
      <c r="G85" s="166"/>
      <c r="H85" s="658"/>
      <c r="I85" s="658"/>
      <c r="J85" s="29"/>
    </row>
    <row r="86" spans="2:10" x14ac:dyDescent="0.25">
      <c r="B86" s="29"/>
      <c r="C86" s="905" t="s">
        <v>212</v>
      </c>
      <c r="D86" s="716" t="s">
        <v>213</v>
      </c>
      <c r="E86" s="248"/>
      <c r="F86" s="249"/>
      <c r="G86" s="250"/>
      <c r="H86" s="658"/>
      <c r="I86" s="658"/>
      <c r="J86" s="29"/>
    </row>
    <row r="87" spans="2:10" x14ac:dyDescent="0.25">
      <c r="B87" s="29"/>
      <c r="C87" s="906"/>
      <c r="D87" s="716" t="s">
        <v>214</v>
      </c>
      <c r="E87" s="243"/>
      <c r="F87" s="167"/>
      <c r="G87" s="244"/>
      <c r="H87" s="658"/>
      <c r="I87" s="658"/>
      <c r="J87" s="29"/>
    </row>
    <row r="88" spans="2:10" x14ac:dyDescent="0.25">
      <c r="B88" s="29"/>
      <c r="C88" s="906"/>
      <c r="D88" s="716" t="s">
        <v>215</v>
      </c>
      <c r="E88" s="243"/>
      <c r="F88" s="167"/>
      <c r="G88" s="244"/>
      <c r="H88" s="658"/>
      <c r="I88" s="658"/>
      <c r="J88" s="29"/>
    </row>
    <row r="89" spans="2:10" x14ac:dyDescent="0.25">
      <c r="B89" s="29"/>
      <c r="C89" s="906"/>
      <c r="D89" s="716" t="s">
        <v>216</v>
      </c>
      <c r="E89" s="243"/>
      <c r="F89" s="167"/>
      <c r="G89" s="244"/>
      <c r="H89" s="658"/>
      <c r="I89" s="658"/>
      <c r="J89" s="29"/>
    </row>
    <row r="90" spans="2:10" ht="16" thickBot="1" x14ac:dyDescent="0.3">
      <c r="B90" s="29"/>
      <c r="C90" s="907"/>
      <c r="D90" s="717" t="s">
        <v>217</v>
      </c>
      <c r="E90" s="245"/>
      <c r="F90" s="246"/>
      <c r="G90" s="247"/>
      <c r="H90" s="658"/>
      <c r="I90" s="658"/>
      <c r="J90" s="29"/>
    </row>
    <row r="91" spans="2:10" ht="7.5" customHeight="1" x14ac:dyDescent="0.25">
      <c r="B91" s="29"/>
      <c r="C91" s="659"/>
      <c r="D91" s="658"/>
      <c r="E91" s="658"/>
      <c r="F91" s="658"/>
      <c r="G91" s="677">
        <f>SUM(G75:G90)</f>
        <v>0</v>
      </c>
      <c r="H91" s="658"/>
      <c r="I91" s="658"/>
      <c r="J91" s="29"/>
    </row>
    <row r="92" spans="2:10" ht="28" customHeight="1" x14ac:dyDescent="0.3">
      <c r="B92" s="29"/>
      <c r="C92" s="691" t="s">
        <v>218</v>
      </c>
      <c r="D92" s="683"/>
      <c r="E92" s="683"/>
      <c r="F92" s="683"/>
      <c r="G92" s="695"/>
      <c r="H92" s="683"/>
      <c r="I92" s="658"/>
      <c r="J92" s="29"/>
    </row>
    <row r="93" spans="2:10" ht="44.15" customHeight="1" x14ac:dyDescent="0.25">
      <c r="B93" s="29"/>
      <c r="C93" s="892" t="s">
        <v>219</v>
      </c>
      <c r="D93" s="892"/>
      <c r="E93" s="892"/>
      <c r="F93" s="892"/>
      <c r="G93" s="892"/>
      <c r="H93" s="892"/>
      <c r="I93" s="658"/>
      <c r="J93" s="29"/>
    </row>
    <row r="94" spans="2:10" ht="96" customHeight="1" x14ac:dyDescent="0.25">
      <c r="B94" s="29"/>
      <c r="C94" s="909"/>
      <c r="D94" s="910"/>
      <c r="E94" s="910"/>
      <c r="F94" s="910"/>
      <c r="G94" s="910"/>
      <c r="H94" s="910"/>
      <c r="I94" s="911"/>
      <c r="J94" s="29"/>
    </row>
    <row r="95" spans="2:10" x14ac:dyDescent="0.3">
      <c r="B95" s="29"/>
      <c r="C95" s="657"/>
      <c r="D95" s="657"/>
      <c r="E95" s="657"/>
      <c r="F95" s="657"/>
      <c r="G95" s="657"/>
      <c r="H95" s="657"/>
      <c r="I95" s="657"/>
      <c r="J95" s="29"/>
    </row>
    <row r="96" spans="2:10" ht="15.75" customHeight="1" x14ac:dyDescent="0.25">
      <c r="B96" s="29"/>
      <c r="C96" s="682" t="s">
        <v>220</v>
      </c>
      <c r="D96" s="683"/>
      <c r="E96" s="683"/>
      <c r="F96" s="683"/>
      <c r="G96" s="683"/>
      <c r="H96" s="683"/>
      <c r="I96" s="683"/>
      <c r="J96" s="29"/>
    </row>
    <row r="97" spans="2:10" ht="15.75" customHeight="1" x14ac:dyDescent="0.3">
      <c r="B97" s="29"/>
      <c r="C97" s="908" t="s">
        <v>221</v>
      </c>
      <c r="D97" s="908"/>
      <c r="E97" s="908"/>
      <c r="F97" s="908"/>
      <c r="G97" s="908"/>
      <c r="H97" s="908"/>
      <c r="I97" s="908"/>
      <c r="J97" s="29"/>
    </row>
    <row r="98" spans="2:10" ht="12.65" customHeight="1" x14ac:dyDescent="0.3">
      <c r="B98" s="29"/>
      <c r="C98" s="696"/>
      <c r="D98" s="697"/>
      <c r="E98" s="697"/>
      <c r="F98" s="697"/>
      <c r="G98" s="697"/>
      <c r="H98" s="697"/>
      <c r="I98" s="697"/>
      <c r="J98" s="29"/>
    </row>
    <row r="99" spans="2:10" ht="29.15" customHeight="1" x14ac:dyDescent="0.3">
      <c r="B99" s="29"/>
      <c r="C99" s="912" t="s">
        <v>222</v>
      </c>
      <c r="D99" s="912"/>
      <c r="E99" s="912"/>
      <c r="F99" s="912"/>
      <c r="G99" s="912"/>
      <c r="H99" s="912"/>
      <c r="I99" s="912"/>
      <c r="J99" s="29"/>
    </row>
    <row r="100" spans="2:10" x14ac:dyDescent="0.25">
      <c r="B100" s="29"/>
      <c r="C100" s="661"/>
      <c r="D100" s="665"/>
      <c r="E100" s="678"/>
      <c r="F100" s="168"/>
      <c r="G100" s="665"/>
      <c r="H100" s="898" t="str">
        <f ca="1">"© Salix "&amp;YEAR(NOW())</f>
        <v>© Salix 2024</v>
      </c>
      <c r="I100" s="898"/>
      <c r="J100" s="29"/>
    </row>
    <row r="101" spans="2:10" x14ac:dyDescent="0.3">
      <c r="B101" s="29"/>
      <c r="C101" s="722"/>
      <c r="D101" s="722"/>
      <c r="E101" s="722"/>
      <c r="F101" s="722"/>
      <c r="G101" s="722"/>
      <c r="H101" s="722"/>
      <c r="I101" s="722"/>
      <c r="J101" s="29"/>
    </row>
    <row r="102" spans="2:10" x14ac:dyDescent="0.25">
      <c r="B102" s="680"/>
      <c r="C102" s="681"/>
      <c r="D102" s="680"/>
      <c r="E102" s="680"/>
      <c r="F102" s="680"/>
      <c r="G102" s="680"/>
      <c r="H102" s="680"/>
      <c r="I102" s="680"/>
      <c r="J102" s="680"/>
    </row>
  </sheetData>
  <sheetProtection algorithmName="SHA-512" hashValue="rMzciw9FOqaMQVzvp+/tFJB8x17ueYvaMZ/p0u7BU0tFLkP/gzZnVQPbvRaEsLQwxu+dcoSX6JjqrH4o8K+nug==" saltValue="HIUrUDyOB8NhmeiS4Olt7w==" spinCount="100000" sheet="1" objects="1" scenarios="1"/>
  <mergeCells count="59">
    <mergeCell ref="D23:E23"/>
    <mergeCell ref="C6:I6"/>
    <mergeCell ref="D9:I9"/>
    <mergeCell ref="D11:I11"/>
    <mergeCell ref="D18:E18"/>
    <mergeCell ref="D19:E19"/>
    <mergeCell ref="D20:E20"/>
    <mergeCell ref="G18:H18"/>
    <mergeCell ref="G20:H20"/>
    <mergeCell ref="D21:E21"/>
    <mergeCell ref="D22:E22"/>
    <mergeCell ref="C53:I53"/>
    <mergeCell ref="D24:E24"/>
    <mergeCell ref="D25:E25"/>
    <mergeCell ref="C43:H44"/>
    <mergeCell ref="C45:I45"/>
    <mergeCell ref="C47:H47"/>
    <mergeCell ref="C48:I48"/>
    <mergeCell ref="G28:H28"/>
    <mergeCell ref="C37:I40"/>
    <mergeCell ref="C41:I41"/>
    <mergeCell ref="E68:I68"/>
    <mergeCell ref="C56:I56"/>
    <mergeCell ref="C57:I57"/>
    <mergeCell ref="C59:I59"/>
    <mergeCell ref="E60:I60"/>
    <mergeCell ref="E62:I62"/>
    <mergeCell ref="E63:I63"/>
    <mergeCell ref="E64:I64"/>
    <mergeCell ref="E65:I65"/>
    <mergeCell ref="E61:I61"/>
    <mergeCell ref="E67:I67"/>
    <mergeCell ref="E66:I66"/>
    <mergeCell ref="H100:I100"/>
    <mergeCell ref="C70:I70"/>
    <mergeCell ref="C71:I71"/>
    <mergeCell ref="C75:C76"/>
    <mergeCell ref="C77:C80"/>
    <mergeCell ref="C86:C90"/>
    <mergeCell ref="C97:I97"/>
    <mergeCell ref="C93:H93"/>
    <mergeCell ref="C94:I94"/>
    <mergeCell ref="C99:I99"/>
    <mergeCell ref="C3:G4"/>
    <mergeCell ref="C54:I54"/>
    <mergeCell ref="C33:I33"/>
    <mergeCell ref="C30:I30"/>
    <mergeCell ref="G22:H22"/>
    <mergeCell ref="C31:I32"/>
    <mergeCell ref="C51:I51"/>
    <mergeCell ref="C52:D52"/>
    <mergeCell ref="G16:H16"/>
    <mergeCell ref="G17:H17"/>
    <mergeCell ref="G24:H24"/>
    <mergeCell ref="G26:H26"/>
    <mergeCell ref="G36:H36"/>
    <mergeCell ref="G35:H35"/>
    <mergeCell ref="C50:I50"/>
    <mergeCell ref="C36:E36"/>
  </mergeCells>
  <conditionalFormatting sqref="D61:D68">
    <cfRule type="containsText" dxfId="92" priority="1" operator="containsText" text="High">
      <formula>NOT(ISERROR(SEARCH("High",D61)))</formula>
    </cfRule>
    <cfRule type="containsText" dxfId="91" priority="2" operator="containsText" text="Minor">
      <formula>NOT(ISERROR(SEARCH("Minor",D61)))</formula>
    </cfRule>
    <cfRule type="containsText" dxfId="90" priority="3" operator="containsText" text="Moderate">
      <formula>NOT(ISERROR(SEARCH("Moderate",D61)))</formula>
    </cfRule>
    <cfRule type="containsText" dxfId="89" priority="4" operator="containsText" text="Critical">
      <formula>NOT(ISERROR(SEARCH("Critical",D61)))</formula>
    </cfRule>
  </conditionalFormatting>
  <dataValidations count="3">
    <dataValidation allowBlank="1" showInputMessage="1" showErrorMessage="1" prompt="Atodwch dystiolaeth a dadansoddiad pellach o'r costau hyn" sqref="I18" xr:uid="{466D7E5E-989A-445B-AD45-A958420C6C3E}"/>
    <dataValidation type="list" allowBlank="1" showInputMessage="1" showErrorMessage="1" sqref="D61:D68" xr:uid="{6FB139D3-3A2E-453F-8A4B-031CAA0203C7}">
      <formula1>"Isel, Cymedrol, Uchel, Critigol"</formula1>
    </dataValidation>
    <dataValidation type="list" allowBlank="1" showInputMessage="1" showErrorMessage="1" sqref="H75:H81" xr:uid="{6C93BE15-08A4-4AB6-9A7B-9BCE6CB5E308}">
      <formula1>"Ydy, Nac ydy, Amherthnasol"</formula1>
    </dataValidation>
  </dataValidations>
  <pageMargins left="0.7" right="0.7" top="0.75" bottom="0.75" header="0.3" footer="0.3"/>
  <pageSetup paperSize="8" scale="75" fitToHeight="0" orientation="portrait" horizontalDpi="4294967294" r:id="rId1"/>
  <colBreaks count="1" manualBreakCount="1">
    <brk id="9" min="1" max="48" man="1"/>
  </colBreaks>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A227-7E06-4581-95A7-8DC5C9EB479A}">
  <sheetPr>
    <tabColor rgb="FF2DAE76"/>
  </sheetPr>
  <dimension ref="B2:AS96"/>
  <sheetViews>
    <sheetView topLeftCell="C1" zoomScale="80" zoomScaleNormal="80" workbookViewId="0">
      <selection activeCell="Q30" sqref="Q30"/>
    </sheetView>
  </sheetViews>
  <sheetFormatPr defaultColWidth="9.1796875" defaultRowHeight="13.5" x14ac:dyDescent="0.25"/>
  <cols>
    <col min="1" max="1" width="2.1796875" style="753" customWidth="1"/>
    <col min="2" max="2" width="6.1796875" style="753" customWidth="1"/>
    <col min="3" max="3" width="43.26953125" style="753" customWidth="1"/>
    <col min="4" max="4" width="20.453125" style="753" customWidth="1"/>
    <col min="5" max="5" width="17.54296875" style="753" customWidth="1"/>
    <col min="6" max="6" width="22.1796875" style="753" customWidth="1"/>
    <col min="7" max="7" width="15.54296875" style="753" customWidth="1"/>
    <col min="8" max="8" width="11.453125" style="753" hidden="1" customWidth="1"/>
    <col min="9" max="9" width="14.7265625" style="753" hidden="1" customWidth="1"/>
    <col min="10" max="10" width="26.26953125" style="753" hidden="1" customWidth="1"/>
    <col min="11" max="11" width="35" style="753" hidden="1" customWidth="1"/>
    <col min="12" max="12" width="42.1796875" style="753" customWidth="1"/>
    <col min="13" max="13" width="48.7265625" style="753" customWidth="1"/>
    <col min="14" max="14" width="52.26953125" style="753" customWidth="1"/>
    <col min="15" max="15" width="28.7265625" style="753" bestFit="1" customWidth="1"/>
    <col min="16" max="16" width="16.81640625" style="753" hidden="1" customWidth="1"/>
    <col min="17" max="17" width="21.54296875" style="753" customWidth="1"/>
    <col min="18" max="18" width="28.36328125" style="753" bestFit="1" customWidth="1"/>
    <col min="19" max="19" width="11.453125" style="753" hidden="1" customWidth="1"/>
    <col min="20" max="20" width="21.453125" style="753" customWidth="1"/>
    <col min="21" max="21" width="19.81640625" style="753" bestFit="1" customWidth="1"/>
    <col min="22" max="22" width="23.81640625" style="753" customWidth="1"/>
    <col min="23" max="23" width="29.1796875" style="753" hidden="1" customWidth="1"/>
    <col min="24" max="24" width="11.453125" style="753" hidden="1" customWidth="1"/>
    <col min="25" max="25" width="16.81640625" style="753" hidden="1" customWidth="1"/>
    <col min="26" max="26" width="16.54296875" style="753" customWidth="1"/>
    <col min="27" max="27" width="16.54296875" style="753" hidden="1" customWidth="1"/>
    <col min="28" max="28" width="33.453125" style="753" customWidth="1"/>
    <col min="29" max="29" width="30.81640625" style="753" hidden="1" customWidth="1"/>
    <col min="30" max="30" width="12.1796875" style="753" hidden="1" customWidth="1"/>
    <col min="31" max="31" width="3.453125" style="753" customWidth="1"/>
    <col min="32" max="32" width="9.1796875" style="753"/>
    <col min="33" max="39" width="9.1796875" style="753" hidden="1" customWidth="1"/>
    <col min="40" max="40" width="54.54296875" style="753" hidden="1" customWidth="1"/>
    <col min="41" max="41" width="14.81640625" style="753" hidden="1" customWidth="1"/>
    <col min="42" max="42" width="15.54296875" style="753" hidden="1" customWidth="1"/>
    <col min="43" max="43" width="21" style="753" hidden="1" customWidth="1"/>
    <col min="44" max="44" width="17.1796875" style="753" hidden="1" customWidth="1"/>
    <col min="45" max="45" width="20.1796875" style="753" hidden="1" customWidth="1"/>
    <col min="46" max="16384" width="9.1796875" style="753"/>
  </cols>
  <sheetData>
    <row r="2" spans="2:45" ht="6.75" customHeight="1" x14ac:dyDescent="0.25">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row>
    <row r="3" spans="2:45" s="754" customFormat="1" ht="34.5" customHeight="1" x14ac:dyDescent="0.25">
      <c r="B3" s="594"/>
      <c r="C3" s="883" t="s">
        <v>223</v>
      </c>
      <c r="D3" s="883"/>
      <c r="E3" s="883"/>
      <c r="F3" s="883"/>
      <c r="G3" s="883"/>
      <c r="H3" s="593"/>
      <c r="I3" s="593"/>
      <c r="J3" s="593"/>
      <c r="K3" s="593"/>
      <c r="L3" s="594"/>
      <c r="M3" s="594"/>
      <c r="N3" s="594"/>
      <c r="O3" s="594"/>
      <c r="P3" s="594"/>
      <c r="Q3" s="594"/>
      <c r="R3" s="594"/>
      <c r="S3" s="594"/>
      <c r="T3" s="594"/>
      <c r="U3" s="594"/>
      <c r="V3" s="594"/>
      <c r="W3" s="594"/>
      <c r="X3" s="594"/>
      <c r="Y3" s="594"/>
      <c r="Z3" s="594"/>
      <c r="AA3" s="594"/>
      <c r="AB3" s="594"/>
      <c r="AC3" s="594"/>
      <c r="AD3" s="594"/>
      <c r="AE3" s="594"/>
      <c r="AF3" s="594"/>
    </row>
    <row r="4" spans="2:45" ht="16.5" hidden="1" customHeight="1" x14ac:dyDescent="0.6">
      <c r="B4" s="596"/>
      <c r="C4" s="883"/>
      <c r="D4" s="883"/>
      <c r="E4" s="883"/>
      <c r="F4" s="883"/>
      <c r="G4" s="883"/>
      <c r="H4" s="595"/>
      <c r="I4" s="595"/>
      <c r="J4" s="595"/>
      <c r="K4" s="595"/>
      <c r="L4" s="595"/>
      <c r="M4" s="595"/>
      <c r="N4" s="595"/>
      <c r="O4" s="595"/>
      <c r="P4" s="595"/>
      <c r="Q4" s="595"/>
      <c r="R4" s="595"/>
      <c r="S4" s="595"/>
      <c r="T4" s="595"/>
      <c r="U4" s="595"/>
      <c r="V4" s="595"/>
      <c r="W4" s="595"/>
      <c r="X4" s="595"/>
      <c r="Y4" s="595"/>
      <c r="Z4" s="595"/>
      <c r="AA4" s="595"/>
      <c r="AB4" s="596"/>
      <c r="AC4" s="596"/>
      <c r="AD4" s="596"/>
      <c r="AE4" s="596"/>
      <c r="AF4" s="596"/>
    </row>
    <row r="5" spans="2:45" ht="7.5" customHeight="1" x14ac:dyDescent="0.6">
      <c r="B5" s="596"/>
      <c r="C5" s="653"/>
      <c r="D5" s="653"/>
      <c r="E5" s="653"/>
      <c r="F5" s="653"/>
      <c r="G5" s="653"/>
      <c r="H5" s="653"/>
      <c r="I5" s="653"/>
      <c r="J5" s="653"/>
      <c r="K5" s="653"/>
      <c r="L5" s="653"/>
      <c r="M5" s="653"/>
      <c r="N5" s="653"/>
      <c r="O5" s="653"/>
      <c r="P5" s="653"/>
      <c r="Q5" s="653"/>
      <c r="R5" s="653"/>
      <c r="S5" s="653"/>
      <c r="T5" s="653"/>
      <c r="U5" s="653"/>
      <c r="V5" s="653"/>
      <c r="W5" s="559"/>
      <c r="X5" s="559"/>
      <c r="Y5" s="559"/>
      <c r="Z5" s="595"/>
      <c r="AA5" s="595"/>
      <c r="AB5" s="596"/>
      <c r="AC5" s="596"/>
      <c r="AD5" s="596"/>
      <c r="AE5" s="596"/>
      <c r="AF5" s="596"/>
    </row>
    <row r="6" spans="2:45" ht="199.5" customHeight="1" x14ac:dyDescent="0.25">
      <c r="B6" s="596"/>
      <c r="C6" s="948" t="s">
        <v>224</v>
      </c>
      <c r="D6" s="948"/>
      <c r="E6" s="948"/>
      <c r="F6" s="948"/>
      <c r="G6" s="948"/>
      <c r="H6" s="948"/>
      <c r="I6" s="948"/>
      <c r="J6" s="948"/>
      <c r="K6" s="948"/>
      <c r="L6" s="948"/>
      <c r="M6" s="948"/>
      <c r="N6" s="948"/>
      <c r="O6" s="596"/>
      <c r="P6" s="596"/>
      <c r="Q6" s="596"/>
      <c r="R6" s="596"/>
      <c r="S6" s="596"/>
      <c r="T6" s="596"/>
      <c r="U6" s="596"/>
      <c r="V6" s="596"/>
      <c r="W6" s="596"/>
      <c r="X6" s="596"/>
      <c r="Y6" s="596"/>
      <c r="Z6" s="596"/>
      <c r="AA6" s="596"/>
      <c r="AB6" s="596"/>
      <c r="AC6" s="596"/>
      <c r="AD6" s="596"/>
      <c r="AE6" s="596"/>
      <c r="AF6" s="596"/>
    </row>
    <row r="7" spans="2:45" x14ac:dyDescent="0.25">
      <c r="B7" s="596"/>
      <c r="C7" s="948"/>
      <c r="D7" s="948"/>
      <c r="E7" s="948"/>
      <c r="F7" s="948"/>
      <c r="G7" s="948"/>
      <c r="H7" s="948"/>
      <c r="I7" s="948"/>
      <c r="J7" s="948"/>
      <c r="K7" s="948"/>
      <c r="L7" s="948"/>
      <c r="M7" s="948"/>
      <c r="N7" s="948"/>
      <c r="O7" s="596"/>
      <c r="P7" s="596"/>
      <c r="Q7" s="596"/>
      <c r="R7" s="596"/>
      <c r="S7" s="596"/>
      <c r="T7" s="596"/>
      <c r="U7" s="596"/>
      <c r="V7" s="596"/>
      <c r="W7" s="596"/>
      <c r="X7" s="596"/>
      <c r="Y7" s="596"/>
      <c r="Z7" s="596"/>
      <c r="AA7" s="596"/>
      <c r="AB7" s="596"/>
      <c r="AC7" s="596"/>
      <c r="AD7" s="596"/>
      <c r="AE7" s="596"/>
      <c r="AF7" s="596"/>
      <c r="AN7" s="753" t="s">
        <v>225</v>
      </c>
      <c r="AO7" s="801">
        <f ca="1">TODAY()</f>
        <v>45490</v>
      </c>
    </row>
    <row r="8" spans="2:45" ht="57" customHeight="1" x14ac:dyDescent="0.25">
      <c r="B8" s="596"/>
      <c r="C8" s="948"/>
      <c r="D8" s="948"/>
      <c r="E8" s="948"/>
      <c r="F8" s="948"/>
      <c r="G8" s="948"/>
      <c r="H8" s="948"/>
      <c r="I8" s="948"/>
      <c r="J8" s="948"/>
      <c r="K8" s="948"/>
      <c r="L8" s="948"/>
      <c r="M8" s="948"/>
      <c r="N8" s="948"/>
      <c r="O8" s="596"/>
      <c r="P8" s="596"/>
      <c r="Q8" s="596"/>
      <c r="R8" s="596"/>
      <c r="S8" s="596"/>
      <c r="T8" s="596"/>
      <c r="U8" s="596"/>
      <c r="V8" s="596"/>
      <c r="W8" s="596"/>
      <c r="X8" s="596"/>
      <c r="Y8" s="596"/>
      <c r="Z8" s="596"/>
      <c r="AA8" s="596"/>
      <c r="AB8" s="596"/>
      <c r="AC8" s="596"/>
      <c r="AD8" s="596"/>
      <c r="AE8" s="596"/>
      <c r="AF8" s="596"/>
      <c r="AN8" s="753" t="s">
        <v>226</v>
      </c>
      <c r="AO8" s="753">
        <f ca="1">YEAR(TODAY())</f>
        <v>2024</v>
      </c>
    </row>
    <row r="9" spans="2:45" ht="24" customHeight="1" x14ac:dyDescent="0.25">
      <c r="B9" s="596"/>
      <c r="C9" s="761" t="s">
        <v>227</v>
      </c>
      <c r="D9" s="759"/>
      <c r="E9" s="759"/>
      <c r="F9" s="759"/>
      <c r="G9" s="759"/>
      <c r="H9" s="759"/>
      <c r="I9" s="759"/>
      <c r="J9" s="759"/>
      <c r="K9" s="759"/>
      <c r="L9" s="759"/>
      <c r="M9" s="759"/>
      <c r="N9" s="759"/>
      <c r="O9" s="596"/>
      <c r="P9" s="596"/>
      <c r="Q9" s="596"/>
      <c r="R9" s="596"/>
      <c r="S9" s="596"/>
      <c r="T9" s="596"/>
      <c r="U9" s="596"/>
      <c r="V9" s="596"/>
      <c r="W9" s="596"/>
      <c r="X9" s="596"/>
      <c r="Y9" s="596"/>
      <c r="Z9" s="596"/>
      <c r="AA9" s="596"/>
      <c r="AB9" s="596"/>
      <c r="AC9" s="596"/>
      <c r="AD9" s="596"/>
      <c r="AE9" s="596"/>
      <c r="AF9" s="596"/>
    </row>
    <row r="10" spans="2:45" ht="18" customHeight="1" x14ac:dyDescent="0.25">
      <c r="B10" s="596"/>
      <c r="C10" s="598"/>
      <c r="D10" s="599"/>
      <c r="E10" s="599"/>
      <c r="F10" s="599"/>
      <c r="G10" s="599"/>
      <c r="H10" s="599"/>
      <c r="I10" s="599"/>
      <c r="J10" s="599"/>
      <c r="K10" s="599"/>
      <c r="L10" s="599"/>
      <c r="M10" s="599"/>
      <c r="N10" s="599"/>
      <c r="O10" s="596"/>
      <c r="P10" s="596"/>
      <c r="Q10" s="596"/>
      <c r="R10" s="596"/>
      <c r="S10" s="596"/>
      <c r="T10" s="596"/>
      <c r="U10" s="596"/>
      <c r="V10" s="596"/>
      <c r="W10" s="596"/>
      <c r="X10" s="596"/>
      <c r="Y10" s="596"/>
      <c r="Z10" s="596"/>
      <c r="AA10" s="596"/>
      <c r="AB10" s="596"/>
      <c r="AC10" s="596"/>
      <c r="AD10" s="596"/>
      <c r="AE10" s="596"/>
      <c r="AF10" s="596"/>
      <c r="AN10" s="614" t="s">
        <v>228</v>
      </c>
      <c r="AO10" s="797">
        <f>'Business Case'!D13</f>
        <v>0</v>
      </c>
    </row>
    <row r="11" spans="2:45" ht="18" customHeight="1" x14ac:dyDescent="0.25">
      <c r="B11" s="596"/>
      <c r="C11" s="806" t="s">
        <v>229</v>
      </c>
      <c r="D11" s="602"/>
      <c r="E11" s="602"/>
      <c r="F11" s="602"/>
      <c r="G11" s="609"/>
      <c r="H11" s="607"/>
      <c r="I11" s="607"/>
      <c r="J11" s="607"/>
      <c r="K11" s="609"/>
      <c r="L11" s="596"/>
      <c r="M11" s="610"/>
      <c r="N11" s="743" t="str">
        <f>'Project Compliance Tool'!$P$65</f>
        <v/>
      </c>
      <c r="O11" s="601"/>
      <c r="P11" s="601"/>
      <c r="Q11" s="596"/>
      <c r="R11" s="596"/>
      <c r="S11" s="596"/>
      <c r="T11" s="596"/>
      <c r="U11" s="596"/>
      <c r="V11" s="596"/>
      <c r="W11" s="596"/>
      <c r="X11" s="596"/>
      <c r="Y11" s="596"/>
      <c r="Z11" s="596"/>
      <c r="AA11" s="596"/>
      <c r="AB11" s="596"/>
      <c r="AC11" s="596"/>
      <c r="AD11" s="596"/>
      <c r="AE11" s="596"/>
      <c r="AF11" s="596"/>
      <c r="AN11" s="791" t="s">
        <v>230</v>
      </c>
      <c r="AO11" s="780">
        <f>IF(N18="","",(SUMIF(Table145242[Hide],"&gt;0",Table145242[Hide])))</f>
        <v>0</v>
      </c>
    </row>
    <row r="12" spans="2:45" ht="18" customHeight="1" x14ac:dyDescent="0.25">
      <c r="B12" s="596"/>
      <c r="C12" s="806" t="s">
        <v>231</v>
      </c>
      <c r="D12" s="806"/>
      <c r="E12" s="811"/>
      <c r="F12" s="811"/>
      <c r="G12" s="811"/>
      <c r="H12" s="811"/>
      <c r="I12" s="811"/>
      <c r="J12" s="811"/>
      <c r="K12" s="811"/>
      <c r="L12" s="596"/>
      <c r="M12" s="599"/>
      <c r="N12" s="816" t="e">
        <f>ROUNDUP('Project Compliance Tool'!Q65,0)</f>
        <v>#VALUE!</v>
      </c>
      <c r="O12" s="596"/>
      <c r="P12" s="596"/>
      <c r="Q12" s="596"/>
      <c r="R12" s="596"/>
      <c r="S12" s="596"/>
      <c r="T12" s="596"/>
      <c r="U12" s="596"/>
      <c r="V12" s="596"/>
      <c r="W12" s="596"/>
      <c r="X12" s="596"/>
      <c r="Y12" s="596"/>
      <c r="Z12" s="596"/>
      <c r="AA12" s="596"/>
      <c r="AB12" s="596"/>
      <c r="AC12" s="596"/>
      <c r="AD12" s="596"/>
      <c r="AE12" s="596"/>
      <c r="AF12" s="596"/>
      <c r="AN12" s="787" t="s">
        <v>232</v>
      </c>
      <c r="AO12" s="779">
        <v>10</v>
      </c>
    </row>
    <row r="13" spans="2:45" ht="18" customHeight="1" x14ac:dyDescent="0.25">
      <c r="B13" s="596"/>
      <c r="C13" s="783"/>
      <c r="D13" s="599"/>
      <c r="E13" s="599"/>
      <c r="F13" s="599"/>
      <c r="G13" s="599"/>
      <c r="H13" s="599"/>
      <c r="I13" s="599"/>
      <c r="J13" s="599"/>
      <c r="K13" s="599"/>
      <c r="L13" s="596"/>
      <c r="M13" s="599"/>
      <c r="N13" s="599"/>
      <c r="O13" s="596"/>
      <c r="P13" s="596"/>
      <c r="Q13" s="596"/>
      <c r="R13" s="596"/>
      <c r="S13" s="596"/>
      <c r="T13" s="596"/>
      <c r="U13" s="596"/>
      <c r="V13" s="596"/>
      <c r="W13" s="596"/>
      <c r="X13" s="596"/>
      <c r="Y13" s="596"/>
      <c r="Z13" s="596"/>
      <c r="AA13" s="596"/>
      <c r="AB13" s="596"/>
      <c r="AC13" s="596"/>
      <c r="AD13" s="596"/>
      <c r="AE13" s="596"/>
      <c r="AF13" s="596"/>
      <c r="AN13" s="787" t="s">
        <v>233</v>
      </c>
      <c r="AO13" s="779">
        <v>2024</v>
      </c>
      <c r="AP13" s="805"/>
      <c r="AQ13" s="805"/>
      <c r="AR13" s="805"/>
      <c r="AS13" s="805"/>
    </row>
    <row r="14" spans="2:45" ht="18" customHeight="1" x14ac:dyDescent="0.25">
      <c r="B14" s="596"/>
      <c r="C14" s="650"/>
      <c r="D14" s="650"/>
      <c r="E14" s="650"/>
      <c r="F14" s="650"/>
      <c r="G14" s="650"/>
      <c r="H14" s="599"/>
      <c r="I14" s="599"/>
      <c r="J14" s="599"/>
      <c r="K14" s="599"/>
      <c r="L14" s="596"/>
      <c r="M14" s="599"/>
      <c r="N14" s="811">
        <v>4</v>
      </c>
      <c r="O14" s="596"/>
      <c r="P14" s="596"/>
      <c r="Q14" s="596"/>
      <c r="R14" s="596"/>
      <c r="S14" s="596"/>
      <c r="T14" s="596"/>
      <c r="U14" s="596"/>
      <c r="V14" s="596"/>
      <c r="W14" s="596"/>
      <c r="X14" s="596"/>
      <c r="Y14" s="596"/>
      <c r="Z14" s="596"/>
      <c r="AA14" s="596"/>
      <c r="AB14" s="596"/>
      <c r="AC14" s="596"/>
      <c r="AD14" s="596"/>
      <c r="AE14" s="596"/>
      <c r="AF14" s="596"/>
      <c r="AN14" s="788" t="s">
        <v>234</v>
      </c>
      <c r="AO14" s="784" t="str">
        <f>IF(N18="","",(IF(OR(AO28=3,AO28=4,AO28=5,AO28=6,AO28=7,AO28=8,AO28=9,AO28=10,AO28=11,AO28=12),AO32&amp;AO33&amp;AO35,AO32&amp;AO33&amp;AN27)))</f>
        <v>28/02/1900</v>
      </c>
      <c r="AP14" s="788" t="s">
        <v>235</v>
      </c>
      <c r="AQ14" s="804">
        <f>EDATE(AO14,12)</f>
        <v>425</v>
      </c>
      <c r="AR14" s="788" t="s">
        <v>236</v>
      </c>
      <c r="AS14" s="804">
        <f>EDATE(AQ14,12)</f>
        <v>790</v>
      </c>
    </row>
    <row r="15" spans="2:45" ht="18" customHeight="1" x14ac:dyDescent="0.25">
      <c r="B15" s="596"/>
      <c r="C15" s="602" t="s">
        <v>237</v>
      </c>
      <c r="D15" s="806"/>
      <c r="E15" s="806"/>
      <c r="F15" s="806"/>
      <c r="G15" s="651"/>
      <c r="H15" s="600"/>
      <c r="I15" s="600"/>
      <c r="J15" s="600"/>
      <c r="K15" s="560"/>
      <c r="L15" s="596"/>
      <c r="M15" s="596"/>
      <c r="N15" s="814"/>
      <c r="O15" s="812" t="str">
        <f>IF('Business Case'!D13="","Nodwch ddyddiad cyflwyno i'r tab achos busnes","")</f>
        <v>Nodwch ddyddiad cyflwyno i'r tab achos busnes</v>
      </c>
      <c r="P15" s="601"/>
      <c r="Q15" s="596"/>
      <c r="R15" s="596"/>
      <c r="S15" s="596"/>
      <c r="T15" s="596"/>
      <c r="U15" s="596"/>
      <c r="V15" s="596"/>
      <c r="W15" s="596"/>
      <c r="X15" s="596"/>
      <c r="Y15" s="596"/>
      <c r="Z15" s="596"/>
      <c r="AA15" s="596"/>
      <c r="AB15" s="596"/>
      <c r="AC15" s="596"/>
      <c r="AD15" s="596"/>
      <c r="AE15" s="596"/>
      <c r="AF15" s="596"/>
      <c r="AN15" s="788" t="s">
        <v>238</v>
      </c>
      <c r="AO15" s="784" t="str">
        <f>TEXT(D51,"DD/MM/YYYY")</f>
        <v>11/02/1900</v>
      </c>
      <c r="AP15" s="788" t="s">
        <v>239</v>
      </c>
      <c r="AQ15" s="804" t="str">
        <f ca="1">D52</f>
        <v>N/A</v>
      </c>
      <c r="AR15" s="788" t="s">
        <v>240</v>
      </c>
      <c r="AS15" s="804" t="str">
        <f ca="1">D53</f>
        <v>N/A</v>
      </c>
    </row>
    <row r="16" spans="2:45" ht="18" customHeight="1" x14ac:dyDescent="0.25">
      <c r="B16" s="596"/>
      <c r="C16" s="953" t="s">
        <v>241</v>
      </c>
      <c r="D16" s="953"/>
      <c r="E16" s="953"/>
      <c r="F16" s="953"/>
      <c r="G16" s="953"/>
      <c r="H16" s="953"/>
      <c r="I16" s="953"/>
      <c r="J16" s="953"/>
      <c r="K16" s="953"/>
      <c r="L16" s="953"/>
      <c r="M16" s="953"/>
      <c r="N16" s="561"/>
      <c r="O16" s="601"/>
      <c r="P16" s="601"/>
      <c r="Q16" s="596"/>
      <c r="R16" s="596"/>
      <c r="S16" s="596"/>
      <c r="T16" s="596"/>
      <c r="U16" s="596"/>
      <c r="V16" s="596"/>
      <c r="W16" s="596"/>
      <c r="X16" s="596"/>
      <c r="Y16" s="596"/>
      <c r="Z16" s="596"/>
      <c r="AA16" s="596"/>
      <c r="AB16" s="596"/>
      <c r="AC16" s="596"/>
      <c r="AD16" s="596"/>
      <c r="AE16" s="596"/>
      <c r="AF16" s="596"/>
      <c r="AN16" s="788" t="s">
        <v>242</v>
      </c>
      <c r="AO16" s="779">
        <f>IF(N18="","",(IF(OR(AO28=3,AO28=4,AO28=5,AO28=6,AO28=7,AO28=8,AO28=9,AO28=10,AO28=11,AO28=12),AN27,SUM(AN27-1))))</f>
        <v>1899</v>
      </c>
      <c r="AP16" s="788" t="s">
        <v>243</v>
      </c>
      <c r="AQ16" s="779" t="e">
        <f ca="1">12-AQ17</f>
        <v>#VALUE!</v>
      </c>
      <c r="AR16" s="788" t="s">
        <v>243</v>
      </c>
      <c r="AS16" s="779" t="e">
        <f ca="1">12-AS17</f>
        <v>#VALUE!</v>
      </c>
    </row>
    <row r="17" spans="2:45" ht="18" customHeight="1" x14ac:dyDescent="0.25">
      <c r="B17" s="596"/>
      <c r="C17" s="953"/>
      <c r="D17" s="953"/>
      <c r="E17" s="953"/>
      <c r="F17" s="953"/>
      <c r="G17" s="953"/>
      <c r="H17" s="953"/>
      <c r="I17" s="953"/>
      <c r="J17" s="953"/>
      <c r="K17" s="953"/>
      <c r="L17" s="953"/>
      <c r="M17" s="953"/>
      <c r="N17" s="562"/>
      <c r="O17" s="596"/>
      <c r="P17" s="596"/>
      <c r="Q17" s="596"/>
      <c r="R17" s="596"/>
      <c r="S17" s="596"/>
      <c r="T17" s="596"/>
      <c r="U17" s="596"/>
      <c r="V17" s="596"/>
      <c r="W17" s="596"/>
      <c r="X17" s="596"/>
      <c r="Y17" s="596"/>
      <c r="Z17" s="596"/>
      <c r="AA17" s="596"/>
      <c r="AB17" s="596"/>
      <c r="AC17" s="596"/>
      <c r="AD17" s="596"/>
      <c r="AE17" s="596"/>
      <c r="AF17" s="596"/>
      <c r="AN17" s="631"/>
      <c r="AO17" s="781"/>
      <c r="AP17" s="788" t="s">
        <v>244</v>
      </c>
      <c r="AQ17" s="779" t="e">
        <f ca="1">DATEDIF(AQ15,AQ14,"m")</f>
        <v>#VALUE!</v>
      </c>
      <c r="AR17" s="788" t="s">
        <v>244</v>
      </c>
      <c r="AS17" s="779" t="e">
        <f ca="1">DATEDIF(AS15,AS14,"m")</f>
        <v>#VALUE!</v>
      </c>
    </row>
    <row r="18" spans="2:45" ht="18" customHeight="1" x14ac:dyDescent="0.25">
      <c r="B18" s="596"/>
      <c r="C18" s="806" t="s">
        <v>245</v>
      </c>
      <c r="D18" s="806"/>
      <c r="E18" s="806"/>
      <c r="F18" s="806"/>
      <c r="G18" s="806"/>
      <c r="H18" s="600"/>
      <c r="I18" s="600"/>
      <c r="J18" s="600"/>
      <c r="K18" s="605"/>
      <c r="L18" s="596"/>
      <c r="M18" s="606"/>
      <c r="N18" s="743" t="str">
        <f>IFERROR(IF(N15=1,D49,(-PMT(D50,N15,D49,0,0))),"Nodwch hyd talu'r benthyciad yn ôl yn 1a.")</f>
        <v>Nodwch hyd talu'r benthyciad yn ôl yn 1a.</v>
      </c>
      <c r="O18" s="601"/>
      <c r="P18" s="601"/>
      <c r="Q18" s="596"/>
      <c r="R18" s="596"/>
      <c r="S18" s="596"/>
      <c r="T18" s="596"/>
      <c r="U18" s="596"/>
      <c r="V18" s="596"/>
      <c r="W18" s="596"/>
      <c r="X18" s="596"/>
      <c r="Y18" s="596"/>
      <c r="Z18" s="596"/>
      <c r="AA18" s="596"/>
      <c r="AB18" s="596"/>
      <c r="AC18" s="596"/>
      <c r="AD18" s="596"/>
      <c r="AE18" s="596"/>
      <c r="AF18" s="596"/>
      <c r="AN18" s="789" t="s">
        <v>246</v>
      </c>
      <c r="AO18" s="780" t="e">
        <f>IF(N18="","",((SUM(D49/12)*G50)*D50))</f>
        <v>#VALUE!</v>
      </c>
      <c r="AP18" s="753" t="s">
        <v>247</v>
      </c>
      <c r="AQ18" s="805" t="e">
        <f ca="1">(($N$31/12)*AQ16)*$D$50</f>
        <v>#VALUE!</v>
      </c>
      <c r="AR18" s="801" t="s">
        <v>247</v>
      </c>
      <c r="AS18" s="805" t="e">
        <f ca="1">((N31+N32)/12)*AS16*$D$50</f>
        <v>#VALUE!</v>
      </c>
    </row>
    <row r="19" spans="2:45" ht="18" customHeight="1" x14ac:dyDescent="0.25">
      <c r="B19" s="596"/>
      <c r="C19" s="807" t="s">
        <v>248</v>
      </c>
      <c r="D19" s="807"/>
      <c r="E19" s="807"/>
      <c r="F19" s="807"/>
      <c r="G19" s="806"/>
      <c r="H19" s="600"/>
      <c r="I19" s="600"/>
      <c r="J19" s="600"/>
      <c r="K19" s="605"/>
      <c r="L19" s="596"/>
      <c r="M19" s="606"/>
      <c r="N19" s="607"/>
      <c r="O19" s="601"/>
      <c r="P19" s="601"/>
      <c r="Q19" s="596"/>
      <c r="R19" s="596"/>
      <c r="S19" s="596"/>
      <c r="T19" s="596"/>
      <c r="U19" s="596"/>
      <c r="V19" s="596"/>
      <c r="W19" s="596"/>
      <c r="X19" s="596"/>
      <c r="Y19" s="596"/>
      <c r="Z19" s="596"/>
      <c r="AA19" s="596"/>
      <c r="AB19" s="596"/>
      <c r="AC19" s="596"/>
      <c r="AD19" s="596"/>
      <c r="AE19" s="596"/>
      <c r="AF19" s="596"/>
      <c r="AN19" s="789" t="s">
        <v>249</v>
      </c>
      <c r="AO19" s="780" t="e">
        <f>IF(N18="","",(SUM(AO20-AO18)))</f>
        <v>#VALUE!</v>
      </c>
      <c r="AP19" s="753" t="s">
        <v>250</v>
      </c>
      <c r="AQ19" s="805" t="e">
        <f ca="1">(($N$31+$N$32)/12)*AQ17*$D$50</f>
        <v>#VALUE!</v>
      </c>
      <c r="AR19" s="753" t="s">
        <v>250</v>
      </c>
      <c r="AS19" s="805" t="e">
        <f ca="1">((N31+N32+N33)/12)*AS17*$D$50</f>
        <v>#VALUE!</v>
      </c>
    </row>
    <row r="20" spans="2:45" ht="18" customHeight="1" x14ac:dyDescent="0.35">
      <c r="B20" s="596"/>
      <c r="C20" s="602"/>
      <c r="D20" s="602"/>
      <c r="E20" s="602"/>
      <c r="F20" s="602"/>
      <c r="G20" s="603"/>
      <c r="H20" s="607"/>
      <c r="I20" s="607"/>
      <c r="J20" s="607"/>
      <c r="K20" s="608"/>
      <c r="L20" s="596"/>
      <c r="M20" s="562"/>
      <c r="N20" s="607"/>
      <c r="O20" s="601"/>
      <c r="P20" s="601"/>
      <c r="Q20" s="596"/>
      <c r="R20" s="596"/>
      <c r="S20" s="596"/>
      <c r="T20" s="596"/>
      <c r="U20" s="596"/>
      <c r="V20" s="596"/>
      <c r="W20" s="596"/>
      <c r="X20" s="596"/>
      <c r="Y20" s="596"/>
      <c r="Z20" s="596"/>
      <c r="AA20" s="596"/>
      <c r="AB20" s="596"/>
      <c r="AC20" s="596"/>
      <c r="AD20" s="596"/>
      <c r="AE20" s="596"/>
      <c r="AF20" s="596"/>
      <c r="AN20" s="790" t="s">
        <v>251</v>
      </c>
      <c r="AO20" s="785">
        <f>IF(N18="","",(SUM(AC70:AC93)))</f>
        <v>0</v>
      </c>
      <c r="AP20" s="753" t="s">
        <v>252</v>
      </c>
      <c r="AQ20" s="805" t="e">
        <f ca="1">SUM(AQ18:AQ19)</f>
        <v>#VALUE!</v>
      </c>
      <c r="AR20" s="753" t="s">
        <v>252</v>
      </c>
      <c r="AS20" s="805" t="e">
        <f ca="1">SUM(AS18:AS19)</f>
        <v>#VALUE!</v>
      </c>
    </row>
    <row r="21" spans="2:45" ht="18" customHeight="1" x14ac:dyDescent="0.25">
      <c r="B21" s="752"/>
      <c r="C21" s="602"/>
      <c r="D21" s="602"/>
      <c r="E21" s="602"/>
      <c r="F21" s="602"/>
      <c r="G21" s="602"/>
      <c r="H21" s="607"/>
      <c r="I21" s="607"/>
      <c r="J21" s="607"/>
      <c r="K21" s="608"/>
      <c r="L21" s="596"/>
      <c r="M21" s="562"/>
      <c r="N21" s="601"/>
      <c r="O21" s="601"/>
      <c r="P21" s="601"/>
      <c r="Q21" s="596"/>
      <c r="R21" s="596"/>
      <c r="S21" s="596"/>
      <c r="T21" s="596"/>
      <c r="U21" s="596"/>
      <c r="V21" s="596"/>
      <c r="W21" s="596"/>
      <c r="X21" s="596"/>
      <c r="Y21" s="596"/>
      <c r="Z21" s="596"/>
      <c r="AA21" s="596"/>
      <c r="AB21" s="596"/>
      <c r="AC21" s="596"/>
      <c r="AD21" s="596"/>
      <c r="AE21" s="596"/>
      <c r="AF21" s="596"/>
      <c r="AN21" s="792" t="s">
        <v>253</v>
      </c>
      <c r="AO21" s="786">
        <f ca="1">IF(N18="","",(SUM(M60-AO11)))</f>
        <v>0</v>
      </c>
    </row>
    <row r="22" spans="2:45" ht="18" customHeight="1" x14ac:dyDescent="0.25">
      <c r="B22" s="752"/>
      <c r="C22" s="806" t="s">
        <v>254</v>
      </c>
      <c r="D22" s="806"/>
      <c r="E22" s="806"/>
      <c r="F22" s="806"/>
      <c r="G22" s="806"/>
      <c r="H22" s="600"/>
      <c r="I22" s="600"/>
      <c r="J22" s="600"/>
      <c r="K22" s="600"/>
      <c r="L22" s="596"/>
      <c r="M22" s="565"/>
      <c r="N22" s="564"/>
      <c r="O22" s="601"/>
      <c r="P22" s="601"/>
      <c r="Q22" s="596"/>
      <c r="R22" s="596"/>
      <c r="S22" s="596"/>
      <c r="T22" s="596"/>
      <c r="U22" s="596"/>
      <c r="V22" s="596"/>
      <c r="W22" s="596"/>
      <c r="X22" s="596"/>
      <c r="Y22" s="596"/>
      <c r="Z22" s="596"/>
      <c r="AA22" s="596"/>
      <c r="AB22" s="596"/>
      <c r="AC22" s="596"/>
      <c r="AD22" s="596"/>
      <c r="AE22" s="596"/>
      <c r="AF22" s="596"/>
      <c r="AN22" s="752" t="s">
        <v>256</v>
      </c>
      <c r="AO22" s="773" t="str">
        <f>IF(MONTH(D54)&lt;4,YEAR(D54)-1 &amp; "-" &amp; RIGHT(YEAR(D54),2),YEAR(D54) &amp; "-" &amp; RIGHT(YEAR(D54)+1,2))</f>
        <v>1899-00</v>
      </c>
    </row>
    <row r="23" spans="2:45" ht="18" customHeight="1" x14ac:dyDescent="0.25">
      <c r="B23" s="752"/>
      <c r="C23" s="953" t="s">
        <v>257</v>
      </c>
      <c r="D23" s="953"/>
      <c r="E23" s="953"/>
      <c r="F23" s="953"/>
      <c r="G23" s="652"/>
      <c r="H23" s="600"/>
      <c r="I23" s="600"/>
      <c r="J23" s="600"/>
      <c r="K23" s="600"/>
      <c r="L23" s="596"/>
      <c r="M23" s="563"/>
      <c r="N23" s="949" t="s">
        <v>258</v>
      </c>
      <c r="O23" s="601"/>
      <c r="P23" s="601"/>
      <c r="Q23" s="596"/>
      <c r="R23" s="596"/>
      <c r="S23" s="596"/>
      <c r="T23" s="596"/>
      <c r="U23" s="596"/>
      <c r="V23" s="596"/>
      <c r="W23" s="596"/>
      <c r="X23" s="596"/>
      <c r="Y23" s="596"/>
      <c r="Z23" s="596"/>
      <c r="AA23" s="596"/>
      <c r="AB23" s="596"/>
      <c r="AC23" s="596"/>
      <c r="AD23" s="596"/>
      <c r="AE23" s="596"/>
      <c r="AF23" s="596"/>
      <c r="AN23" s="752" t="s">
        <v>259</v>
      </c>
      <c r="AO23" s="772" t="str">
        <f>IF(AO22="2024-25","10",IF(AO22="2025-26","9",IF(AO22="2026-27","8",IF(AO22="2027-28","7","Input Project Complete Date"))))</f>
        <v>Input Project Complete Date</v>
      </c>
    </row>
    <row r="24" spans="2:45" ht="18" customHeight="1" x14ac:dyDescent="0.25">
      <c r="B24" s="752"/>
      <c r="C24" s="953"/>
      <c r="D24" s="953"/>
      <c r="E24" s="953"/>
      <c r="F24" s="953"/>
      <c r="G24" s="602"/>
      <c r="H24" s="607"/>
      <c r="I24" s="607"/>
      <c r="J24" s="607"/>
      <c r="K24" s="607"/>
      <c r="L24" s="596"/>
      <c r="M24" s="563"/>
      <c r="N24" s="950"/>
      <c r="O24" s="601"/>
      <c r="P24" s="601"/>
      <c r="Q24" s="596"/>
      <c r="R24" s="596"/>
      <c r="S24" s="596"/>
      <c r="T24" s="596"/>
      <c r="U24" s="596"/>
      <c r="V24" s="596"/>
      <c r="W24" s="596"/>
      <c r="X24" s="596"/>
      <c r="Y24" s="596"/>
      <c r="Z24" s="596"/>
      <c r="AA24" s="596"/>
      <c r="AB24" s="596"/>
      <c r="AC24" s="596"/>
      <c r="AD24" s="596"/>
      <c r="AE24" s="596"/>
      <c r="AF24" s="596"/>
      <c r="AN24" s="774" t="s">
        <v>259</v>
      </c>
      <c r="AO24" s="778" t="e">
        <f>VALUE(AO23)</f>
        <v>#VALUE!</v>
      </c>
    </row>
    <row r="25" spans="2:45" ht="18" customHeight="1" x14ac:dyDescent="0.25">
      <c r="B25" s="752"/>
      <c r="C25" s="602"/>
      <c r="D25" s="602"/>
      <c r="E25" s="602"/>
      <c r="F25" s="602"/>
      <c r="G25" s="602"/>
      <c r="H25" s="607"/>
      <c r="I25" s="607"/>
      <c r="J25" s="607"/>
      <c r="K25" s="607"/>
      <c r="L25" s="596"/>
      <c r="M25" s="563"/>
      <c r="N25" s="950"/>
      <c r="O25" s="601"/>
      <c r="P25" s="601"/>
      <c r="Q25" s="596"/>
      <c r="R25" s="596"/>
      <c r="S25" s="596"/>
      <c r="T25" s="596"/>
      <c r="U25" s="596"/>
      <c r="V25" s="596"/>
      <c r="W25" s="596"/>
      <c r="X25" s="596"/>
      <c r="Y25" s="596"/>
      <c r="Z25" s="596"/>
      <c r="AA25" s="596"/>
      <c r="AB25" s="596"/>
      <c r="AC25" s="596"/>
      <c r="AD25" s="596"/>
      <c r="AE25" s="596"/>
      <c r="AF25" s="596"/>
      <c r="AN25" s="774" t="s">
        <v>260</v>
      </c>
      <c r="AO25" s="778">
        <f>YEAR(D54)</f>
        <v>1900</v>
      </c>
    </row>
    <row r="26" spans="2:45" ht="18" customHeight="1" x14ac:dyDescent="0.25">
      <c r="B26" s="752"/>
      <c r="C26" s="602"/>
      <c r="D26" s="602"/>
      <c r="E26" s="602"/>
      <c r="F26" s="602"/>
      <c r="G26" s="602"/>
      <c r="H26" s="607"/>
      <c r="I26" s="607"/>
      <c r="J26" s="607"/>
      <c r="K26" s="607"/>
      <c r="L26" s="596"/>
      <c r="M26" s="563"/>
      <c r="N26" s="951"/>
      <c r="O26" s="601"/>
      <c r="P26" s="601"/>
      <c r="Q26" s="596"/>
      <c r="R26" s="596"/>
      <c r="S26" s="596"/>
      <c r="T26" s="596"/>
      <c r="U26" s="596"/>
      <c r="V26" s="596"/>
      <c r="W26" s="596"/>
      <c r="X26" s="596"/>
      <c r="Y26" s="596"/>
      <c r="Z26" s="596"/>
      <c r="AA26" s="596"/>
      <c r="AB26" s="596"/>
      <c r="AC26" s="596"/>
      <c r="AD26" s="596"/>
      <c r="AE26" s="596"/>
      <c r="AF26" s="596"/>
      <c r="AN26" s="775" t="s">
        <v>261</v>
      </c>
      <c r="AO26" s="778" t="str">
        <f>TRIM(AO25)</f>
        <v>1900</v>
      </c>
    </row>
    <row r="27" spans="2:45" ht="18" customHeight="1" x14ac:dyDescent="0.25">
      <c r="B27" s="752"/>
      <c r="C27" s="602"/>
      <c r="D27" s="602"/>
      <c r="E27" s="602"/>
      <c r="F27" s="602"/>
      <c r="G27" s="602"/>
      <c r="H27" s="607"/>
      <c r="I27" s="607"/>
      <c r="J27" s="607"/>
      <c r="K27" s="607"/>
      <c r="L27" s="596"/>
      <c r="M27" s="563"/>
      <c r="N27" s="799"/>
      <c r="O27" s="601"/>
      <c r="P27" s="601"/>
      <c r="Q27" s="596"/>
      <c r="R27" s="596"/>
      <c r="S27" s="596"/>
      <c r="T27" s="596"/>
      <c r="U27" s="596"/>
      <c r="V27" s="596"/>
      <c r="W27" s="596"/>
      <c r="X27" s="596"/>
      <c r="Y27" s="596"/>
      <c r="Z27" s="596"/>
      <c r="AA27" s="596"/>
      <c r="AB27" s="596"/>
      <c r="AC27" s="596"/>
      <c r="AD27" s="596"/>
      <c r="AE27" s="596"/>
      <c r="AF27" s="596"/>
      <c r="AN27" s="776" t="str">
        <f>TRIM(AO27)</f>
        <v>1900</v>
      </c>
      <c r="AO27" s="778" t="str">
        <f>RIGHT(AO15,4)</f>
        <v>1900</v>
      </c>
    </row>
    <row r="28" spans="2:45" ht="18" customHeight="1" x14ac:dyDescent="0.25">
      <c r="B28" s="752"/>
      <c r="C28" s="946" t="s">
        <v>262</v>
      </c>
      <c r="D28" s="946"/>
      <c r="E28" s="946"/>
      <c r="F28" s="946"/>
      <c r="G28" s="652"/>
      <c r="H28" s="607"/>
      <c r="I28" s="607"/>
      <c r="J28" s="607"/>
      <c r="K28" s="607"/>
      <c r="L28" s="596"/>
      <c r="M28" s="563"/>
      <c r="N28" s="564"/>
      <c r="O28" s="601"/>
      <c r="P28" s="601"/>
      <c r="Q28" s="596"/>
      <c r="R28" s="596"/>
      <c r="S28" s="596"/>
      <c r="T28" s="596"/>
      <c r="U28" s="596"/>
      <c r="V28" s="596"/>
      <c r="W28" s="596"/>
      <c r="X28" s="596"/>
      <c r="Y28" s="596"/>
      <c r="Z28" s="596"/>
      <c r="AA28" s="596"/>
      <c r="AB28" s="596"/>
      <c r="AC28" s="596"/>
      <c r="AD28" s="596"/>
      <c r="AE28" s="596"/>
      <c r="AF28" s="596"/>
      <c r="AN28" s="775" t="s">
        <v>263</v>
      </c>
      <c r="AO28" s="778">
        <f>MONTH(D51)</f>
        <v>2</v>
      </c>
    </row>
    <row r="29" spans="2:45" ht="18" customHeight="1" x14ac:dyDescent="0.25">
      <c r="B29" s="752"/>
      <c r="C29" s="946" t="s">
        <v>264</v>
      </c>
      <c r="D29" s="946"/>
      <c r="E29" s="946"/>
      <c r="F29" s="946"/>
      <c r="G29" s="946"/>
      <c r="H29" s="607"/>
      <c r="I29" s="607"/>
      <c r="J29" s="607"/>
      <c r="K29" s="607"/>
      <c r="L29" s="596"/>
      <c r="M29" s="563"/>
      <c r="N29" s="799"/>
      <c r="O29" s="601"/>
      <c r="P29" s="601"/>
      <c r="Q29" s="596"/>
      <c r="R29" s="596"/>
      <c r="S29" s="596"/>
      <c r="T29" s="596"/>
      <c r="U29" s="596"/>
      <c r="V29" s="596"/>
      <c r="W29" s="596"/>
      <c r="X29" s="596"/>
      <c r="Y29" s="596"/>
      <c r="Z29" s="596"/>
      <c r="AA29" s="596"/>
      <c r="AB29" s="596"/>
      <c r="AC29" s="596"/>
      <c r="AD29" s="596"/>
      <c r="AE29" s="596"/>
      <c r="AF29" s="596"/>
      <c r="AN29" s="775" t="s">
        <v>265</v>
      </c>
      <c r="AO29" s="778" t="str">
        <f>IFERROR(IF(OR(N66=11,N66=12),AO26+1,AO26),"")</f>
        <v>1900</v>
      </c>
    </row>
    <row r="30" spans="2:45" ht="25" customHeight="1" x14ac:dyDescent="0.25">
      <c r="B30" s="752"/>
      <c r="C30" s="602"/>
      <c r="D30" s="602"/>
      <c r="E30" s="607"/>
      <c r="F30" s="596"/>
      <c r="G30" s="596"/>
      <c r="H30" s="607"/>
      <c r="I30" s="596"/>
      <c r="J30" s="596"/>
      <c r="K30" s="596"/>
      <c r="L30" s="809" t="s">
        <v>266</v>
      </c>
      <c r="M30" s="809" t="s">
        <v>267</v>
      </c>
      <c r="N30" s="809" t="s">
        <v>268</v>
      </c>
      <c r="O30" s="601"/>
      <c r="P30" s="601"/>
      <c r="Q30" s="596"/>
      <c r="R30" s="596"/>
      <c r="S30" s="596"/>
      <c r="T30" s="596"/>
      <c r="U30" s="596"/>
      <c r="V30" s="596"/>
      <c r="W30" s="596"/>
      <c r="X30" s="596"/>
      <c r="Y30" s="596"/>
      <c r="Z30" s="596"/>
      <c r="AA30" s="596"/>
      <c r="AB30" s="596"/>
      <c r="AC30" s="596"/>
      <c r="AD30" s="596"/>
      <c r="AE30" s="596"/>
      <c r="AF30" s="596"/>
      <c r="AN30" s="775" t="s">
        <v>269</v>
      </c>
      <c r="AO30" s="778" t="str">
        <f>IFERROR(IF(OR(N66=5,N66=6,N66=7,N66=8,N66=9,N66=10),N61,N60),"")</f>
        <v>April</v>
      </c>
    </row>
    <row r="31" spans="2:45" ht="30.65" customHeight="1" x14ac:dyDescent="0.25">
      <c r="B31" s="752"/>
      <c r="C31" s="602"/>
      <c r="D31" s="602"/>
      <c r="E31" s="596"/>
      <c r="F31" s="596"/>
      <c r="G31" s="810" t="s">
        <v>270</v>
      </c>
      <c r="H31" s="607"/>
      <c r="I31" s="596"/>
      <c r="J31" s="596"/>
      <c r="K31" s="596"/>
      <c r="L31" s="821" t="s">
        <v>255</v>
      </c>
      <c r="M31" s="813">
        <f>IFERROR(D51,"")</f>
        <v>42</v>
      </c>
      <c r="N31" s="800"/>
      <c r="O31" s="601"/>
      <c r="P31" s="601"/>
      <c r="Q31" s="596"/>
      <c r="R31" s="596"/>
      <c r="S31" s="596"/>
      <c r="T31" s="596"/>
      <c r="U31" s="596"/>
      <c r="V31" s="596"/>
      <c r="W31" s="596"/>
      <c r="X31" s="596"/>
      <c r="Y31" s="596"/>
      <c r="Z31" s="596"/>
      <c r="AA31" s="596"/>
      <c r="AB31" s="596"/>
      <c r="AC31" s="596"/>
      <c r="AD31" s="596"/>
      <c r="AE31" s="596"/>
      <c r="AF31" s="596"/>
      <c r="AN31" s="775" t="s">
        <v>271</v>
      </c>
      <c r="AO31" s="779" t="s">
        <v>272</v>
      </c>
    </row>
    <row r="32" spans="2:45" ht="33" customHeight="1" x14ac:dyDescent="0.25">
      <c r="B32" s="752"/>
      <c r="C32" s="602"/>
      <c r="D32" s="602"/>
      <c r="E32" s="596"/>
      <c r="F32" s="596"/>
      <c r="G32" s="810" t="s">
        <v>273</v>
      </c>
      <c r="H32" s="607"/>
      <c r="I32" s="596"/>
      <c r="J32" s="596"/>
      <c r="K32" s="596"/>
      <c r="L32" s="564"/>
      <c r="M32" s="564"/>
      <c r="N32" s="800"/>
      <c r="O32" s="601"/>
      <c r="P32" s="601"/>
      <c r="Q32" s="596"/>
      <c r="R32" s="596"/>
      <c r="S32" s="596"/>
      <c r="T32" s="596"/>
      <c r="U32" s="596"/>
      <c r="V32" s="596"/>
      <c r="W32" s="596"/>
      <c r="X32" s="596"/>
      <c r="Y32" s="596"/>
      <c r="Z32" s="596"/>
      <c r="AA32" s="596"/>
      <c r="AB32" s="596"/>
      <c r="AC32" s="596"/>
      <c r="AD32" s="596"/>
      <c r="AE32" s="596"/>
      <c r="AF32" s="596"/>
      <c r="AN32" s="775" t="s">
        <v>271</v>
      </c>
      <c r="AO32" s="780" t="s">
        <v>272</v>
      </c>
    </row>
    <row r="33" spans="2:42" ht="30.65" customHeight="1" x14ac:dyDescent="0.25">
      <c r="B33" s="752"/>
      <c r="C33" s="602"/>
      <c r="D33" s="602"/>
      <c r="E33" s="596"/>
      <c r="F33" s="596"/>
      <c r="G33" s="810" t="s">
        <v>274</v>
      </c>
      <c r="H33" s="607"/>
      <c r="I33" s="596"/>
      <c r="J33" s="596"/>
      <c r="K33" s="596"/>
      <c r="L33" s="564"/>
      <c r="M33" s="564"/>
      <c r="N33" s="800"/>
      <c r="O33" s="601"/>
      <c r="P33" s="601"/>
      <c r="Q33" s="596"/>
      <c r="R33" s="596"/>
      <c r="S33" s="596"/>
      <c r="T33" s="596"/>
      <c r="U33" s="596"/>
      <c r="V33" s="596"/>
      <c r="W33" s="596"/>
      <c r="X33" s="596"/>
      <c r="Y33" s="596"/>
      <c r="Z33" s="596"/>
      <c r="AA33" s="596"/>
      <c r="AB33" s="596"/>
      <c r="AC33" s="596"/>
      <c r="AD33" s="596"/>
      <c r="AE33" s="596"/>
      <c r="AF33" s="596"/>
      <c r="AN33" s="775" t="s">
        <v>271</v>
      </c>
      <c r="AO33" s="781" t="s">
        <v>275</v>
      </c>
    </row>
    <row r="34" spans="2:42" ht="25" customHeight="1" x14ac:dyDescent="0.25">
      <c r="B34" s="752"/>
      <c r="C34" s="602"/>
      <c r="D34" s="602"/>
      <c r="E34" s="602"/>
      <c r="F34" s="602"/>
      <c r="G34" s="602"/>
      <c r="H34" s="607"/>
      <c r="I34" s="607"/>
      <c r="J34" s="607"/>
      <c r="K34" s="607"/>
      <c r="L34" s="596"/>
      <c r="M34" s="563"/>
      <c r="N34" s="803" t="str">
        <f>D49</f>
        <v/>
      </c>
      <c r="O34" s="812" t="str">
        <f>IFERROR(IF(AND(N34&lt;&gt;SUM(N31:N33),N28="Nac ydy"),"Rhowch symiau tynnu i lawr sy'n adio i gyfanswm gwerth y benthyciad y gofynnwyd amdano",""),"")</f>
        <v/>
      </c>
      <c r="P34" s="601"/>
      <c r="Q34" s="596"/>
      <c r="R34" s="596"/>
      <c r="S34" s="596"/>
      <c r="T34" s="596"/>
      <c r="U34" s="596"/>
      <c r="V34" s="596"/>
      <c r="W34" s="596"/>
      <c r="X34" s="596"/>
      <c r="Y34" s="596"/>
      <c r="Z34" s="596"/>
      <c r="AA34" s="596"/>
      <c r="AB34" s="596"/>
      <c r="AC34" s="596"/>
      <c r="AD34" s="596"/>
      <c r="AE34" s="596"/>
      <c r="AF34" s="596"/>
      <c r="AN34" s="775" t="s">
        <v>276</v>
      </c>
      <c r="AO34" s="782">
        <f>SUM(AN27-1)</f>
        <v>1899</v>
      </c>
    </row>
    <row r="35" spans="2:42" ht="18" customHeight="1" x14ac:dyDescent="0.25">
      <c r="B35" s="752"/>
      <c r="C35" s="946" t="s">
        <v>277</v>
      </c>
      <c r="D35" s="946"/>
      <c r="E35" s="946"/>
      <c r="F35" s="946"/>
      <c r="G35" s="946"/>
      <c r="H35" s="600"/>
      <c r="I35" s="600"/>
      <c r="J35" s="600"/>
      <c r="K35" s="600"/>
      <c r="L35" s="611"/>
      <c r="M35" s="563"/>
      <c r="N35" s="563"/>
      <c r="O35" s="601"/>
      <c r="P35" s="601"/>
      <c r="Q35" s="596"/>
      <c r="R35" s="596"/>
      <c r="S35" s="596"/>
      <c r="T35" s="596"/>
      <c r="U35" s="596"/>
      <c r="V35" s="596"/>
      <c r="W35" s="596"/>
      <c r="X35" s="596"/>
      <c r="Y35" s="596"/>
      <c r="Z35" s="596"/>
      <c r="AA35" s="596"/>
      <c r="AB35" s="596"/>
      <c r="AC35" s="596"/>
      <c r="AD35" s="596"/>
      <c r="AE35" s="596"/>
      <c r="AF35" s="596"/>
      <c r="AN35" s="775" t="s">
        <v>278</v>
      </c>
      <c r="AO35" s="782">
        <f>AN27+1</f>
        <v>1901</v>
      </c>
    </row>
    <row r="36" spans="2:42" ht="14.25" customHeight="1" x14ac:dyDescent="0.25">
      <c r="B36" s="596"/>
      <c r="C36" s="952" t="s">
        <v>279</v>
      </c>
      <c r="D36" s="952"/>
      <c r="E36" s="952"/>
      <c r="F36" s="952"/>
      <c r="G36" s="952"/>
      <c r="H36" s="952"/>
      <c r="I36" s="952"/>
      <c r="J36" s="952"/>
      <c r="K36" s="952"/>
      <c r="L36" s="952"/>
      <c r="M36" s="612"/>
      <c r="N36" s="612"/>
      <c r="O36" s="596"/>
      <c r="P36" s="596"/>
      <c r="Q36" s="596"/>
      <c r="R36" s="596"/>
      <c r="S36" s="596"/>
      <c r="T36" s="596"/>
      <c r="U36" s="596"/>
      <c r="V36" s="596"/>
      <c r="W36" s="596"/>
      <c r="X36" s="596"/>
      <c r="Y36" s="596"/>
      <c r="Z36" s="596"/>
      <c r="AA36" s="596"/>
      <c r="AB36" s="596"/>
      <c r="AC36" s="596"/>
      <c r="AD36" s="596"/>
      <c r="AE36" s="596"/>
      <c r="AF36" s="596"/>
      <c r="AN36" s="777" t="s">
        <v>271</v>
      </c>
      <c r="AO36" s="773" t="s">
        <v>280</v>
      </c>
    </row>
    <row r="37" spans="2:42" ht="60.75" customHeight="1" x14ac:dyDescent="0.25">
      <c r="B37" s="596"/>
      <c r="C37" s="952"/>
      <c r="D37" s="952"/>
      <c r="E37" s="952"/>
      <c r="F37" s="952"/>
      <c r="G37" s="952"/>
      <c r="H37" s="952"/>
      <c r="I37" s="952"/>
      <c r="J37" s="952"/>
      <c r="K37" s="952"/>
      <c r="L37" s="952"/>
      <c r="M37" s="612"/>
      <c r="N37" s="612"/>
      <c r="O37" s="596"/>
      <c r="P37" s="596"/>
      <c r="Q37" s="596"/>
      <c r="R37" s="596"/>
      <c r="S37" s="596"/>
      <c r="T37" s="596"/>
      <c r="U37" s="596"/>
      <c r="V37" s="596"/>
      <c r="W37" s="596"/>
      <c r="X37" s="596"/>
      <c r="Y37" s="596"/>
      <c r="Z37" s="596"/>
      <c r="AA37" s="596"/>
      <c r="AB37" s="596"/>
      <c r="AC37" s="596"/>
      <c r="AD37" s="596"/>
      <c r="AE37" s="596"/>
      <c r="AF37" s="596"/>
      <c r="AN37" s="789" t="s">
        <v>251</v>
      </c>
      <c r="AO37" s="795" t="str">
        <f>IF(N15="","",(SUM(AC70:AC93)))</f>
        <v/>
      </c>
    </row>
    <row r="38" spans="2:42" ht="15" customHeight="1" x14ac:dyDescent="0.25">
      <c r="B38" s="596"/>
      <c r="C38" s="613"/>
      <c r="D38" s="613"/>
      <c r="E38" s="613"/>
      <c r="F38" s="613"/>
      <c r="G38" s="613"/>
      <c r="H38" s="614"/>
      <c r="I38" s="614"/>
      <c r="J38" s="614"/>
      <c r="K38" s="614"/>
      <c r="L38" s="614"/>
      <c r="M38" s="604"/>
      <c r="N38" s="604"/>
      <c r="O38" s="596"/>
      <c r="P38" s="596"/>
      <c r="Q38" s="596"/>
      <c r="R38" s="596"/>
      <c r="S38" s="596"/>
      <c r="T38" s="596"/>
      <c r="U38" s="596"/>
      <c r="V38" s="596"/>
      <c r="W38" s="596"/>
      <c r="X38" s="596"/>
      <c r="Y38" s="596"/>
      <c r="Z38" s="596"/>
      <c r="AA38" s="596"/>
      <c r="AB38" s="596"/>
      <c r="AC38" s="596"/>
      <c r="AD38" s="596"/>
      <c r="AE38" s="596"/>
      <c r="AF38" s="596"/>
    </row>
    <row r="39" spans="2:42" x14ac:dyDescent="0.25">
      <c r="B39" s="597"/>
      <c r="C39" s="940"/>
      <c r="D39" s="940"/>
      <c r="E39" s="940"/>
      <c r="F39" s="940"/>
      <c r="G39" s="940"/>
      <c r="H39" s="940"/>
      <c r="I39" s="940"/>
      <c r="J39" s="940"/>
      <c r="K39" s="940"/>
      <c r="L39" s="941"/>
      <c r="M39" s="617"/>
      <c r="N39" s="615"/>
      <c r="O39" s="616"/>
      <c r="P39" s="616"/>
      <c r="Q39" s="616"/>
      <c r="R39" s="616"/>
      <c r="S39" s="596"/>
      <c r="T39" s="596"/>
      <c r="U39" s="596"/>
      <c r="V39" s="596"/>
      <c r="W39" s="596"/>
      <c r="X39" s="596"/>
      <c r="Y39" s="596"/>
      <c r="Z39" s="596"/>
      <c r="AA39" s="596"/>
      <c r="AB39" s="596"/>
      <c r="AC39" s="596"/>
      <c r="AD39" s="596"/>
      <c r="AE39" s="596"/>
      <c r="AF39" s="596"/>
    </row>
    <row r="40" spans="2:42" x14ac:dyDescent="0.25">
      <c r="B40" s="597"/>
      <c r="C40" s="942"/>
      <c r="D40" s="942"/>
      <c r="E40" s="942"/>
      <c r="F40" s="942"/>
      <c r="G40" s="942"/>
      <c r="H40" s="942"/>
      <c r="I40" s="942"/>
      <c r="J40" s="942"/>
      <c r="K40" s="942"/>
      <c r="L40" s="943"/>
      <c r="M40" s="617"/>
      <c r="N40" s="615"/>
      <c r="O40" s="616"/>
      <c r="P40" s="616"/>
      <c r="Q40" s="616"/>
      <c r="R40" s="616"/>
      <c r="S40" s="596"/>
      <c r="T40" s="596"/>
      <c r="U40" s="596"/>
      <c r="V40" s="596"/>
      <c r="W40" s="596"/>
      <c r="X40" s="596"/>
      <c r="Y40" s="596"/>
      <c r="Z40" s="596"/>
      <c r="AA40" s="596"/>
      <c r="AB40" s="596"/>
      <c r="AC40" s="596"/>
      <c r="AD40" s="596"/>
      <c r="AE40" s="596"/>
      <c r="AF40" s="596"/>
      <c r="AN40" s="753" t="s">
        <v>281</v>
      </c>
      <c r="AP40" s="802">
        <v>45748</v>
      </c>
    </row>
    <row r="41" spans="2:42" x14ac:dyDescent="0.25">
      <c r="B41" s="597"/>
      <c r="C41" s="942"/>
      <c r="D41" s="942"/>
      <c r="E41" s="942"/>
      <c r="F41" s="942"/>
      <c r="G41" s="942"/>
      <c r="H41" s="942"/>
      <c r="I41" s="942"/>
      <c r="J41" s="942"/>
      <c r="K41" s="942"/>
      <c r="L41" s="943"/>
      <c r="M41" s="617"/>
      <c r="N41" s="615"/>
      <c r="O41" s="616"/>
      <c r="P41" s="616"/>
      <c r="Q41" s="616"/>
      <c r="R41" s="616"/>
      <c r="S41" s="596"/>
      <c r="T41" s="596"/>
      <c r="U41" s="596"/>
      <c r="V41" s="596"/>
      <c r="W41" s="596"/>
      <c r="X41" s="596"/>
      <c r="Y41" s="596"/>
      <c r="Z41" s="596"/>
      <c r="AA41" s="596"/>
      <c r="AB41" s="596"/>
      <c r="AC41" s="596"/>
      <c r="AD41" s="596"/>
      <c r="AE41" s="596"/>
      <c r="AF41" s="596"/>
      <c r="AN41" s="753" t="s">
        <v>239</v>
      </c>
      <c r="AO41" s="753" t="str">
        <f ca="1">("Mawrth "&amp;($AO$8+1))</f>
        <v>Mawrth 2025</v>
      </c>
      <c r="AP41" s="801">
        <f>EOMONTH($AP$40,-1)</f>
        <v>45747</v>
      </c>
    </row>
    <row r="42" spans="2:42" x14ac:dyDescent="0.25">
      <c r="B42" s="597"/>
      <c r="C42" s="942"/>
      <c r="D42" s="942"/>
      <c r="E42" s="942"/>
      <c r="F42" s="942"/>
      <c r="G42" s="942"/>
      <c r="H42" s="942"/>
      <c r="I42" s="942"/>
      <c r="J42" s="942"/>
      <c r="K42" s="942"/>
      <c r="L42" s="943"/>
      <c r="M42" s="617"/>
      <c r="N42" s="596"/>
      <c r="O42" s="596"/>
      <c r="P42" s="616"/>
      <c r="Q42" s="616"/>
      <c r="R42" s="616"/>
      <c r="S42" s="596"/>
      <c r="T42" s="596"/>
      <c r="U42" s="596"/>
      <c r="V42" s="596"/>
      <c r="W42" s="596"/>
      <c r="X42" s="596"/>
      <c r="Y42" s="596"/>
      <c r="Z42" s="596"/>
      <c r="AA42" s="596"/>
      <c r="AB42" s="596"/>
      <c r="AC42" s="596"/>
      <c r="AD42" s="596"/>
      <c r="AE42" s="596"/>
      <c r="AF42" s="596"/>
      <c r="AN42" s="753" t="s">
        <v>239</v>
      </c>
      <c r="AO42" s="753" t="str">
        <f ca="1">("Mehefin "&amp;($AO$8+1))</f>
        <v>Mehefin 2025</v>
      </c>
      <c r="AP42" s="801">
        <f>EOMONTH($AP$40,2)</f>
        <v>45838</v>
      </c>
    </row>
    <row r="43" spans="2:42" ht="27" customHeight="1" x14ac:dyDescent="0.25">
      <c r="B43" s="597"/>
      <c r="C43" s="944"/>
      <c r="D43" s="944"/>
      <c r="E43" s="944"/>
      <c r="F43" s="944"/>
      <c r="G43" s="944"/>
      <c r="H43" s="944"/>
      <c r="I43" s="944"/>
      <c r="J43" s="944"/>
      <c r="K43" s="944"/>
      <c r="L43" s="945"/>
      <c r="M43" s="617"/>
      <c r="N43" s="596"/>
      <c r="O43" s="596"/>
      <c r="P43" s="616"/>
      <c r="Q43" s="616"/>
      <c r="R43" s="616"/>
      <c r="S43" s="596"/>
      <c r="T43" s="596"/>
      <c r="U43" s="596"/>
      <c r="V43" s="596"/>
      <c r="W43" s="596"/>
      <c r="X43" s="596"/>
      <c r="Y43" s="596"/>
      <c r="Z43" s="596"/>
      <c r="AA43" s="596"/>
      <c r="AB43" s="596"/>
      <c r="AC43" s="596"/>
      <c r="AD43" s="596"/>
      <c r="AE43" s="596"/>
      <c r="AF43" s="596"/>
      <c r="AN43" s="753" t="s">
        <v>239</v>
      </c>
      <c r="AO43" s="753" t="str">
        <f ca="1">("Medi "&amp;($AO$8+1))</f>
        <v>Medi 2025</v>
      </c>
      <c r="AP43" s="801">
        <f>EOMONTH(AP40,5)</f>
        <v>45930</v>
      </c>
    </row>
    <row r="44" spans="2:42" ht="25.5" customHeight="1" x14ac:dyDescent="0.25">
      <c r="B44" s="596"/>
      <c r="C44" s="613"/>
      <c r="D44" s="613"/>
      <c r="E44" s="613"/>
      <c r="F44" s="613"/>
      <c r="G44" s="613"/>
      <c r="H44" s="614"/>
      <c r="I44" s="614"/>
      <c r="J44" s="614"/>
      <c r="K44" s="614"/>
      <c r="L44" s="618"/>
      <c r="M44" s="619"/>
      <c r="N44" s="596"/>
      <c r="O44" s="596"/>
      <c r="P44" s="616"/>
      <c r="Q44" s="616"/>
      <c r="R44" s="616"/>
      <c r="S44" s="596"/>
      <c r="T44" s="596"/>
      <c r="U44" s="596"/>
      <c r="V44" s="596"/>
      <c r="W44" s="596"/>
      <c r="X44" s="596"/>
      <c r="Y44" s="596"/>
      <c r="Z44" s="596"/>
      <c r="AA44" s="596"/>
      <c r="AB44" s="596"/>
      <c r="AC44" s="596"/>
      <c r="AD44" s="596"/>
      <c r="AE44" s="596"/>
      <c r="AF44" s="596"/>
      <c r="AN44" s="753" t="s">
        <v>239</v>
      </c>
      <c r="AO44" s="753" t="str">
        <f ca="1">("Rhagfyr "&amp;($AO$8+1))</f>
        <v>Rhagfyr 2025</v>
      </c>
      <c r="AP44" s="801">
        <f>EOMONTH(AP40,8)</f>
        <v>46022</v>
      </c>
    </row>
    <row r="45" spans="2:42" ht="20.5" customHeight="1" x14ac:dyDescent="0.25">
      <c r="B45" s="596"/>
      <c r="C45" s="947" t="s">
        <v>282</v>
      </c>
      <c r="D45" s="947"/>
      <c r="E45" s="947"/>
      <c r="F45" s="947"/>
      <c r="G45" s="947"/>
      <c r="H45" s="947"/>
      <c r="I45" s="947"/>
      <c r="J45" s="947"/>
      <c r="K45" s="947"/>
      <c r="L45" s="947"/>
      <c r="M45" s="947"/>
      <c r="N45" s="947"/>
      <c r="O45" s="620"/>
      <c r="P45" s="616"/>
      <c r="Q45" s="934"/>
      <c r="R45" s="934"/>
      <c r="S45" s="621"/>
      <c r="T45" s="622"/>
      <c r="U45" s="622"/>
      <c r="V45" s="622"/>
      <c r="W45" s="622"/>
      <c r="X45" s="622"/>
      <c r="Y45" s="622"/>
      <c r="Z45" s="622"/>
      <c r="AA45" s="622"/>
      <c r="AB45" s="622"/>
      <c r="AC45" s="596"/>
      <c r="AD45" s="596"/>
      <c r="AE45" s="596"/>
      <c r="AF45" s="596"/>
      <c r="AN45" s="753" t="s">
        <v>240</v>
      </c>
      <c r="AO45" s="753" t="str">
        <f ca="1">("Mawrth "&amp;($AO$8+2))</f>
        <v>Mawrth 2026</v>
      </c>
      <c r="AP45" s="801">
        <f>EOMONTH(AP40,11)</f>
        <v>46112</v>
      </c>
    </row>
    <row r="46" spans="2:42" ht="15" customHeight="1" x14ac:dyDescent="0.25">
      <c r="B46" s="596"/>
      <c r="C46" s="613"/>
      <c r="D46" s="613"/>
      <c r="E46" s="613"/>
      <c r="F46" s="613"/>
      <c r="G46" s="613"/>
      <c r="H46" s="614"/>
      <c r="I46" s="614"/>
      <c r="J46" s="614"/>
      <c r="K46" s="623"/>
      <c r="L46" s="596"/>
      <c r="M46" s="596"/>
      <c r="N46" s="596"/>
      <c r="O46" s="596"/>
      <c r="P46" s="616"/>
      <c r="Q46" s="624"/>
      <c r="R46" s="625"/>
      <c r="S46" s="610"/>
      <c r="T46" s="622"/>
      <c r="U46" s="622"/>
      <c r="V46" s="622"/>
      <c r="W46" s="622"/>
      <c r="X46" s="622"/>
      <c r="Y46" s="622"/>
      <c r="Z46" s="622"/>
      <c r="AA46" s="622"/>
      <c r="AB46" s="622"/>
      <c r="AC46" s="596"/>
      <c r="AD46" s="596"/>
      <c r="AE46" s="596"/>
      <c r="AF46" s="596"/>
      <c r="AN46" s="753" t="s">
        <v>240</v>
      </c>
      <c r="AO46" s="753" t="str">
        <f ca="1">("Mehefin "&amp;($AO$8+2))</f>
        <v>Mehefin 2026</v>
      </c>
      <c r="AP46" s="801">
        <f>EOMONTH($AP$40,14)</f>
        <v>46203</v>
      </c>
    </row>
    <row r="47" spans="2:42" ht="20.149999999999999" customHeight="1" x14ac:dyDescent="0.25">
      <c r="B47" s="596"/>
      <c r="C47" s="935" t="s">
        <v>283</v>
      </c>
      <c r="D47" s="936"/>
      <c r="E47" s="613"/>
      <c r="F47" s="937" t="s">
        <v>284</v>
      </c>
      <c r="G47" s="938"/>
      <c r="H47" s="614"/>
      <c r="I47" s="614"/>
      <c r="J47" s="623"/>
      <c r="K47" s="623"/>
      <c r="L47" s="596"/>
      <c r="M47" s="596"/>
      <c r="N47" s="596"/>
      <c r="O47" s="596"/>
      <c r="P47" s="626"/>
      <c r="Q47" s="793"/>
      <c r="R47" s="625"/>
      <c r="S47" s="610"/>
      <c r="T47" s="622"/>
      <c r="U47" s="622"/>
      <c r="V47" s="622"/>
      <c r="W47" s="622"/>
      <c r="X47" s="622"/>
      <c r="Y47" s="622"/>
      <c r="Z47" s="622"/>
      <c r="AA47" s="622"/>
      <c r="AB47" s="622"/>
      <c r="AC47" s="596"/>
      <c r="AD47" s="596"/>
      <c r="AE47" s="596"/>
      <c r="AF47" s="596"/>
      <c r="AN47" s="753" t="s">
        <v>240</v>
      </c>
      <c r="AO47" s="753" t="str">
        <f ca="1">("Medi "&amp;($AO$8+2))</f>
        <v>Medi 2026</v>
      </c>
      <c r="AP47" s="801">
        <f>EOMONTH($AP$40,17)</f>
        <v>46295</v>
      </c>
    </row>
    <row r="48" spans="2:42" ht="25" customHeight="1" x14ac:dyDescent="0.25">
      <c r="B48" s="596"/>
      <c r="C48" s="566" t="s">
        <v>285</v>
      </c>
      <c r="D48" s="762" t="str">
        <f>IF('Project Compliance Tool'!$O$65="","",'Project Compliance Tool'!$O$65)</f>
        <v/>
      </c>
      <c r="E48" s="613"/>
      <c r="F48" s="566" t="s">
        <v>286</v>
      </c>
      <c r="G48" s="767" t="str">
        <f>IFERROR(AO14,"Nodwch hyd talu'r benthyciad yn ôl yn 1a.")</f>
        <v>28/02/1900</v>
      </c>
      <c r="H48" s="614"/>
      <c r="I48" s="614"/>
      <c r="J48" s="623"/>
      <c r="K48" s="623"/>
      <c r="L48" s="596"/>
      <c r="M48" s="596"/>
      <c r="N48" s="596"/>
      <c r="O48" s="596"/>
      <c r="P48" s="627"/>
      <c r="Q48" s="794"/>
      <c r="R48" s="625"/>
      <c r="S48" s="610"/>
      <c r="T48" s="622"/>
      <c r="U48" s="622"/>
      <c r="V48" s="622"/>
      <c r="W48" s="622"/>
      <c r="X48" s="622"/>
      <c r="Y48" s="622"/>
      <c r="Z48" s="622"/>
      <c r="AA48" s="622"/>
      <c r="AB48" s="622"/>
      <c r="AC48" s="596"/>
      <c r="AD48" s="596"/>
      <c r="AE48" s="596"/>
      <c r="AF48" s="596"/>
      <c r="AN48" s="753" t="s">
        <v>240</v>
      </c>
      <c r="AO48" s="753" t="str">
        <f ca="1">("Rhagfyr "&amp;($AO$8+2))</f>
        <v>Rhagfyr 2026</v>
      </c>
      <c r="AP48" s="801">
        <f>EOMONTH($AP$40,20)</f>
        <v>46387</v>
      </c>
    </row>
    <row r="49" spans="2:42" ht="25" customHeight="1" x14ac:dyDescent="0.25">
      <c r="B49" s="596"/>
      <c r="C49" s="567" t="s">
        <v>287</v>
      </c>
      <c r="D49" s="763" t="str">
        <f>IF('Project Compliance Tool'!$N$65="","",'Project Compliance Tool'!$N$65)</f>
        <v/>
      </c>
      <c r="E49" s="613"/>
      <c r="F49" s="567" t="s">
        <v>288</v>
      </c>
      <c r="G49" s="763" t="str">
        <f>IFERROR(IF(N18="","",((SUM(D49/12)*G50)*D50)),"Nodwch hyd talu'r benthyciad yn ôl yn 1a.")</f>
        <v>Nodwch hyd talu'r benthyciad yn ôl yn 1a.</v>
      </c>
      <c r="H49" s="614"/>
      <c r="I49" s="614"/>
      <c r="J49" s="623"/>
      <c r="K49" s="623"/>
      <c r="L49" s="596"/>
      <c r="M49" s="596"/>
      <c r="N49" s="596"/>
      <c r="O49" s="596"/>
      <c r="P49" s="628"/>
      <c r="Q49" s="629"/>
      <c r="R49" s="610"/>
      <c r="S49" s="610"/>
      <c r="T49" s="622"/>
      <c r="U49" s="622"/>
      <c r="V49" s="622"/>
      <c r="W49" s="622"/>
      <c r="X49" s="622"/>
      <c r="Y49" s="622"/>
      <c r="Z49" s="622"/>
      <c r="AA49" s="622"/>
      <c r="AB49" s="622"/>
      <c r="AC49" s="596"/>
      <c r="AD49" s="596"/>
      <c r="AE49" s="596"/>
      <c r="AF49" s="596"/>
      <c r="AN49" s="808" t="s">
        <v>289</v>
      </c>
      <c r="AO49" s="808" t="str">
        <f ca="1">("Mawrth "&amp;($AO$8+3))</f>
        <v>Mawrth 2027</v>
      </c>
      <c r="AP49" s="802">
        <f>EOMONTH($AP$40,23)</f>
        <v>46477</v>
      </c>
    </row>
    <row r="50" spans="2:42" ht="25" customHeight="1" x14ac:dyDescent="0.25">
      <c r="B50" s="596"/>
      <c r="C50" s="567" t="s">
        <v>290</v>
      </c>
      <c r="D50" s="764">
        <v>2.0500000000000001E-2</v>
      </c>
      <c r="E50" s="613"/>
      <c r="F50" s="567" t="s">
        <v>291</v>
      </c>
      <c r="G50" s="768">
        <f>IFERROR(IF(N18="","",(DATEDIF(AO15,AO14,"m"))),"Nodwch hyd talu'r benthyciad yn ôl yn 1a.")</f>
        <v>0</v>
      </c>
      <c r="H50" s="630"/>
      <c r="I50" s="614"/>
      <c r="J50" s="623"/>
      <c r="K50" s="623"/>
      <c r="L50" s="596"/>
      <c r="M50" s="596"/>
      <c r="N50" s="596"/>
      <c r="O50" s="596"/>
      <c r="P50" s="628"/>
      <c r="Q50" s="629"/>
      <c r="R50" s="610"/>
      <c r="S50" s="610"/>
      <c r="T50" s="622"/>
      <c r="U50" s="622"/>
      <c r="V50" s="622"/>
      <c r="W50" s="622"/>
      <c r="X50" s="622"/>
      <c r="Y50" s="622"/>
      <c r="Z50" s="622"/>
      <c r="AA50" s="622"/>
      <c r="AB50" s="622"/>
      <c r="AC50" s="596"/>
      <c r="AD50" s="596"/>
      <c r="AE50" s="596"/>
      <c r="AF50" s="596"/>
    </row>
    <row r="51" spans="2:42" ht="25" customHeight="1" x14ac:dyDescent="0.25">
      <c r="B51" s="596"/>
      <c r="C51" s="567" t="s">
        <v>292</v>
      </c>
      <c r="D51" s="765">
        <f>('Business Case'!D13)+42</f>
        <v>42</v>
      </c>
      <c r="E51" s="613"/>
      <c r="F51" s="567" t="s">
        <v>293</v>
      </c>
      <c r="G51" s="769">
        <f>IF(N15=1,SUM(Table145242[Os yw''r cyfalaf ar y diwedd yn fenthyciad]),IF(N18="","",(SUM(AC70:AC93))))</f>
        <v>0</v>
      </c>
      <c r="H51" s="614"/>
      <c r="I51" s="614"/>
      <c r="J51" s="623"/>
      <c r="K51" s="623"/>
      <c r="L51" s="596"/>
      <c r="M51" s="596"/>
      <c r="N51" s="596"/>
      <c r="O51" s="596"/>
      <c r="P51" s="628"/>
      <c r="Q51" s="629"/>
      <c r="R51" s="610"/>
      <c r="S51" s="610"/>
      <c r="T51" s="622"/>
      <c r="U51" s="622"/>
      <c r="V51" s="622"/>
      <c r="W51" s="622"/>
      <c r="X51" s="622"/>
      <c r="Y51" s="622"/>
      <c r="Z51" s="622"/>
      <c r="AA51" s="622"/>
      <c r="AB51" s="622"/>
      <c r="AC51" s="596"/>
      <c r="AD51" s="596"/>
      <c r="AE51" s="596"/>
      <c r="AF51" s="596"/>
    </row>
    <row r="52" spans="2:42" ht="25" customHeight="1" x14ac:dyDescent="0.25">
      <c r="B52" s="596"/>
      <c r="C52" s="760" t="s">
        <v>294</v>
      </c>
      <c r="D52" s="765" t="str">
        <f ca="1">_xlfn.XLOOKUP(M32,AO41:AO44,AP41:AP44,"N/A",0,1)</f>
        <v>N/A</v>
      </c>
      <c r="E52" s="613"/>
      <c r="F52" s="631"/>
      <c r="G52" s="798"/>
      <c r="H52" s="614"/>
      <c r="I52" s="614"/>
      <c r="J52" s="623"/>
      <c r="K52" s="623"/>
      <c r="L52" s="596"/>
      <c r="M52" s="596"/>
      <c r="N52" s="596"/>
      <c r="O52" s="596"/>
      <c r="P52" s="628"/>
      <c r="Q52" s="629"/>
      <c r="R52" s="610"/>
      <c r="S52" s="610"/>
      <c r="T52" s="622"/>
      <c r="U52" s="622"/>
      <c r="V52" s="622"/>
      <c r="W52" s="622"/>
      <c r="X52" s="622"/>
      <c r="Y52" s="622"/>
      <c r="Z52" s="622"/>
      <c r="AA52" s="622"/>
      <c r="AB52" s="622"/>
      <c r="AC52" s="596"/>
      <c r="AD52" s="596"/>
      <c r="AE52" s="596"/>
      <c r="AF52" s="596"/>
    </row>
    <row r="53" spans="2:42" ht="25" customHeight="1" x14ac:dyDescent="0.25">
      <c r="B53" s="596"/>
      <c r="C53" s="760" t="s">
        <v>295</v>
      </c>
      <c r="D53" s="765" t="str">
        <f ca="1">_xlfn.XLOOKUP(M33,AO45:AO48,AP45:AP48,"N/A",0,1)</f>
        <v>N/A</v>
      </c>
      <c r="E53" s="613"/>
      <c r="F53" s="631"/>
      <c r="G53" s="798"/>
      <c r="H53" s="614"/>
      <c r="I53" s="614"/>
      <c r="J53" s="623"/>
      <c r="K53" s="623"/>
      <c r="L53" s="596"/>
      <c r="M53" s="596"/>
      <c r="N53" s="596"/>
      <c r="O53" s="596"/>
      <c r="P53" s="628"/>
      <c r="Q53" s="629"/>
      <c r="R53" s="610"/>
      <c r="S53" s="610"/>
      <c r="T53" s="622"/>
      <c r="U53" s="622"/>
      <c r="V53" s="622"/>
      <c r="W53" s="622"/>
      <c r="X53" s="622"/>
      <c r="Y53" s="622"/>
      <c r="Z53" s="622"/>
      <c r="AA53" s="622"/>
      <c r="AB53" s="622"/>
      <c r="AC53" s="596"/>
      <c r="AD53" s="596"/>
      <c r="AE53" s="596"/>
      <c r="AF53" s="596"/>
    </row>
    <row r="54" spans="2:42" ht="25" customHeight="1" x14ac:dyDescent="0.25">
      <c r="B54" s="596"/>
      <c r="C54" s="760" t="s">
        <v>296</v>
      </c>
      <c r="D54" s="766">
        <f>'Business Case'!$D$15</f>
        <v>0</v>
      </c>
      <c r="E54" s="613"/>
      <c r="F54" s="613"/>
      <c r="G54" s="613"/>
      <c r="H54" s="614"/>
      <c r="I54" s="614"/>
      <c r="J54" s="623"/>
      <c r="K54" s="623"/>
      <c r="L54" s="596"/>
      <c r="M54" s="596"/>
      <c r="N54" s="596"/>
      <c r="O54" s="596"/>
      <c r="P54" s="628"/>
      <c r="Q54" s="629"/>
      <c r="R54" s="610"/>
      <c r="S54" s="610"/>
      <c r="T54" s="622"/>
      <c r="U54" s="622"/>
      <c r="V54" s="622"/>
      <c r="W54" s="622"/>
      <c r="X54" s="622"/>
      <c r="Y54" s="622"/>
      <c r="Z54" s="622"/>
      <c r="AA54" s="622"/>
      <c r="AB54" s="622"/>
      <c r="AC54" s="596"/>
      <c r="AD54" s="596"/>
      <c r="AE54" s="596"/>
      <c r="AF54" s="596"/>
    </row>
    <row r="55" spans="2:42" ht="20.149999999999999" customHeight="1" x14ac:dyDescent="0.25">
      <c r="B55" s="596"/>
      <c r="C55" s="568" t="s">
        <v>297</v>
      </c>
      <c r="D55" s="569" t="str">
        <f>IF(N15="","",(SUM(AD70:AD93)))</f>
        <v/>
      </c>
      <c r="E55" s="613"/>
      <c r="F55" s="939" t="s">
        <v>298</v>
      </c>
      <c r="G55" s="939"/>
      <c r="H55" s="614"/>
      <c r="I55" s="614"/>
      <c r="J55" s="623"/>
      <c r="K55" s="623"/>
      <c r="L55" s="596"/>
      <c r="M55" s="596"/>
      <c r="N55" s="596"/>
      <c r="O55" s="596"/>
      <c r="P55" s="628"/>
      <c r="Q55" s="629"/>
      <c r="R55" s="610"/>
      <c r="S55" s="610"/>
      <c r="T55" s="622"/>
      <c r="U55" s="622"/>
      <c r="V55" s="622"/>
      <c r="W55" s="622"/>
      <c r="X55" s="622"/>
      <c r="Y55" s="622"/>
      <c r="Z55" s="622"/>
      <c r="AA55" s="622"/>
      <c r="AB55" s="622"/>
      <c r="AC55" s="596"/>
      <c r="AD55" s="596"/>
      <c r="AE55" s="596"/>
      <c r="AF55" s="596"/>
    </row>
    <row r="56" spans="2:42" ht="37.15" customHeight="1" x14ac:dyDescent="0.25">
      <c r="B56" s="596"/>
      <c r="C56" s="613"/>
      <c r="D56" s="613"/>
      <c r="E56" s="613"/>
      <c r="F56" s="566" t="s">
        <v>299</v>
      </c>
      <c r="G56" s="767" t="str">
        <f>IF(N22="","Nodwch hyd talu'r benthyciad yn ôl yn 1b",N22)</f>
        <v>Nodwch hyd talu'r benthyciad yn ôl yn 1b</v>
      </c>
      <c r="H56" s="614"/>
      <c r="I56" s="614"/>
      <c r="J56" s="623"/>
      <c r="K56" s="623"/>
      <c r="L56" s="596"/>
      <c r="M56" s="596"/>
      <c r="N56" s="596"/>
      <c r="O56" s="596"/>
      <c r="P56" s="628"/>
      <c r="Q56" s="629"/>
      <c r="R56" s="610"/>
      <c r="S56" s="610"/>
      <c r="T56" s="622"/>
      <c r="U56" s="622"/>
      <c r="V56" s="622"/>
      <c r="W56" s="622"/>
      <c r="X56" s="622"/>
      <c r="Y56" s="622"/>
      <c r="Z56" s="622"/>
      <c r="AA56" s="622"/>
      <c r="AB56" s="622"/>
      <c r="AC56" s="596"/>
      <c r="AD56" s="596"/>
      <c r="AE56" s="596"/>
      <c r="AF56" s="596"/>
    </row>
    <row r="57" spans="2:42" ht="25" customHeight="1" x14ac:dyDescent="0.25">
      <c r="B57" s="596"/>
      <c r="C57" s="613"/>
      <c r="D57" s="613"/>
      <c r="E57" s="613"/>
      <c r="F57" s="567" t="s">
        <v>300</v>
      </c>
      <c r="G57" s="770">
        <f>IF(SUM(Q70:Q93)="","",SUM(Q70:Q93))</f>
        <v>0</v>
      </c>
      <c r="H57" s="614"/>
      <c r="I57" s="614"/>
      <c r="J57" s="623"/>
      <c r="K57" s="623"/>
      <c r="L57" s="596"/>
      <c r="M57" s="596"/>
      <c r="N57" s="596"/>
      <c r="O57" s="596"/>
      <c r="P57" s="628"/>
      <c r="Q57" s="629"/>
      <c r="R57" s="610"/>
      <c r="S57" s="610"/>
      <c r="T57" s="622"/>
      <c r="U57" s="622"/>
      <c r="V57" s="622"/>
      <c r="W57" s="622"/>
      <c r="X57" s="622"/>
      <c r="Y57" s="622"/>
      <c r="Z57" s="622"/>
      <c r="AA57" s="622"/>
      <c r="AB57" s="622"/>
      <c r="AC57" s="596"/>
      <c r="AD57" s="596"/>
      <c r="AE57" s="596"/>
      <c r="AF57" s="596"/>
    </row>
    <row r="58" spans="2:42" ht="25" customHeight="1" x14ac:dyDescent="0.25">
      <c r="B58" s="596"/>
      <c r="C58" s="613"/>
      <c r="D58" s="613"/>
      <c r="E58" s="632"/>
      <c r="F58" s="567" t="s">
        <v>301</v>
      </c>
      <c r="G58" s="771" t="str">
        <f>IF(N15=1,D49,IF(N15="","",(SUM(AD70:AD93))))</f>
        <v/>
      </c>
      <c r="H58" s="618"/>
      <c r="I58" s="614"/>
      <c r="J58" s="623"/>
      <c r="K58" s="623"/>
      <c r="L58" s="596"/>
      <c r="M58" s="596"/>
      <c r="N58" s="596"/>
      <c r="O58" s="596"/>
      <c r="P58" s="628"/>
      <c r="Q58" s="629"/>
      <c r="R58" s="610"/>
      <c r="S58" s="610"/>
      <c r="T58" s="622"/>
      <c r="U58" s="622"/>
      <c r="V58" s="622"/>
      <c r="W58" s="622"/>
      <c r="X58" s="622"/>
      <c r="Y58" s="622"/>
      <c r="Z58" s="622"/>
      <c r="AA58" s="622"/>
      <c r="AB58" s="622"/>
      <c r="AC58" s="596"/>
      <c r="AD58" s="596"/>
      <c r="AE58" s="596"/>
      <c r="AF58" s="596"/>
    </row>
    <row r="59" spans="2:42" ht="15" customHeight="1" x14ac:dyDescent="0.25">
      <c r="B59" s="596"/>
      <c r="C59" s="613"/>
      <c r="D59" s="613"/>
      <c r="E59" s="613"/>
      <c r="F59" s="624"/>
      <c r="G59" s="633"/>
      <c r="H59" s="614"/>
      <c r="I59" s="614"/>
      <c r="J59" s="623"/>
      <c r="K59" s="623"/>
      <c r="L59" s="596"/>
      <c r="M59" s="596"/>
      <c r="N59" s="596"/>
      <c r="O59" s="596"/>
      <c r="P59" s="628"/>
      <c r="Q59" s="629"/>
      <c r="R59" s="610"/>
      <c r="S59" s="610"/>
      <c r="T59" s="622"/>
      <c r="U59" s="622"/>
      <c r="V59" s="622"/>
      <c r="W59" s="622"/>
      <c r="X59" s="622"/>
      <c r="Y59" s="622"/>
      <c r="Z59" s="622"/>
      <c r="AA59" s="622"/>
      <c r="AB59" s="622"/>
      <c r="AC59" s="596"/>
      <c r="AD59" s="596"/>
      <c r="AE59" s="596"/>
      <c r="AF59" s="596"/>
    </row>
    <row r="60" spans="2:42" hidden="1" x14ac:dyDescent="0.25">
      <c r="B60" s="596"/>
      <c r="C60" s="613"/>
      <c r="D60" s="613"/>
      <c r="E60" s="613"/>
      <c r="F60" s="613"/>
      <c r="G60" s="613"/>
      <c r="H60" s="614"/>
      <c r="I60" s="614"/>
      <c r="J60" s="623"/>
      <c r="K60" s="623"/>
      <c r="L60" s="635" t="s">
        <v>302</v>
      </c>
      <c r="M60" s="636">
        <f ca="1">IF(N18="","",(SUM(AD70:AD93)))</f>
        <v>0</v>
      </c>
      <c r="N60" s="615" t="s">
        <v>303</v>
      </c>
      <c r="O60" s="626" t="s">
        <v>271</v>
      </c>
      <c r="P60" s="628"/>
      <c r="Q60" s="629"/>
      <c r="R60" s="610"/>
      <c r="S60" s="610"/>
      <c r="T60" s="622"/>
      <c r="U60" s="622"/>
      <c r="V60" s="622"/>
      <c r="W60" s="622"/>
      <c r="X60" s="622"/>
      <c r="Y60" s="622"/>
      <c r="Z60" s="622"/>
      <c r="AA60" s="622"/>
      <c r="AB60" s="622"/>
      <c r="AC60" s="596"/>
      <c r="AD60" s="596"/>
      <c r="AE60" s="596"/>
      <c r="AF60" s="596"/>
    </row>
    <row r="61" spans="2:42" hidden="1" x14ac:dyDescent="0.25">
      <c r="B61" s="596"/>
      <c r="C61" s="613"/>
      <c r="D61" s="613"/>
      <c r="E61" s="613"/>
      <c r="F61" s="613"/>
      <c r="G61" s="613"/>
      <c r="H61" s="614"/>
      <c r="I61" s="614"/>
      <c r="J61" s="623"/>
      <c r="K61" s="623"/>
      <c r="L61" s="635" t="s">
        <v>304</v>
      </c>
      <c r="M61" s="637">
        <f ca="1">IF(N18="","",(SUM(M60+AO20)))</f>
        <v>0</v>
      </c>
      <c r="N61" s="615" t="s">
        <v>305</v>
      </c>
      <c r="O61" s="626" t="s">
        <v>271</v>
      </c>
      <c r="P61" s="628"/>
      <c r="Q61" s="629"/>
      <c r="R61" s="610"/>
      <c r="S61" s="610"/>
      <c r="T61" s="622"/>
      <c r="U61" s="622"/>
      <c r="V61" s="622"/>
      <c r="W61" s="622"/>
      <c r="X61" s="622"/>
      <c r="Y61" s="622"/>
      <c r="Z61" s="622"/>
      <c r="AA61" s="622"/>
      <c r="AB61" s="622"/>
      <c r="AC61" s="596"/>
      <c r="AD61" s="596"/>
      <c r="AE61" s="596"/>
      <c r="AF61" s="596"/>
    </row>
    <row r="62" spans="2:42" hidden="1" x14ac:dyDescent="0.25">
      <c r="B62" s="596"/>
      <c r="C62" s="638"/>
      <c r="D62" s="638"/>
      <c r="E62" s="638"/>
      <c r="F62" s="638"/>
      <c r="G62" s="638"/>
      <c r="H62" s="618"/>
      <c r="I62" s="618"/>
      <c r="J62" s="623"/>
      <c r="K62" s="623"/>
      <c r="L62" s="635" t="s">
        <v>306</v>
      </c>
      <c r="M62" s="615" t="str">
        <f>IF(N18="","Input value to 1b",N18)</f>
        <v>Nodwch hyd talu'r benthyciad yn ôl yn 1a.</v>
      </c>
      <c r="N62" s="615" t="str">
        <f>TRIM(AO29)</f>
        <v>1900</v>
      </c>
      <c r="O62" s="626" t="s">
        <v>307</v>
      </c>
      <c r="P62" s="628"/>
      <c r="Q62" s="629"/>
      <c r="R62" s="610"/>
      <c r="S62" s="610"/>
      <c r="T62" s="622"/>
      <c r="U62" s="622"/>
      <c r="V62" s="622"/>
      <c r="W62" s="622"/>
      <c r="X62" s="622"/>
      <c r="Y62" s="622"/>
      <c r="Z62" s="622"/>
      <c r="AA62" s="622"/>
      <c r="AB62" s="622"/>
      <c r="AC62" s="622"/>
      <c r="AD62" s="596"/>
      <c r="AE62" s="596"/>
      <c r="AF62" s="596"/>
    </row>
    <row r="63" spans="2:42" hidden="1" x14ac:dyDescent="0.25">
      <c r="B63" s="596"/>
      <c r="C63" s="638"/>
      <c r="D63" s="638"/>
      <c r="E63" s="638"/>
      <c r="F63" s="638"/>
      <c r="G63" s="638"/>
      <c r="H63" s="618"/>
      <c r="I63" s="618"/>
      <c r="J63" s="623"/>
      <c r="K63" s="623"/>
      <c r="L63" s="623"/>
      <c r="M63" s="615"/>
      <c r="N63" s="615" t="str">
        <f>TRIM(D49)</f>
        <v/>
      </c>
      <c r="O63" s="626" t="s">
        <v>308</v>
      </c>
      <c r="P63" s="628"/>
      <c r="Q63" s="629"/>
      <c r="R63" s="610"/>
      <c r="S63" s="610"/>
      <c r="T63" s="622"/>
      <c r="U63" s="622"/>
      <c r="V63" s="622"/>
      <c r="W63" s="622"/>
      <c r="X63" s="622"/>
      <c r="Y63" s="622"/>
      <c r="Z63" s="622"/>
      <c r="AA63" s="622"/>
      <c r="AB63" s="622"/>
      <c r="AC63" s="622"/>
      <c r="AD63" s="596"/>
      <c r="AE63" s="596"/>
      <c r="AF63" s="596"/>
    </row>
    <row r="64" spans="2:42" hidden="1" x14ac:dyDescent="0.25">
      <c r="B64" s="596"/>
      <c r="C64" s="844"/>
      <c r="D64" s="844"/>
      <c r="E64" s="844"/>
      <c r="F64" s="558"/>
      <c r="G64" s="639"/>
      <c r="H64" s="639"/>
      <c r="I64" s="639"/>
      <c r="J64" s="634"/>
      <c r="K64" s="640"/>
      <c r="L64" s="640"/>
      <c r="M64" s="641" t="str">
        <f>TRIM(N18)</f>
        <v>Nodwch hyd talu'r benthyciad yn ôl yn 1a.</v>
      </c>
      <c r="N64" s="642">
        <v>0.01</v>
      </c>
      <c r="O64" s="626" t="s">
        <v>271</v>
      </c>
      <c r="P64" s="628"/>
      <c r="Q64" s="629"/>
      <c r="R64" s="610"/>
      <c r="S64" s="610"/>
      <c r="T64" s="622"/>
      <c r="U64" s="622"/>
      <c r="V64" s="622"/>
      <c r="W64" s="622"/>
      <c r="X64" s="622"/>
      <c r="Y64" s="622"/>
      <c r="Z64" s="622"/>
      <c r="AA64" s="622"/>
      <c r="AB64" s="622"/>
      <c r="AC64" s="622"/>
      <c r="AD64" s="596"/>
      <c r="AE64" s="596"/>
      <c r="AF64" s="596"/>
    </row>
    <row r="65" spans="2:32" hidden="1" x14ac:dyDescent="0.25">
      <c r="B65" s="596"/>
      <c r="C65" s="643"/>
      <c r="D65" s="643"/>
      <c r="E65" s="610"/>
      <c r="F65" s="610"/>
      <c r="G65" s="639"/>
      <c r="H65" s="639"/>
      <c r="I65" s="639"/>
      <c r="J65" s="634"/>
      <c r="K65" s="644"/>
      <c r="L65" s="644"/>
      <c r="M65" s="570"/>
      <c r="N65" s="570"/>
      <c r="O65" s="645" t="s">
        <v>309</v>
      </c>
      <c r="P65" s="646"/>
      <c r="Q65" s="629"/>
      <c r="R65" s="647"/>
      <c r="S65" s="647"/>
      <c r="T65" s="622"/>
      <c r="U65" s="622"/>
      <c r="V65" s="622"/>
      <c r="W65" s="622"/>
      <c r="X65" s="622"/>
      <c r="Y65" s="622"/>
      <c r="Z65" s="622"/>
      <c r="AA65" s="622"/>
      <c r="AB65" s="622"/>
      <c r="AC65" s="622"/>
      <c r="AD65" s="596"/>
      <c r="AE65" s="596"/>
      <c r="AF65" s="596"/>
    </row>
    <row r="66" spans="2:32" hidden="1" x14ac:dyDescent="0.25">
      <c r="B66" s="596"/>
      <c r="C66" s="643"/>
      <c r="D66" s="643"/>
      <c r="E66" s="610"/>
      <c r="F66" s="610"/>
      <c r="G66" s="639"/>
      <c r="H66" s="639"/>
      <c r="I66" s="639"/>
      <c r="J66" s="634"/>
      <c r="K66" s="644"/>
      <c r="L66" s="644"/>
      <c r="M66" s="571"/>
      <c r="N66" s="572">
        <f>MONTH(D54)</f>
        <v>1</v>
      </c>
      <c r="O66" s="645" t="s">
        <v>310</v>
      </c>
      <c r="P66" s="645"/>
      <c r="Q66" s="624"/>
      <c r="R66" s="648"/>
      <c r="S66" s="649"/>
      <c r="T66" s="622"/>
      <c r="U66" s="622"/>
      <c r="V66" s="622"/>
      <c r="W66" s="622"/>
      <c r="X66" s="622"/>
      <c r="Y66" s="622"/>
      <c r="Z66" s="622"/>
      <c r="AA66" s="622"/>
      <c r="AB66" s="622"/>
      <c r="AC66" s="622"/>
      <c r="AD66" s="596"/>
      <c r="AE66" s="596"/>
      <c r="AF66" s="596"/>
    </row>
    <row r="67" spans="2:32" ht="19.5" x14ac:dyDescent="0.25">
      <c r="B67" s="596"/>
      <c r="C67" s="947" t="s">
        <v>311</v>
      </c>
      <c r="D67" s="947"/>
      <c r="E67" s="947" t="str">
        <f>IF(N15=1,"Gallwch hepgor adran 3 os bydd y benthyciad yn cael ei ad-dalu mewn blwyddyn (1a).","")</f>
        <v/>
      </c>
      <c r="F67" s="947"/>
      <c r="G67" s="947"/>
      <c r="H67" s="947"/>
      <c r="I67" s="947"/>
      <c r="J67" s="947"/>
      <c r="K67" s="947"/>
      <c r="L67" s="947"/>
      <c r="M67" s="947"/>
      <c r="N67" s="761"/>
      <c r="O67" s="645"/>
      <c r="P67" s="645"/>
      <c r="Q67" s="624"/>
      <c r="R67" s="648"/>
      <c r="S67" s="649"/>
      <c r="T67" s="622"/>
      <c r="U67" s="622"/>
      <c r="V67" s="622"/>
      <c r="W67" s="622"/>
      <c r="X67" s="622"/>
      <c r="Y67" s="622"/>
      <c r="Z67" s="622"/>
      <c r="AA67" s="622"/>
      <c r="AB67" s="622"/>
      <c r="AC67" s="622"/>
      <c r="AD67" s="596"/>
      <c r="AE67" s="596"/>
      <c r="AF67" s="596"/>
    </row>
    <row r="68" spans="2:32" ht="7.5" customHeight="1" x14ac:dyDescent="0.25">
      <c r="B68" s="596"/>
      <c r="C68" s="643"/>
      <c r="D68" s="643"/>
      <c r="E68" s="610"/>
      <c r="F68" s="610"/>
      <c r="G68" s="639"/>
      <c r="H68" s="639"/>
      <c r="I68" s="639"/>
      <c r="J68" s="634"/>
      <c r="K68" s="644"/>
      <c r="L68" s="644"/>
      <c r="M68" s="571"/>
      <c r="N68" s="572"/>
      <c r="O68" s="645"/>
      <c r="P68" s="645"/>
      <c r="Q68" s="624"/>
      <c r="R68" s="648"/>
      <c r="S68" s="649"/>
      <c r="T68" s="622"/>
      <c r="U68" s="622"/>
      <c r="V68" s="622"/>
      <c r="W68" s="622"/>
      <c r="X68" s="622"/>
      <c r="Y68" s="622"/>
      <c r="Z68" s="622"/>
      <c r="AA68" s="622"/>
      <c r="AB68" s="622"/>
      <c r="AC68" s="622"/>
      <c r="AD68" s="596"/>
      <c r="AE68" s="596"/>
      <c r="AF68" s="596"/>
    </row>
    <row r="69" spans="2:32" ht="66.650000000000006" customHeight="1" x14ac:dyDescent="0.25">
      <c r="B69" s="596"/>
      <c r="C69" s="744" t="s">
        <v>312</v>
      </c>
      <c r="D69" s="745" t="s">
        <v>313</v>
      </c>
      <c r="E69" s="745" t="s">
        <v>314</v>
      </c>
      <c r="F69" s="746" t="s">
        <v>315</v>
      </c>
      <c r="G69" s="745" t="s">
        <v>316</v>
      </c>
      <c r="H69" s="745" t="s">
        <v>317</v>
      </c>
      <c r="I69" s="745" t="s">
        <v>318</v>
      </c>
      <c r="J69" s="745" t="s">
        <v>319</v>
      </c>
      <c r="K69" s="745" t="s">
        <v>320</v>
      </c>
      <c r="L69" s="747" t="s">
        <v>321</v>
      </c>
      <c r="M69" s="747" t="s">
        <v>245</v>
      </c>
      <c r="N69" s="747" t="s">
        <v>322</v>
      </c>
      <c r="O69" s="747" t="s">
        <v>323</v>
      </c>
      <c r="P69" s="748" t="s">
        <v>324</v>
      </c>
      <c r="Q69" s="748" t="s">
        <v>325</v>
      </c>
      <c r="R69" s="747" t="s">
        <v>326</v>
      </c>
      <c r="S69" s="747" t="s">
        <v>327</v>
      </c>
      <c r="T69" s="747" t="s">
        <v>328</v>
      </c>
      <c r="U69" s="745" t="s">
        <v>329</v>
      </c>
      <c r="V69" s="745" t="s">
        <v>330</v>
      </c>
      <c r="W69" s="746" t="s">
        <v>331</v>
      </c>
      <c r="X69" s="746" t="s">
        <v>332</v>
      </c>
      <c r="Y69" s="746" t="s">
        <v>333</v>
      </c>
      <c r="Z69" s="749" t="s">
        <v>334</v>
      </c>
      <c r="AA69" s="749" t="s">
        <v>335</v>
      </c>
      <c r="AB69" s="750" t="s">
        <v>336</v>
      </c>
      <c r="AC69" s="751" t="s">
        <v>337</v>
      </c>
      <c r="AD69" s="751" t="s">
        <v>338</v>
      </c>
      <c r="AE69" s="596"/>
      <c r="AF69" s="596"/>
    </row>
    <row r="70" spans="2:32" x14ac:dyDescent="0.25">
      <c r="B70" s="596"/>
      <c r="C70" s="574">
        <v>45593</v>
      </c>
      <c r="D70" s="575">
        <v>45716</v>
      </c>
      <c r="E70" s="576" t="str">
        <f>IF((LEFT(G70,4))=(LEFT(AO29,4)),"1",IF((LEFT(G70,4))&lt;(LEFT(AO29,4)),"N/A",IF((LEFT(G70,4))&gt;(LEFT(AO29,4)),"N/A",)))</f>
        <v>N/A</v>
      </c>
      <c r="F70" s="576" t="str">
        <f>IF(H70=AN27,"1",IF(H70&lt;AN27,"N/A",IF(H70&gt;AN27,"2")))</f>
        <v>2</v>
      </c>
      <c r="G70" s="577" t="s">
        <v>339</v>
      </c>
      <c r="H70" s="578" t="str">
        <f>LEFT(Table145242[[#This Row],[Blwyddyn Ariannol y Taliad]],4)</f>
        <v>2024</v>
      </c>
      <c r="I70" s="578" t="str">
        <f>TRIM(Table145242[[#This Row],[Cuddio Colofn, BT Gyntaf]])</f>
        <v>2024</v>
      </c>
      <c r="J70" s="579" t="str">
        <f>TRIM(AO16)</f>
        <v>1899</v>
      </c>
      <c r="K70" s="577" t="str">
        <f>IF(L32="Yes",N31,D49)</f>
        <v/>
      </c>
      <c r="L70" s="580" t="str">
        <f>IF(I70=$AO$26,$D$49,D49)</f>
        <v/>
      </c>
      <c r="M70" s="581" t="str">
        <f>IF(Table145242[[#This Row],[Cuddio Colofn]]&gt;AN27,IF(AND(W70&gt;=0.1,W70&lt;N18),N18,IF(I70&gt;=AO29,N18,"N/A")),0)</f>
        <v>Nodwch hyd talu'r benthyciad yn ôl yn 1a.</v>
      </c>
      <c r="N70" s="580" t="e">
        <f>IF(Table145242[[#This Row],[Cuddio Colofn]]&lt;AN27,"",IF(Table145242[[#This Row],[Cuddio Colofn]]=AN27,G49,SUM(SUM(Table145242[[#This Row],[Balans Cyfalaf Cychwynnol]]*D50))))</f>
        <v>#VALUE!</v>
      </c>
      <c r="O70" s="580" t="str">
        <f>IF(AB71="Ad-daliadau cyfalaf wedi gorffen",Table145242[[#This Row],[Balans Cyfalaf Cychwynnol]],IF(Table145242[[#This Row],[Cuddio Colofn]]&gt;=AO26,IFERROR((Table145242[[#This Row],[Isafswm gwerth ad-dalu gofynnol (y flwyddyn)]]-Table145242[[#This Row],[Taliad Llog]]),0),0))</f>
        <v/>
      </c>
      <c r="P70" s="582" t="str">
        <f>TRIM(Table145242[[#This Row],[Ad-daliad Cyfalaf]])</f>
        <v/>
      </c>
      <c r="Q70" s="573">
        <v>0</v>
      </c>
      <c r="R70" s="580">
        <f>SUM(Table145242[[#This Row],[Ad-daliad Cyfalaf]:[Ad-daliad Cyfalaf Cynnar]])</f>
        <v>0</v>
      </c>
      <c r="S70" s="580" t="e">
        <f>SUM(Table145242[[#This Row],[Taliad Llog]:[Ad-daliad Cyfalaf Cynnar]])</f>
        <v>#VALUE!</v>
      </c>
      <c r="T70" s="581" t="str">
        <f>IF(Table145242[[#This Row],[Cyfanswm Ad-daliad (heb gynnwys taliadau llog)]]=0,Table145242[[#This Row],[Balans Cyfalaf Cychwynnol]],L70-R70)</f>
        <v/>
      </c>
      <c r="U70" s="580">
        <f>Table145242[[#This Row],[Cyfanswm Ad-daliad (heb gynnwys taliadau llog)]]</f>
        <v>0</v>
      </c>
      <c r="V70" s="580" t="e">
        <f>Table145242[[#This Row],[Taliad Llog]]</f>
        <v>#VALUE!</v>
      </c>
      <c r="W70" s="583" t="str">
        <f>N18</f>
        <v>Nodwch hyd talu'r benthyciad yn ôl yn 1a.</v>
      </c>
      <c r="X70" s="583" t="str">
        <f>IF(Table145242[[#This Row],[Prawf Balans ar y Diwedd - mae''n dangos beth ddylai''r taliad terfynol fod]]&lt;M62,Table145242[[#This Row],[Prawf Balans ar y Diwedd - mae''n dangos beth ddylai''r taliad terfynol fod]],"")</f>
        <v/>
      </c>
      <c r="Y70" s="584" t="str">
        <f>TRIM(Table145242[[#This Row],[Taliadau Cyfalaf Cronnol]])</f>
        <v>0</v>
      </c>
      <c r="Z70" s="585" t="e">
        <f>IF(Table145242[[#This Row],[Balans Cyfalaf ar y Diwedd]]=D49,Table145242[[#This Row],[Taliad Llog]],0)</f>
        <v>#VALUE!</v>
      </c>
      <c r="AA70" s="585">
        <f>IFERROR(VALUE(Table145242[[#This Row],[Rhif Talu Ad-daliad Cyfalaf]]), 0)</f>
        <v>0</v>
      </c>
      <c r="AB70" s="586" t="str">
        <f>IF(OR(L69&lt;=$N$18,AB69="Ad-daliadau cyfalaf wedi gorffen"),"Ad-daliadau Cyfalaf wedi Gorffen","Ad-daliadau cyfalaf yn anghyflawn")</f>
        <v>Ad-daliadau Cyfalaf wedi Gorffen</v>
      </c>
      <c r="AC70" s="819">
        <f>IF(Table145242[[#This Row],[Statws Ad-dalu]]="Ad-daliadau cyfalaf wedi gorffen",0,Table145242[[#This Row],[Taliad Llog]])</f>
        <v>0</v>
      </c>
      <c r="AD70" s="592" t="str">
        <f>IFERROR(IF(Table145242[[#This Row],[Ad-daliad Cyfalaf]]&lt;=0,0,IF(Table145242[[#This Row],[Statws Ad-dalu]]="Capital Repayments Finished",0,Table145242[[#This Row],[Ad-daliad Cyfalaf]])),0)</f>
        <v/>
      </c>
      <c r="AE70" s="596"/>
      <c r="AF70" s="596"/>
    </row>
    <row r="71" spans="2:32" x14ac:dyDescent="0.25">
      <c r="B71" s="596"/>
      <c r="C71" s="587">
        <v>45717</v>
      </c>
      <c r="D71" s="588">
        <v>46081</v>
      </c>
      <c r="E71" s="576" t="str">
        <f>IFERROR(IF((LEFT(G71,4))=(LEFT(AO29,4)),"1",IF((LEFT(G71,4))&lt;(LEFT(AO29,4)),"N/A",IF((LEFT(G71,4))&gt;(LEFT(AO29,4)),E70+1,))),"")</f>
        <v/>
      </c>
      <c r="F71" s="576">
        <f>IF(H71=AN27,"1",IF(H71&lt;AN27,"N/A",IF(H71&gt;AN27,SUM(F70+1))))</f>
        <v>3</v>
      </c>
      <c r="G71" s="589" t="s">
        <v>340</v>
      </c>
      <c r="H71" s="578" t="str">
        <f>LEFT(Table145242[[#This Row],[Blwyddyn Ariannol y Taliad]],4)</f>
        <v>2025</v>
      </c>
      <c r="I71" s="578" t="str">
        <f>TRIM(Table145242[[#This Row],[Cuddio Colofn, BT Gyntaf]])</f>
        <v>2025</v>
      </c>
      <c r="J71" s="579" t="str">
        <f>TRIM(AO16)</f>
        <v>1899</v>
      </c>
      <c r="K71" s="577" t="str">
        <f>IF(L33="Yes",N31+N32,D49)</f>
        <v/>
      </c>
      <c r="L71" s="580" t="str">
        <f>IF(I71=$AO$26,$D$49,T70)</f>
        <v/>
      </c>
      <c r="M71" s="581" t="e">
        <f>IF(SUM(T70+Table145242[[#This Row],[Taliad Llog]])&lt;N18,SUM(Table145242[[#This Row],[Balans Cyfalaf Cychwynnol]]+Table145242[[#This Row],[Taliad Llog]]),IF(Table145242[[#This Row],[Cuddio Colofn]]&gt;AN27,IF(AND(W71&gt;=0.1,W71&lt;N18),N18,IF(I71&gt;=AO29,N18,0)),0))</f>
        <v>#VALUE!</v>
      </c>
      <c r="N71" s="580" t="e">
        <f>IF(Table145242[[#This Row],[Cuddio Colofn]]&lt;AN27,"",IF(Table145242[[#This Row],[Cuddio Colofn]]=AN27,G49,IF(L32="Yes",AQ20,SUM(SUM(Table145242[[#This Row],[Balans Cyfalaf Cychwynnol]]*D50)))))</f>
        <v>#VALUE!</v>
      </c>
      <c r="O71" s="580" t="str">
        <f>IF(AB72="Ad-daliadau cyfalaf wedi gorffen",Table145242[[#This Row],[Balans Cyfalaf Cychwynnol]],IF(Table145242[[#This Row],[Cuddio Colofn]]&gt;=AO27,IFERROR((Table145242[[#This Row],[Isafswm gwerth ad-dalu gofynnol (y flwyddyn)]]-Table145242[[#This Row],[Taliad Llog]]),0),0))</f>
        <v/>
      </c>
      <c r="P71" s="582" t="str">
        <f>TRIM(Table145242[[#This Row],[Ad-daliad Cyfalaf]])</f>
        <v/>
      </c>
      <c r="Q71" s="573">
        <v>0</v>
      </c>
      <c r="R71" s="580">
        <f>SUM(Table145242[[#This Row],[Ad-daliad Cyfalaf]:[Ad-daliad Cyfalaf Cynnar]])</f>
        <v>0</v>
      </c>
      <c r="S71" s="580" t="e">
        <f>SUM(Table145242[[#This Row],[Taliad Llog]:[Ad-daliad Cyfalaf Cynnar]])</f>
        <v>#VALUE!</v>
      </c>
      <c r="T71" s="581" t="str">
        <f>IF(Table145242[[#This Row],[Cyfanswm Ad-daliad (heb gynnwys taliadau llog)]]=0,Table145242[[#This Row],[Balans Cyfalaf Cychwynnol]],L71-R71)</f>
        <v/>
      </c>
      <c r="U71" s="580">
        <f>U70+Table145242[[#This Row],[Cyfanswm Ad-daliad (heb gynnwys taliadau llog)]]</f>
        <v>0</v>
      </c>
      <c r="V71" s="580" t="e">
        <f>V70+Table145242[[#This Row],[Taliad Llog]]</f>
        <v>#VALUE!</v>
      </c>
      <c r="W71" s="583" t="str">
        <f>IF(N18="","",IF(M62&gt;T70,T70,M62))</f>
        <v/>
      </c>
      <c r="X71" s="583" t="str">
        <f>IF(Table145242[[#This Row],[Prawf Balans ar y Diwedd - mae''n dangos beth ddylai''r taliad terfynol fod]]&lt;M62,Table145242[[#This Row],[Prawf Balans ar y Diwedd - mae''n dangos beth ddylai''r taliad terfynol fod]],"")</f>
        <v/>
      </c>
      <c r="Y71" s="584" t="str">
        <f>TRIM(Table145242[[#This Row],[Taliadau Cyfalaf Cronnol]])</f>
        <v>0</v>
      </c>
      <c r="Z71" s="585" t="e">
        <f>IF(Table145242[[#This Row],[Balans Cyfalaf ar y Diwedd]]=D49,Table145242[[#This Row],[Taliad Llog]],0)</f>
        <v>#VALUE!</v>
      </c>
      <c r="AA71" s="585">
        <f>IFERROR(VALUE(Table145242[[#This Row],[Rhif Talu Ad-daliad Cyfalaf]]), 0)</f>
        <v>0</v>
      </c>
      <c r="AB71" s="586" t="str">
        <f t="shared" ref="AB71:AB93" si="0">IF(OR(L70&lt;=$N$18,AB70="Ad-daliadau cyfalaf wedi gorffen"),"Ad-daliadau Cyfalaf wedi Gorffen","Ad-daliadau cyfalaf yn anghyflawn")</f>
        <v>Ad-daliadau Cyfalaf wedi Gorffen</v>
      </c>
      <c r="AC71" s="820">
        <f>IF(Table145242[[#This Row],[Statws Ad-dalu]]="Ad-daliadau cyfalaf wedi gorffen",0,Table145242[[#This Row],[Taliad Llog]])</f>
        <v>0</v>
      </c>
      <c r="AD71" s="590" t="str">
        <f>IFERROR(IF(Table145242[[#This Row],[Ad-daliad Cyfalaf]]&lt;=0,0,IF(Table145242[[#This Row],[Statws Ad-dalu]]="Capital Repayments Finished",0,Table145242[[#This Row],[Ad-daliad Cyfalaf]])),0)</f>
        <v/>
      </c>
      <c r="AE71" s="596"/>
      <c r="AF71" s="596"/>
    </row>
    <row r="72" spans="2:32" x14ac:dyDescent="0.25">
      <c r="B72" s="596"/>
      <c r="C72" s="591">
        <v>46082</v>
      </c>
      <c r="D72" s="575">
        <v>46446</v>
      </c>
      <c r="E72" s="576" t="str">
        <f>IFERROR(IF((LEFT(G72,4))=(LEFT(AO29,4)),"1",IF((LEFT(G72,4))&lt;(LEFT(AO29,4)),"N/A",IF((LEFT(G72,4))&gt;(LEFT(AO29,4)),E71+1,))),"")</f>
        <v/>
      </c>
      <c r="F72" s="576">
        <f>IF(H72=AN27,"1",IF(H72&lt;AN27,"N/A",IF(H72&gt;AN27,SUM(F71+1))))</f>
        <v>4</v>
      </c>
      <c r="G72" s="577" t="s">
        <v>341</v>
      </c>
      <c r="H72" s="578" t="str">
        <f>LEFT(Table145242[[#This Row],[Blwyddyn Ariannol y Taliad]],4)</f>
        <v>2026</v>
      </c>
      <c r="I72" s="578" t="str">
        <f>TRIM(Table145242[[#This Row],[Cuddio Colofn, BT Gyntaf]])</f>
        <v>2026</v>
      </c>
      <c r="J72" s="579" t="str">
        <f>TRIM(AO16)</f>
        <v>1899</v>
      </c>
      <c r="K72" s="577" t="str">
        <f>D49</f>
        <v/>
      </c>
      <c r="L72" s="580" t="str">
        <f>IF(I72=$AO$26,$D$49,T71)</f>
        <v/>
      </c>
      <c r="M72" s="581" t="e">
        <f>IF(SUM(T71+Table145242[[#This Row],[Taliad Llog]])&lt;N18,SUM(Table145242[[#This Row],[Balans Cyfalaf Cychwynnol]]+Table145242[[#This Row],[Taliad Llog]]),IF(Table145242[[#This Row],[Cuddio Colofn]]&gt;AN27,IF(AND(W72&gt;=0.1,W72&lt;N18),N18,IF(I72&gt;=AO29,N18,0)),0))</f>
        <v>#VALUE!</v>
      </c>
      <c r="N72" s="580" t="e">
        <f>IF(Table145242[[#This Row],[Cuddio Colofn]]&lt;AN27,"",IF(Table145242[[#This Row],[Cuddio Colofn]]=AN27,G49,IF(L33="Yes",AS20,SUM(SUM(Table145242[[#This Row],[Balans Cyfalaf Cychwynnol]]*D50)))))</f>
        <v>#VALUE!</v>
      </c>
      <c r="O72" s="580" t="str">
        <f>IF(AB73="Ad-daliadau cyfalaf wedi gorffen",Table145242[[#This Row],[Balans Cyfalaf Cychwynnol]],IF(Table145242[[#This Row],[Cuddio Colofn]]&gt;=AO28,IFERROR((Table145242[[#This Row],[Isafswm gwerth ad-dalu gofynnol (y flwyddyn)]]-Table145242[[#This Row],[Taliad Llog]]),0),0))</f>
        <v/>
      </c>
      <c r="P72" s="582" t="str">
        <f>TRIM(Table145242[[#This Row],[Ad-daliad Cyfalaf]])</f>
        <v/>
      </c>
      <c r="Q72" s="573">
        <v>0</v>
      </c>
      <c r="R72" s="580">
        <f>SUM(Table145242[[#This Row],[Ad-daliad Cyfalaf]:[Ad-daliad Cyfalaf Cynnar]])</f>
        <v>0</v>
      </c>
      <c r="S72" s="580" t="e">
        <f>SUM(Table145242[[#This Row],[Taliad Llog]:[Ad-daliad Cyfalaf Cynnar]])</f>
        <v>#VALUE!</v>
      </c>
      <c r="T72" s="581" t="str">
        <f>IF(Table145242[[#This Row],[Cyfanswm Ad-daliad (heb gynnwys taliadau llog)]]=0,Table145242[[#This Row],[Balans Cyfalaf Cychwynnol]],L72-R72)</f>
        <v/>
      </c>
      <c r="U72" s="580">
        <f>U71+Table145242[[#This Row],[Cyfanswm Ad-daliad (heb gynnwys taliadau llog)]]</f>
        <v>0</v>
      </c>
      <c r="V72" s="580" t="e">
        <f>V71+Table145242[[#This Row],[Taliad Llog]]</f>
        <v>#VALUE!</v>
      </c>
      <c r="W72" s="583" t="str">
        <f>IF(N18="","",IF(M62&gt;T71,T71,M62))</f>
        <v/>
      </c>
      <c r="X72" s="583" t="str">
        <f>IF(Table145242[[#This Row],[Prawf Balans ar y Diwedd - mae''n dangos beth ddylai''r taliad terfynol fod]]&lt;M62,Table145242[[#This Row],[Prawf Balans ar y Diwedd - mae''n dangos beth ddylai''r taliad terfynol fod]],"")</f>
        <v/>
      </c>
      <c r="Y72" s="584" t="str">
        <f>TRIM(Table145242[[#This Row],[Taliadau Cyfalaf Cronnol]])</f>
        <v>0</v>
      </c>
      <c r="Z72" s="585" t="e">
        <f>IF(Table145242[[#This Row],[Balans Cyfalaf ar y Diwedd]]=D49,Table145242[[#This Row],[Taliad Llog]],0)</f>
        <v>#VALUE!</v>
      </c>
      <c r="AA72" s="585">
        <f>IFERROR(VALUE(Table145242[[#This Row],[Rhif Talu Ad-daliad Cyfalaf]]), 0)</f>
        <v>0</v>
      </c>
      <c r="AB72" s="586" t="str">
        <f t="shared" si="0"/>
        <v>Ad-daliadau Cyfalaf wedi Gorffen</v>
      </c>
      <c r="AC72" s="820">
        <f>IF(Table145242[[#This Row],[Statws Ad-dalu]]="Ad-daliadau cyfalaf wedi gorffen",0,Table145242[[#This Row],[Taliad Llog]])</f>
        <v>0</v>
      </c>
      <c r="AD72" s="590" t="str">
        <f>IFERROR(IF(Table145242[[#This Row],[Ad-daliad Cyfalaf]]&lt;=0,0,IF(Table145242[[#This Row],[Statws Ad-dalu]]="Capital Repayments Finished",0,Table145242[[#This Row],[Ad-daliad Cyfalaf]])),0)</f>
        <v/>
      </c>
      <c r="AE72" s="596"/>
      <c r="AF72" s="596"/>
    </row>
    <row r="73" spans="2:32" x14ac:dyDescent="0.25">
      <c r="B73" s="596"/>
      <c r="C73" s="587">
        <v>46447</v>
      </c>
      <c r="D73" s="588">
        <v>46811</v>
      </c>
      <c r="E73" s="576" t="str">
        <f>IFERROR(IF((LEFT(G73,4))=(LEFT(AO29,4)),"1",IF((LEFT(G73,4))&lt;(LEFT(AO29,4)),"N/A",IF((LEFT(G73,4))&gt;(LEFT(AO29,4)),E72+1,))),"")</f>
        <v/>
      </c>
      <c r="F73" s="576">
        <f>IF(H73=AN27,"1",IF(H73&lt;AN27,"N/A",IF(H73&gt;AN27,SUM(F72+1))))</f>
        <v>5</v>
      </c>
      <c r="G73" s="589" t="s">
        <v>342</v>
      </c>
      <c r="H73" s="578" t="str">
        <f>LEFT(Table145242[[#This Row],[Blwyddyn Ariannol y Taliad]],4)</f>
        <v>2027</v>
      </c>
      <c r="I73" s="578" t="str">
        <f>TRIM(Table145242[[#This Row],[Cuddio Colofn, BT Gyntaf]])</f>
        <v>2027</v>
      </c>
      <c r="J73" s="579" t="str">
        <f>TRIM(AO16)</f>
        <v>1899</v>
      </c>
      <c r="K73" s="577" t="str">
        <f>D49</f>
        <v/>
      </c>
      <c r="L73" s="580" t="str">
        <f t="shared" ref="L73:L82" si="1">T72</f>
        <v/>
      </c>
      <c r="M73" s="581" t="e">
        <f>IF(SUM(T72+Table145242[[#This Row],[Taliad Llog]])&lt;N18,SUM(Table145242[[#This Row],[Balans Cyfalaf Cychwynnol]]+Table145242[[#This Row],[Taliad Llog]]),IF(Table145242[[#This Row],[Cuddio Colofn]]&gt;AN27,IF(AND(W73&gt;=0.1,W73&lt;N18),N18,IF(I73&gt;=AO29,N18,0)),0))</f>
        <v>#VALUE!</v>
      </c>
      <c r="N73" s="580" t="e">
        <f>IF(Table145242[[#This Row],[Cuddio Colofn]]&lt;AN27,"",IF(Table145242[[#This Row],[Cuddio Colofn]]=AN27,G49,SUM(SUM(Table145242[[#This Row],[Balans Cyfalaf Cychwynnol]]*D50))))</f>
        <v>#VALUE!</v>
      </c>
      <c r="O73" s="580" t="str">
        <f>IF(AB74="Ad-daliadau cyfalaf wedi gorffen",Table145242[[#This Row],[Balans Cyfalaf Cychwynnol]],IF(Table145242[[#This Row],[Cuddio Colofn]]&gt;=AO29,IFERROR((Table145242[[#This Row],[Isafswm gwerth ad-dalu gofynnol (y flwyddyn)]]-Table145242[[#This Row],[Taliad Llog]]),0),0))</f>
        <v/>
      </c>
      <c r="P73" s="582" t="str">
        <f>TRIM(Table145242[[#This Row],[Ad-daliad Cyfalaf]])</f>
        <v/>
      </c>
      <c r="Q73" s="573">
        <v>0</v>
      </c>
      <c r="R73" s="580">
        <f>SUM(Table145242[[#This Row],[Ad-daliad Cyfalaf]:[Ad-daliad Cyfalaf Cynnar]])</f>
        <v>0</v>
      </c>
      <c r="S73" s="580" t="e">
        <f>SUM(Table145242[[#This Row],[Taliad Llog]:[Ad-daliad Cyfalaf Cynnar]])</f>
        <v>#VALUE!</v>
      </c>
      <c r="T73" s="581" t="str">
        <f>IF(Table145242[[#This Row],[Cyfanswm Ad-daliad (heb gynnwys taliadau llog)]]=0,Table145242[[#This Row],[Balans Cyfalaf Cychwynnol]],L73-R73)</f>
        <v/>
      </c>
      <c r="U73" s="580">
        <f>U72+Table145242[[#This Row],[Cyfanswm Ad-daliad (heb gynnwys taliadau llog)]]</f>
        <v>0</v>
      </c>
      <c r="V73" s="580" t="e">
        <f>V72+Table145242[[#This Row],[Taliad Llog]]</f>
        <v>#VALUE!</v>
      </c>
      <c r="W73" s="583" t="str">
        <f>IF(N18="","",IF(M62&gt;T72,T72,M62))</f>
        <v/>
      </c>
      <c r="X73" s="583" t="str">
        <f>IF(Table145242[[#This Row],[Prawf Balans ar y Diwedd - mae''n dangos beth ddylai''r taliad terfynol fod]]&lt;M62,Table145242[[#This Row],[Prawf Balans ar y Diwedd - mae''n dangos beth ddylai''r taliad terfynol fod]],"")</f>
        <v/>
      </c>
      <c r="Y73" s="584" t="str">
        <f>TRIM(Table145242[[#This Row],[Taliadau Cyfalaf Cronnol]])</f>
        <v>0</v>
      </c>
      <c r="Z73" s="585" t="e">
        <f>IF(Table145242[[#This Row],[Balans Cyfalaf ar y Diwedd]]=D49,Table145242[[#This Row],[Taliad Llog]],0)</f>
        <v>#VALUE!</v>
      </c>
      <c r="AA73" s="585">
        <f>IFERROR(VALUE(Table145242[[#This Row],[Rhif Talu Ad-daliad Cyfalaf]]), 0)</f>
        <v>0</v>
      </c>
      <c r="AB73" s="586" t="str">
        <f t="shared" si="0"/>
        <v>Ad-daliadau Cyfalaf wedi Gorffen</v>
      </c>
      <c r="AC73" s="820">
        <f>IF(Table145242[[#This Row],[Statws Ad-dalu]]="Ad-daliadau cyfalaf wedi gorffen",0,Table145242[[#This Row],[Taliad Llog]])</f>
        <v>0</v>
      </c>
      <c r="AD73" s="590" t="str">
        <f>IFERROR(IF(Table145242[[#This Row],[Ad-daliad Cyfalaf]]&lt;=0,0,IF(Table145242[[#This Row],[Statws Ad-dalu]]="Capital Repayments Finished",0,Table145242[[#This Row],[Ad-daliad Cyfalaf]])),0)</f>
        <v/>
      </c>
      <c r="AE73" s="596"/>
      <c r="AF73" s="596"/>
    </row>
    <row r="74" spans="2:32" x14ac:dyDescent="0.25">
      <c r="B74" s="596"/>
      <c r="C74" s="591">
        <v>46813</v>
      </c>
      <c r="D74" s="575">
        <v>47177</v>
      </c>
      <c r="E74" s="576" t="str">
        <f>IFERROR(IF((LEFT(G74,4))=(LEFT(AO29,4)),"1",IF((LEFT(G74,4))&lt;(LEFT(AO29,4)),"N/A",IF((LEFT(G74,4))&gt;(LEFT(AO29,4)),E73+1,))),"")</f>
        <v/>
      </c>
      <c r="F74" s="576">
        <f>IF(H74=AN27,"1",IF(H74&lt;AN27,"N/A",IF(H74&gt;AN27,SUM(F73+1))))</f>
        <v>6</v>
      </c>
      <c r="G74" s="577" t="s">
        <v>343</v>
      </c>
      <c r="H74" s="578" t="str">
        <f>LEFT(Table145242[[#This Row],[Blwyddyn Ariannol y Taliad]],4)</f>
        <v>2028</v>
      </c>
      <c r="I74" s="578" t="str">
        <f>TRIM(Table145242[[#This Row],[Cuddio Colofn, BT Gyntaf]])</f>
        <v>2028</v>
      </c>
      <c r="J74" s="579" t="str">
        <f>TRIM(AO16)</f>
        <v>1899</v>
      </c>
      <c r="K74" s="577" t="str">
        <f>D49</f>
        <v/>
      </c>
      <c r="L74" s="580" t="str">
        <f t="shared" si="1"/>
        <v/>
      </c>
      <c r="M74" s="581" t="e">
        <f>IF(SUM(T73+Table145242[[#This Row],[Taliad Llog]])&lt;N18,SUM(Table145242[[#This Row],[Balans Cyfalaf Cychwynnol]]+Table145242[[#This Row],[Taliad Llog]]),IF(Table145242[[#This Row],[Cuddio Colofn]]&gt;AN27,IF(AND(W74&gt;=0.1,W74&lt;N18),N18,IF(I74&gt;=AO29,N18,0)),0))</f>
        <v>#VALUE!</v>
      </c>
      <c r="N74" s="580" t="e">
        <f>IF(Table145242[[#This Row],[Cuddio Colofn]]&lt;AN27,"",IF(Table145242[[#This Row],[Cuddio Colofn]]=AN27,G49,SUM(SUM(Table145242[[#This Row],[Balans Cyfalaf Cychwynnol]]*D50))))</f>
        <v>#VALUE!</v>
      </c>
      <c r="O74" s="580" t="str">
        <f>IF(AB75="Ad-daliadau cyfalaf wedi gorffen",Table145242[[#This Row],[Balans Cyfalaf Cychwynnol]],IF(Table145242[[#This Row],[Cuddio Colofn]]&gt;=AO30,IFERROR((Table145242[[#This Row],[Isafswm gwerth ad-dalu gofynnol (y flwyddyn)]]-Table145242[[#This Row],[Taliad Llog]]),0),0))</f>
        <v/>
      </c>
      <c r="P74" s="582" t="str">
        <f>TRIM(Table145242[[#This Row],[Ad-daliad Cyfalaf]])</f>
        <v/>
      </c>
      <c r="Q74" s="573">
        <v>0</v>
      </c>
      <c r="R74" s="580">
        <f>SUM(Table145242[[#This Row],[Ad-daliad Cyfalaf]:[Ad-daliad Cyfalaf Cynnar]])</f>
        <v>0</v>
      </c>
      <c r="S74" s="580" t="e">
        <f>SUM(Table145242[[#This Row],[Taliad Llog]:[Ad-daliad Cyfalaf Cynnar]])</f>
        <v>#VALUE!</v>
      </c>
      <c r="T74" s="581" t="str">
        <f>IF(Table145242[[#This Row],[Cyfanswm Ad-daliad (heb gynnwys taliadau llog)]]=0,Table145242[[#This Row],[Balans Cyfalaf Cychwynnol]],L74-R74)</f>
        <v/>
      </c>
      <c r="U74" s="580">
        <f>U73+Table145242[[#This Row],[Cyfanswm Ad-daliad (heb gynnwys taliadau llog)]]</f>
        <v>0</v>
      </c>
      <c r="V74" s="580" t="e">
        <f>V73+Table145242[[#This Row],[Taliad Llog]]</f>
        <v>#VALUE!</v>
      </c>
      <c r="W74" s="583" t="str">
        <f>IF(N18="","",IF(M62&gt;T73,T73,M62))</f>
        <v/>
      </c>
      <c r="X74" s="583" t="str">
        <f>IF(Table145242[[#This Row],[Prawf Balans ar y Diwedd - mae''n dangos beth ddylai''r taliad terfynol fod]]&lt;M62,Table145242[[#This Row],[Prawf Balans ar y Diwedd - mae''n dangos beth ddylai''r taliad terfynol fod]],"")</f>
        <v/>
      </c>
      <c r="Y74" s="584" t="str">
        <f>TRIM(Table145242[[#This Row],[Taliadau Cyfalaf Cronnol]])</f>
        <v>0</v>
      </c>
      <c r="Z74" s="585" t="e">
        <f>IF(Table145242[[#This Row],[Balans Cyfalaf ar y Diwedd]]=D49,Table145242[[#This Row],[Taliad Llog]],0)</f>
        <v>#VALUE!</v>
      </c>
      <c r="AA74" s="585">
        <f>IFERROR(VALUE(Table145242[[#This Row],[Rhif Talu Ad-daliad Cyfalaf]]), 0)</f>
        <v>0</v>
      </c>
      <c r="AB74" s="586" t="str">
        <f t="shared" si="0"/>
        <v>Ad-daliadau Cyfalaf wedi Gorffen</v>
      </c>
      <c r="AC74" s="820">
        <f>IF(Table145242[[#This Row],[Statws Ad-dalu]]="Ad-daliadau cyfalaf wedi gorffen",0,Table145242[[#This Row],[Taliad Llog]])</f>
        <v>0</v>
      </c>
      <c r="AD74" s="590" t="str">
        <f>IFERROR(IF(Table145242[[#This Row],[Ad-daliad Cyfalaf]]&lt;=0,0,IF(Table145242[[#This Row],[Statws Ad-dalu]]="Capital Repayments Finished",0,Table145242[[#This Row],[Ad-daliad Cyfalaf]])),0)</f>
        <v/>
      </c>
      <c r="AE74" s="596"/>
      <c r="AF74" s="596"/>
    </row>
    <row r="75" spans="2:32" x14ac:dyDescent="0.25">
      <c r="B75" s="596"/>
      <c r="C75" s="587">
        <v>47178</v>
      </c>
      <c r="D75" s="588">
        <v>47542</v>
      </c>
      <c r="E75" s="576" t="str">
        <f>IFERROR(IF((LEFT(G75,4))=(LEFT(AO29,4)),"1",IF((LEFT(G75,4))&lt;(LEFT(AO29,4)),"N/A",IF((LEFT(G75,4))&gt;(LEFT(AO29,4)),E74+1,))),"")</f>
        <v/>
      </c>
      <c r="F75" s="576">
        <f>IF(H75=AN27,"1",IF(H75&lt;AN27,"N/A",IF(H75&gt;AN27,SUM(F74+1))))</f>
        <v>7</v>
      </c>
      <c r="G75" s="589" t="s">
        <v>344</v>
      </c>
      <c r="H75" s="578" t="str">
        <f>LEFT(Table145242[[#This Row],[Blwyddyn Ariannol y Taliad]],4)</f>
        <v>2029</v>
      </c>
      <c r="I75" s="578" t="str">
        <f>TRIM(Table145242[[#This Row],[Cuddio Colofn, BT Gyntaf]])</f>
        <v>2029</v>
      </c>
      <c r="J75" s="579" t="str">
        <f>TRIM(AO16)</f>
        <v>1899</v>
      </c>
      <c r="K75" s="577" t="str">
        <f>D49</f>
        <v/>
      </c>
      <c r="L75" s="580" t="str">
        <f t="shared" si="1"/>
        <v/>
      </c>
      <c r="M75" s="581" t="e">
        <f>IF(SUM(T74+Table145242[[#This Row],[Taliad Llog]])&lt;N18,SUM(Table145242[[#This Row],[Balans Cyfalaf Cychwynnol]]+Table145242[[#This Row],[Taliad Llog]]),IF(Table145242[[#This Row],[Cuddio Colofn]]&gt;AN27,IF(AND(W75&gt;=0.1,W75&lt;N18),N18,IF(I75&gt;=AO29,N18,0)),0))</f>
        <v>#VALUE!</v>
      </c>
      <c r="N75" s="580" t="e">
        <f>IF(Table145242[[#This Row],[Cuddio Colofn]]&lt;AN27,"",IF(Table145242[[#This Row],[Cuddio Colofn]]=AN27,G49,SUM(SUM(Table145242[[#This Row],[Balans Cyfalaf Cychwynnol]]*D50))))</f>
        <v>#VALUE!</v>
      </c>
      <c r="O75" s="580" t="str">
        <f>IF(AB76="Ad-daliadau cyfalaf wedi gorffen",Table145242[[#This Row],[Balans Cyfalaf Cychwynnol]],IF(Table145242[[#This Row],[Cuddio Colofn]]&gt;=AO31,IFERROR((Table145242[[#This Row],[Isafswm gwerth ad-dalu gofynnol (y flwyddyn)]]-Table145242[[#This Row],[Taliad Llog]]),0),0))</f>
        <v/>
      </c>
      <c r="P75" s="582" t="str">
        <f>TRIM(Table145242[[#This Row],[Ad-daliad Cyfalaf]])</f>
        <v/>
      </c>
      <c r="Q75" s="573">
        <v>0</v>
      </c>
      <c r="R75" s="580">
        <f>SUM(Table145242[[#This Row],[Ad-daliad Cyfalaf]:[Ad-daliad Cyfalaf Cynnar]])</f>
        <v>0</v>
      </c>
      <c r="S75" s="580" t="e">
        <f>SUM(Table145242[[#This Row],[Taliad Llog]:[Ad-daliad Cyfalaf Cynnar]])</f>
        <v>#VALUE!</v>
      </c>
      <c r="T75" s="581" t="str">
        <f>IF(Table145242[[#This Row],[Cyfanswm Ad-daliad (heb gynnwys taliadau llog)]]=0,Table145242[[#This Row],[Balans Cyfalaf Cychwynnol]],L75-R75)</f>
        <v/>
      </c>
      <c r="U75" s="580">
        <f>U74+Table145242[[#This Row],[Cyfanswm Ad-daliad (heb gynnwys taliadau llog)]]</f>
        <v>0</v>
      </c>
      <c r="V75" s="580" t="e">
        <f>V74+Table145242[[#This Row],[Taliad Llog]]</f>
        <v>#VALUE!</v>
      </c>
      <c r="W75" s="583" t="str">
        <f>IF(N18="","",IF(M62&gt;T74,T74,M62))</f>
        <v/>
      </c>
      <c r="X75" s="583" t="str">
        <f>IF(Table145242[[#This Row],[Prawf Balans ar y Diwedd - mae''n dangos beth ddylai''r taliad terfynol fod]]&lt;M62,Table145242[[#This Row],[Prawf Balans ar y Diwedd - mae''n dangos beth ddylai''r taliad terfynol fod]],"")</f>
        <v/>
      </c>
      <c r="Y75" s="584" t="str">
        <f>TRIM(Table145242[[#This Row],[Taliadau Cyfalaf Cronnol]])</f>
        <v>0</v>
      </c>
      <c r="Z75" s="585" t="e">
        <f>IF(Table145242[[#This Row],[Balans Cyfalaf ar y Diwedd]]=D49,Table145242[[#This Row],[Taliad Llog]],0)</f>
        <v>#VALUE!</v>
      </c>
      <c r="AA75" s="585">
        <f>IFERROR(VALUE(Table145242[[#This Row],[Rhif Talu Ad-daliad Cyfalaf]]), 0)</f>
        <v>0</v>
      </c>
      <c r="AB75" s="586" t="str">
        <f t="shared" si="0"/>
        <v>Ad-daliadau Cyfalaf wedi Gorffen</v>
      </c>
      <c r="AC75" s="820">
        <f>IF(Table145242[[#This Row],[Statws Ad-dalu]]="Ad-daliadau cyfalaf wedi gorffen",0,Table145242[[#This Row],[Taliad Llog]])</f>
        <v>0</v>
      </c>
      <c r="AD75" s="590" t="str">
        <f>IFERROR(IF(Table145242[[#This Row],[Ad-daliad Cyfalaf]]&lt;=0,0,IF(Table145242[[#This Row],[Statws Ad-dalu]]="Capital Repayments Finished",0,Table145242[[#This Row],[Ad-daliad Cyfalaf]])),0)</f>
        <v/>
      </c>
      <c r="AE75" s="596"/>
      <c r="AF75" s="596"/>
    </row>
    <row r="76" spans="2:32" x14ac:dyDescent="0.25">
      <c r="B76" s="596"/>
      <c r="C76" s="591">
        <v>47543</v>
      </c>
      <c r="D76" s="575">
        <v>47907</v>
      </c>
      <c r="E76" s="576" t="str">
        <f>IFERROR(IF((LEFT(G76,4))=(LEFT(AO29,4)),"1",IF((LEFT(G76,4))&lt;(LEFT(AO29,4)),"N/A",IF((LEFT(G76,4))&gt;(LEFT(AO29,4)),E75+1,))),"")</f>
        <v/>
      </c>
      <c r="F76" s="576">
        <f>IF(H76=AN27,"1",IF(H76&lt;AN27,"N/A",IF(H76&gt;AN27,SUM(F75+1))))</f>
        <v>8</v>
      </c>
      <c r="G76" s="577" t="s">
        <v>345</v>
      </c>
      <c r="H76" s="578" t="str">
        <f>LEFT(Table145242[[#This Row],[Blwyddyn Ariannol y Taliad]],4)</f>
        <v>2030</v>
      </c>
      <c r="I76" s="578" t="str">
        <f>TRIM(Table145242[[#This Row],[Cuddio Colofn, BT Gyntaf]])</f>
        <v>2030</v>
      </c>
      <c r="J76" s="579" t="str">
        <f>TRIM(AO16)</f>
        <v>1899</v>
      </c>
      <c r="K76" s="577" t="str">
        <f>D49</f>
        <v/>
      </c>
      <c r="L76" s="580" t="str">
        <f t="shared" si="1"/>
        <v/>
      </c>
      <c r="M76" s="581" t="e">
        <f>IF(SUM(T75+Table145242[[#This Row],[Taliad Llog]])&lt;N18,SUM(Table145242[[#This Row],[Balans Cyfalaf Cychwynnol]]+Table145242[[#This Row],[Taliad Llog]]),IF(Table145242[[#This Row],[Cuddio Colofn]]&gt;AN27,IF(AND(W76&gt;=0.1,W76&lt;N18),N18,IF(I76&gt;=AO29,N18,0)),0))</f>
        <v>#VALUE!</v>
      </c>
      <c r="N76" s="580" t="e">
        <f>IF(Table145242[[#This Row],[Cuddio Colofn]]&lt;AN27,"",IF(Table145242[[#This Row],[Cuddio Colofn]]=AN27,G49,SUM(SUM(Table145242[[#This Row],[Balans Cyfalaf Cychwynnol]]*D50))))</f>
        <v>#VALUE!</v>
      </c>
      <c r="O76" s="580" t="str">
        <f>IF(AB77="Ad-daliadau cyfalaf wedi gorffen",Table145242[[#This Row],[Balans Cyfalaf Cychwynnol]],IF(Table145242[[#This Row],[Cuddio Colofn]]&gt;=AO32,IFERROR((Table145242[[#This Row],[Isafswm gwerth ad-dalu gofynnol (y flwyddyn)]]-Table145242[[#This Row],[Taliad Llog]]),0),0))</f>
        <v/>
      </c>
      <c r="P76" s="582" t="str">
        <f>TRIM(Table145242[[#This Row],[Ad-daliad Cyfalaf]])</f>
        <v/>
      </c>
      <c r="Q76" s="573">
        <v>0</v>
      </c>
      <c r="R76" s="580">
        <f>SUM(Table145242[[#This Row],[Ad-daliad Cyfalaf]:[Ad-daliad Cyfalaf Cynnar]])</f>
        <v>0</v>
      </c>
      <c r="S76" s="580" t="e">
        <f>SUM(Table145242[[#This Row],[Taliad Llog]:[Ad-daliad Cyfalaf Cynnar]])</f>
        <v>#VALUE!</v>
      </c>
      <c r="T76" s="581" t="str">
        <f>IF(Table145242[[#This Row],[Cyfanswm Ad-daliad (heb gynnwys taliadau llog)]]=0,Table145242[[#This Row],[Balans Cyfalaf Cychwynnol]],L76-R76)</f>
        <v/>
      </c>
      <c r="U76" s="580">
        <f>U75+Table145242[[#This Row],[Cyfanswm Ad-daliad (heb gynnwys taliadau llog)]]</f>
        <v>0</v>
      </c>
      <c r="V76" s="580" t="e">
        <f>V75+Table145242[[#This Row],[Taliad Llog]]</f>
        <v>#VALUE!</v>
      </c>
      <c r="W76" s="583" t="str">
        <f>IF(N18="","",IF(M62&gt;T75,T75,M62))</f>
        <v/>
      </c>
      <c r="X76" s="583" t="str">
        <f>IF(Table145242[[#This Row],[Prawf Balans ar y Diwedd - mae''n dangos beth ddylai''r taliad terfynol fod]]&lt;M62,Table145242[[#This Row],[Prawf Balans ar y Diwedd - mae''n dangos beth ddylai''r taliad terfynol fod]],"")</f>
        <v/>
      </c>
      <c r="Y76" s="584" t="str">
        <f>TRIM(Table145242[[#This Row],[Taliadau Cyfalaf Cronnol]])</f>
        <v>0</v>
      </c>
      <c r="Z76" s="585" t="e">
        <f>IF(Table145242[[#This Row],[Balans Cyfalaf ar y Diwedd]]=D49,Table145242[[#This Row],[Taliad Llog]],0)</f>
        <v>#VALUE!</v>
      </c>
      <c r="AA76" s="585">
        <f>IFERROR(VALUE(Table145242[[#This Row],[Rhif Talu Ad-daliad Cyfalaf]]), 0)</f>
        <v>0</v>
      </c>
      <c r="AB76" s="586" t="str">
        <f t="shared" si="0"/>
        <v>Ad-daliadau Cyfalaf wedi Gorffen</v>
      </c>
      <c r="AC76" s="820">
        <f>IF(Table145242[[#This Row],[Statws Ad-dalu]]="Ad-daliadau cyfalaf wedi gorffen",0,Table145242[[#This Row],[Taliad Llog]])</f>
        <v>0</v>
      </c>
      <c r="AD76" s="590" t="str">
        <f>IFERROR(IF(Table145242[[#This Row],[Ad-daliad Cyfalaf]]&lt;=0,0,IF(Table145242[[#This Row],[Statws Ad-dalu]]="Capital Repayments Finished",0,Table145242[[#This Row],[Ad-daliad Cyfalaf]])),0)</f>
        <v/>
      </c>
      <c r="AE76" s="596"/>
      <c r="AF76" s="596"/>
    </row>
    <row r="77" spans="2:32" x14ac:dyDescent="0.25">
      <c r="B77" s="596"/>
      <c r="C77" s="587">
        <v>47908</v>
      </c>
      <c r="D77" s="588">
        <v>48272</v>
      </c>
      <c r="E77" s="576" t="str">
        <f>IFERROR(IF((LEFT(G77,4))=(LEFT(AO29,4)),"1",IF((LEFT(G77,4))&lt;(LEFT(AO29,4)),"N/A",IF((LEFT(G77,4))&gt;(LEFT(AO29,4)),E76+1,))),"")</f>
        <v/>
      </c>
      <c r="F77" s="576">
        <f>IF(H77=AN27,"1",IF(H77&lt;AN27,"N/A",IF(H77&gt;AN27,SUM(F76+1))))</f>
        <v>9</v>
      </c>
      <c r="G77" s="589" t="s">
        <v>346</v>
      </c>
      <c r="H77" s="578" t="str">
        <f>LEFT(Table145242[[#This Row],[Blwyddyn Ariannol y Taliad]],4)</f>
        <v>2031</v>
      </c>
      <c r="I77" s="578" t="str">
        <f>TRIM(Table145242[[#This Row],[Cuddio Colofn, BT Gyntaf]])</f>
        <v>2031</v>
      </c>
      <c r="J77" s="579" t="str">
        <f>TRIM(AO16)</f>
        <v>1899</v>
      </c>
      <c r="K77" s="577" t="str">
        <f>D49</f>
        <v/>
      </c>
      <c r="L77" s="580" t="str">
        <f t="shared" si="1"/>
        <v/>
      </c>
      <c r="M77" s="581" t="e">
        <f>IF(SUM(T76+Table145242[[#This Row],[Taliad Llog]])&lt;N18,SUM(Table145242[[#This Row],[Balans Cyfalaf Cychwynnol]]+Table145242[[#This Row],[Taliad Llog]]),IF(Table145242[[#This Row],[Cuddio Colofn]]&gt;AN27,IF(AND(W77&gt;=0.1,W77&lt;N18),N18,IF(I77&gt;=AO29,N18,0)),0))</f>
        <v>#VALUE!</v>
      </c>
      <c r="N77" s="580" t="e">
        <f>IF(Table145242[[#This Row],[Cuddio Colofn]]&lt;AN27,"",IF(Table145242[[#This Row],[Cuddio Colofn]]=AN27,G49,SUM(SUM(Table145242[[#This Row],[Balans Cyfalaf Cychwynnol]]*D50))))</f>
        <v>#VALUE!</v>
      </c>
      <c r="O77" s="580" t="str">
        <f>IF(AB78="Ad-daliadau cyfalaf wedi gorffen",Table145242[[#This Row],[Balans Cyfalaf Cychwynnol]],IF(Table145242[[#This Row],[Cuddio Colofn]]&gt;=AO33,IFERROR((Table145242[[#This Row],[Isafswm gwerth ad-dalu gofynnol (y flwyddyn)]]-Table145242[[#This Row],[Taliad Llog]]),0),0))</f>
        <v/>
      </c>
      <c r="P77" s="582" t="str">
        <f>TRIM(Table145242[[#This Row],[Ad-daliad Cyfalaf]])</f>
        <v/>
      </c>
      <c r="Q77" s="573">
        <v>0</v>
      </c>
      <c r="R77" s="580">
        <f>SUM(Table145242[[#This Row],[Ad-daliad Cyfalaf]:[Ad-daliad Cyfalaf Cynnar]])</f>
        <v>0</v>
      </c>
      <c r="S77" s="580" t="e">
        <f>SUM(Table145242[[#This Row],[Taliad Llog]:[Ad-daliad Cyfalaf Cynnar]])</f>
        <v>#VALUE!</v>
      </c>
      <c r="T77" s="581" t="str">
        <f>IF(Table145242[[#This Row],[Cyfanswm Ad-daliad (heb gynnwys taliadau llog)]]=0,Table145242[[#This Row],[Balans Cyfalaf Cychwynnol]],L77-R77)</f>
        <v/>
      </c>
      <c r="U77" s="580">
        <f>U76+Table145242[[#This Row],[Cyfanswm Ad-daliad (heb gynnwys taliadau llog)]]</f>
        <v>0</v>
      </c>
      <c r="V77" s="580" t="e">
        <f>V76+Table145242[[#This Row],[Taliad Llog]]</f>
        <v>#VALUE!</v>
      </c>
      <c r="W77" s="583" t="str">
        <f>IF(N18="","",IF(M62&gt;T76,T76,M62))</f>
        <v/>
      </c>
      <c r="X77" s="583" t="str">
        <f>IF(Table145242[[#This Row],[Prawf Balans ar y Diwedd - mae''n dangos beth ddylai''r taliad terfynol fod]]&lt;M62,Table145242[[#This Row],[Prawf Balans ar y Diwedd - mae''n dangos beth ddylai''r taliad terfynol fod]],"")</f>
        <v/>
      </c>
      <c r="Y77" s="584" t="str">
        <f>TRIM(Table145242[[#This Row],[Taliadau Cyfalaf Cronnol]])</f>
        <v>0</v>
      </c>
      <c r="Z77" s="585" t="e">
        <f>IF(Table145242[[#This Row],[Balans Cyfalaf ar y Diwedd]]=D49,Table145242[[#This Row],[Taliad Llog]],0)</f>
        <v>#VALUE!</v>
      </c>
      <c r="AA77" s="585">
        <f>IFERROR(VALUE(Table145242[[#This Row],[Rhif Talu Ad-daliad Cyfalaf]]), 0)</f>
        <v>0</v>
      </c>
      <c r="AB77" s="586" t="str">
        <f t="shared" si="0"/>
        <v>Ad-daliadau Cyfalaf wedi Gorffen</v>
      </c>
      <c r="AC77" s="820">
        <f>IF(Table145242[[#This Row],[Statws Ad-dalu]]="Ad-daliadau cyfalaf wedi gorffen",0,Table145242[[#This Row],[Taliad Llog]])</f>
        <v>0</v>
      </c>
      <c r="AD77" s="590" t="str">
        <f>IFERROR(IF(Table145242[[#This Row],[Ad-daliad Cyfalaf]]&lt;=0,0,IF(Table145242[[#This Row],[Statws Ad-dalu]]="Capital Repayments Finished",0,Table145242[[#This Row],[Ad-daliad Cyfalaf]])),0)</f>
        <v/>
      </c>
      <c r="AE77" s="596"/>
      <c r="AF77" s="596"/>
    </row>
    <row r="78" spans="2:32" x14ac:dyDescent="0.25">
      <c r="B78" s="596"/>
      <c r="C78" s="591">
        <v>48274</v>
      </c>
      <c r="D78" s="575">
        <v>48638</v>
      </c>
      <c r="E78" s="576" t="str">
        <f>IFERROR(IF((LEFT(G78,4))=(LEFT(AO29,4)),"1",IF((LEFT(G78,4))&lt;(LEFT(AO29,4)),"N/A",IF((LEFT(G78,4))&gt;(LEFT(AO29,4)),E77+1,))),"")</f>
        <v/>
      </c>
      <c r="F78" s="576">
        <f>IF(H78=AN27,"1",IF(H78&lt;AN27,"N/A",IF(H78&gt;AN27,SUM(F77+1))))</f>
        <v>10</v>
      </c>
      <c r="G78" s="577" t="s">
        <v>347</v>
      </c>
      <c r="H78" s="578" t="str">
        <f>LEFT(Table145242[[#This Row],[Blwyddyn Ariannol y Taliad]],4)</f>
        <v>2032</v>
      </c>
      <c r="I78" s="578" t="str">
        <f>TRIM(Table145242[[#This Row],[Cuddio Colofn, BT Gyntaf]])</f>
        <v>2032</v>
      </c>
      <c r="J78" s="579" t="str">
        <f>TRIM(AO16)</f>
        <v>1899</v>
      </c>
      <c r="K78" s="577" t="str">
        <f>D49</f>
        <v/>
      </c>
      <c r="L78" s="580" t="str">
        <f t="shared" si="1"/>
        <v/>
      </c>
      <c r="M78" s="581" t="e">
        <f>IF(SUM(T77+Table145242[[#This Row],[Taliad Llog]])&lt;N18,SUM(Table145242[[#This Row],[Balans Cyfalaf Cychwynnol]]+Table145242[[#This Row],[Taliad Llog]]),IF(Table145242[[#This Row],[Cuddio Colofn]]&gt;AN27,IF(AND(W78&gt;=0.1,W78&lt;N18),N18,IF(I78&gt;=AO29,N18,0)),0))</f>
        <v>#VALUE!</v>
      </c>
      <c r="N78" s="580" t="e">
        <f>IF(Table145242[[#This Row],[Cuddio Colofn]]&lt;AN27,"",IF(Table145242[[#This Row],[Cuddio Colofn]]=AN27,G49,SUM(SUM(Table145242[[#This Row],[Balans Cyfalaf Cychwynnol]]*D50))))</f>
        <v>#VALUE!</v>
      </c>
      <c r="O78" s="580" t="str">
        <f>IF(AB79="Ad-daliadau cyfalaf wedi gorffen",Table145242[[#This Row],[Balans Cyfalaf Cychwynnol]],IF(Table145242[[#This Row],[Cuddio Colofn]]&gt;=AO34,IFERROR((Table145242[[#This Row],[Isafswm gwerth ad-dalu gofynnol (y flwyddyn)]]-Table145242[[#This Row],[Taliad Llog]]),0),0))</f>
        <v/>
      </c>
      <c r="P78" s="582" t="str">
        <f>TRIM(Table145242[[#This Row],[Ad-daliad Cyfalaf]])</f>
        <v/>
      </c>
      <c r="Q78" s="573">
        <v>0</v>
      </c>
      <c r="R78" s="580">
        <f>SUM(Table145242[[#This Row],[Ad-daliad Cyfalaf]:[Ad-daliad Cyfalaf Cynnar]])</f>
        <v>0</v>
      </c>
      <c r="S78" s="580" t="e">
        <f>SUM(Table145242[[#This Row],[Taliad Llog]:[Ad-daliad Cyfalaf Cynnar]])</f>
        <v>#VALUE!</v>
      </c>
      <c r="T78" s="581" t="str">
        <f>IF(Table145242[[#This Row],[Cyfanswm Ad-daliad (heb gynnwys taliadau llog)]]=0,Table145242[[#This Row],[Balans Cyfalaf Cychwynnol]],L78-R78)</f>
        <v/>
      </c>
      <c r="U78" s="580">
        <f>U77+Table145242[[#This Row],[Cyfanswm Ad-daliad (heb gynnwys taliadau llog)]]</f>
        <v>0</v>
      </c>
      <c r="V78" s="580" t="e">
        <f>V77+Table145242[[#This Row],[Taliad Llog]]</f>
        <v>#VALUE!</v>
      </c>
      <c r="W78" s="583" t="str">
        <f>IF(N18="","",IF(M62&gt;T77,T77,M62))</f>
        <v/>
      </c>
      <c r="X78" s="583" t="str">
        <f>IF(Table145242[[#This Row],[Prawf Balans ar y Diwedd - mae''n dangos beth ddylai''r taliad terfynol fod]]&lt;M62,Table145242[[#This Row],[Prawf Balans ar y Diwedd - mae''n dangos beth ddylai''r taliad terfynol fod]],"")</f>
        <v/>
      </c>
      <c r="Y78" s="584" t="str">
        <f>TRIM(Table145242[[#This Row],[Taliadau Cyfalaf Cronnol]])</f>
        <v>0</v>
      </c>
      <c r="Z78" s="585" t="e">
        <f>IF(Table145242[[#This Row],[Balans Cyfalaf ar y Diwedd]]=D49,Table145242[[#This Row],[Taliad Llog]],0)</f>
        <v>#VALUE!</v>
      </c>
      <c r="AA78" s="585">
        <f>IFERROR(VALUE(Table145242[[#This Row],[Rhif Talu Ad-daliad Cyfalaf]]), 0)</f>
        <v>0</v>
      </c>
      <c r="AB78" s="586" t="str">
        <f>IF(OR(L77&lt;=$N$18,AB77="Ad-daliadau cyfalaf wedi gorffen"),"Ad-daliadau Cyfalaf wedi Gorffen","Ad-daliadau cyfalaf yn anghyflawn")</f>
        <v>Ad-daliadau Cyfalaf wedi Gorffen</v>
      </c>
      <c r="AC78" s="820">
        <f>IF(Table145242[[#This Row],[Statws Ad-dalu]]="Ad-daliadau cyfalaf wedi gorffen",0,Table145242[[#This Row],[Taliad Llog]])</f>
        <v>0</v>
      </c>
      <c r="AD78" s="590" t="str">
        <f>IFERROR(IF(Table145242[[#This Row],[Ad-daliad Cyfalaf]]&lt;=0,0,IF(Table145242[[#This Row],[Statws Ad-dalu]]="Capital Repayments Finished",0,Table145242[[#This Row],[Ad-daliad Cyfalaf]])),0)</f>
        <v/>
      </c>
      <c r="AE78" s="596"/>
      <c r="AF78" s="596"/>
    </row>
    <row r="79" spans="2:32" x14ac:dyDescent="0.25">
      <c r="B79" s="596"/>
      <c r="C79" s="587">
        <v>48639</v>
      </c>
      <c r="D79" s="588">
        <v>49003</v>
      </c>
      <c r="E79" s="576" t="str">
        <f>IFERROR(IF((LEFT(G79,4))=(LEFT(AO29,4)),"1",IF((LEFT(G79,4))&lt;(LEFT(AO29,4)),"N/A",IF((LEFT(G79,4))&gt;(LEFT(AO29,4)),E78+1,))),"")</f>
        <v/>
      </c>
      <c r="F79" s="576">
        <f>IF(H79=AN27,"1",IF(H79&lt;AN27,"N/A",IF(H79&gt;AN27,SUM(F78+1))))</f>
        <v>11</v>
      </c>
      <c r="G79" s="589" t="s">
        <v>348</v>
      </c>
      <c r="H79" s="578" t="str">
        <f>LEFT(Table145242[[#This Row],[Blwyddyn Ariannol y Taliad]],4)</f>
        <v>2033</v>
      </c>
      <c r="I79" s="578" t="str">
        <f>TRIM(Table145242[[#This Row],[Cuddio Colofn, BT Gyntaf]])</f>
        <v>2033</v>
      </c>
      <c r="J79" s="579" t="str">
        <f>TRIM(AO16)</f>
        <v>1899</v>
      </c>
      <c r="K79" s="577" t="str">
        <f>D49</f>
        <v/>
      </c>
      <c r="L79" s="580" t="str">
        <f t="shared" si="1"/>
        <v/>
      </c>
      <c r="M79" s="581" t="e">
        <f>IF(SUM(T78+Table145242[[#This Row],[Taliad Llog]])&lt;N18,SUM(Table145242[[#This Row],[Balans Cyfalaf Cychwynnol]]+Table145242[[#This Row],[Taliad Llog]]),IF(Table145242[[#This Row],[Cuddio Colofn]]&gt;AN27,IF(AND(W79&gt;=0.1,W79&lt;N18),N18,IF(I79&gt;=AO29,N18,0)),0))</f>
        <v>#VALUE!</v>
      </c>
      <c r="N79" s="580" t="e">
        <f>IF(Table145242[[#This Row],[Cuddio Colofn]]&lt;AN27,"",IF(Table145242[[#This Row],[Cuddio Colofn]]=AN27,G49,SUM(SUM(Table145242[[#This Row],[Balans Cyfalaf Cychwynnol]]*D50))))</f>
        <v>#VALUE!</v>
      </c>
      <c r="O79" s="580" t="str">
        <f>IF(AB80="Ad-daliadau cyfalaf wedi gorffen",Table145242[[#This Row],[Balans Cyfalaf Cychwynnol]],IF(Table145242[[#This Row],[Cuddio Colofn]]&gt;=AO35,IFERROR((Table145242[[#This Row],[Isafswm gwerth ad-dalu gofynnol (y flwyddyn)]]-Table145242[[#This Row],[Taliad Llog]]),0),0))</f>
        <v/>
      </c>
      <c r="P79" s="582" t="str">
        <f>TRIM(Table145242[[#This Row],[Ad-daliad Cyfalaf]])</f>
        <v/>
      </c>
      <c r="Q79" s="573">
        <v>0</v>
      </c>
      <c r="R79" s="580">
        <f>SUM(Table145242[[#This Row],[Ad-daliad Cyfalaf]:[Ad-daliad Cyfalaf Cynnar]])</f>
        <v>0</v>
      </c>
      <c r="S79" s="580" t="e">
        <f>SUM(Table145242[[#This Row],[Taliad Llog]:[Ad-daliad Cyfalaf Cynnar]])</f>
        <v>#VALUE!</v>
      </c>
      <c r="T79" s="581" t="str">
        <f>IF(Table145242[[#This Row],[Cyfanswm Ad-daliad (heb gynnwys taliadau llog)]]=0,Table145242[[#This Row],[Balans Cyfalaf Cychwynnol]],L79-R79)</f>
        <v/>
      </c>
      <c r="U79" s="580">
        <f>U78+Table145242[[#This Row],[Cyfanswm Ad-daliad (heb gynnwys taliadau llog)]]</f>
        <v>0</v>
      </c>
      <c r="V79" s="580" t="e">
        <f>V78+Table145242[[#This Row],[Taliad Llog]]</f>
        <v>#VALUE!</v>
      </c>
      <c r="W79" s="583" t="str">
        <f>IF(N18="","",IF(M62&gt;T78,T78,M62))</f>
        <v/>
      </c>
      <c r="X79" s="583" t="str">
        <f>IF(Table145242[[#This Row],[Prawf Balans ar y Diwedd - mae''n dangos beth ddylai''r taliad terfynol fod]]&lt;M62,Table145242[[#This Row],[Prawf Balans ar y Diwedd - mae''n dangos beth ddylai''r taliad terfynol fod]],"")</f>
        <v/>
      </c>
      <c r="Y79" s="584" t="str">
        <f>TRIM(Table145242[[#This Row],[Taliadau Cyfalaf Cronnol]])</f>
        <v>0</v>
      </c>
      <c r="Z79" s="585" t="e">
        <f>IF(Table145242[[#This Row],[Balans Cyfalaf ar y Diwedd]]=D49,Table145242[[#This Row],[Taliad Llog]],0)</f>
        <v>#VALUE!</v>
      </c>
      <c r="AA79" s="585">
        <f>IFERROR(VALUE(Table145242[[#This Row],[Rhif Talu Ad-daliad Cyfalaf]]), 0)</f>
        <v>0</v>
      </c>
      <c r="AB79" s="586" t="str">
        <f t="shared" si="0"/>
        <v>Ad-daliadau Cyfalaf wedi Gorffen</v>
      </c>
      <c r="AC79" s="820">
        <f>IF(Table145242[[#This Row],[Statws Ad-dalu]]="Ad-daliadau cyfalaf wedi gorffen",0,Table145242[[#This Row],[Taliad Llog]])</f>
        <v>0</v>
      </c>
      <c r="AD79" s="590" t="str">
        <f>IFERROR(IF(Table145242[[#This Row],[Ad-daliad Cyfalaf]]&lt;=0,0,IF(Table145242[[#This Row],[Statws Ad-dalu]]="Capital Repayments Finished",0,Table145242[[#This Row],[Ad-daliad Cyfalaf]])),0)</f>
        <v/>
      </c>
      <c r="AE79" s="596"/>
      <c r="AF79" s="596"/>
    </row>
    <row r="80" spans="2:32" x14ac:dyDescent="0.25">
      <c r="B80" s="596"/>
      <c r="C80" s="591">
        <v>49004</v>
      </c>
      <c r="D80" s="575">
        <v>49368</v>
      </c>
      <c r="E80" s="576" t="str">
        <f>IFERROR(IF((LEFT(G80,4))=(LEFT(AO29,4)),"1",IF((LEFT(G80,4))&lt;(LEFT(AO29,4)),"N/A",IF((LEFT(G80,4))&gt;(LEFT(AO29,4)),E79+1,))),"")</f>
        <v/>
      </c>
      <c r="F80" s="576">
        <f>IF(H80=AN27,"1",IF(H80&lt;AN27,"N/A",IF(H80&gt;AN27,SUM(F79+1))))</f>
        <v>12</v>
      </c>
      <c r="G80" s="577" t="s">
        <v>349</v>
      </c>
      <c r="H80" s="578" t="str">
        <f>LEFT(Table145242[[#This Row],[Blwyddyn Ariannol y Taliad]],4)</f>
        <v>2034</v>
      </c>
      <c r="I80" s="578" t="str">
        <f>TRIM(Table145242[[#This Row],[Cuddio Colofn, BT Gyntaf]])</f>
        <v>2034</v>
      </c>
      <c r="J80" s="579" t="str">
        <f>TRIM(AO16)</f>
        <v>1899</v>
      </c>
      <c r="K80" s="577" t="str">
        <f>D49</f>
        <v/>
      </c>
      <c r="L80" s="580" t="str">
        <f t="shared" si="1"/>
        <v/>
      </c>
      <c r="M80" s="581" t="e">
        <f>IF(SUM(T79+Table145242[[#This Row],[Taliad Llog]])&lt;N18,SUM(Table145242[[#This Row],[Balans Cyfalaf Cychwynnol]]+Table145242[[#This Row],[Taliad Llog]]),IF(Table145242[[#This Row],[Cuddio Colofn]]&gt;AN27,IF(AND(W80&gt;=0.1,W80&lt;N18),N18,IF(I80&gt;=AO29,N18,0)),0))</f>
        <v>#VALUE!</v>
      </c>
      <c r="N80" s="580" t="e">
        <f>IF(Table145242[[#This Row],[Cuddio Colofn]]&lt;AN27,"",IF(Table145242[[#This Row],[Cuddio Colofn]]=AN27,G49,SUM(SUM(Table145242[[#This Row],[Balans Cyfalaf Cychwynnol]]*D50))))</f>
        <v>#VALUE!</v>
      </c>
      <c r="O80" s="580" t="str">
        <f>IF(AB81="Ad-daliadau cyfalaf wedi gorffen",Table145242[[#This Row],[Balans Cyfalaf Cychwynnol]],IF(Table145242[[#This Row],[Cuddio Colofn]]&gt;=AO36,IFERROR((Table145242[[#This Row],[Isafswm gwerth ad-dalu gofynnol (y flwyddyn)]]-Table145242[[#This Row],[Taliad Llog]]),0),0))</f>
        <v/>
      </c>
      <c r="P80" s="582" t="str">
        <f>TRIM(Table145242[[#This Row],[Ad-daliad Cyfalaf]])</f>
        <v/>
      </c>
      <c r="Q80" s="573">
        <v>0</v>
      </c>
      <c r="R80" s="580">
        <f>SUM(Table145242[[#This Row],[Ad-daliad Cyfalaf]:[Ad-daliad Cyfalaf Cynnar]])</f>
        <v>0</v>
      </c>
      <c r="S80" s="580" t="e">
        <f>SUM(Table145242[[#This Row],[Taliad Llog]:[Ad-daliad Cyfalaf Cynnar]])</f>
        <v>#VALUE!</v>
      </c>
      <c r="T80" s="581" t="str">
        <f>IF(Table145242[[#This Row],[Cyfanswm Ad-daliad (heb gynnwys taliadau llog)]]=0,Table145242[[#This Row],[Balans Cyfalaf Cychwynnol]],L80-R80)</f>
        <v/>
      </c>
      <c r="U80" s="580">
        <f>U79+Table145242[[#This Row],[Cyfanswm Ad-daliad (heb gynnwys taliadau llog)]]</f>
        <v>0</v>
      </c>
      <c r="V80" s="580" t="e">
        <f>V79+Table145242[[#This Row],[Taliad Llog]]</f>
        <v>#VALUE!</v>
      </c>
      <c r="W80" s="583" t="str">
        <f>IF(N18="","",IF(M62&gt;T79,T79,M62))</f>
        <v/>
      </c>
      <c r="X80" s="583" t="str">
        <f>IF(Table145242[[#This Row],[Prawf Balans ar y Diwedd - mae''n dangos beth ddylai''r taliad terfynol fod]]&lt;M62,Table145242[[#This Row],[Prawf Balans ar y Diwedd - mae''n dangos beth ddylai''r taliad terfynol fod]],"")</f>
        <v/>
      </c>
      <c r="Y80" s="584" t="str">
        <f>TRIM(Table145242[[#This Row],[Taliadau Cyfalaf Cronnol]])</f>
        <v>0</v>
      </c>
      <c r="Z80" s="585" t="e">
        <f>IF(Table145242[[#This Row],[Balans Cyfalaf ar y Diwedd]]=D49,Table145242[[#This Row],[Taliad Llog]],0)</f>
        <v>#VALUE!</v>
      </c>
      <c r="AA80" s="585">
        <f>IFERROR(VALUE(Table145242[[#This Row],[Rhif Talu Ad-daliad Cyfalaf]]), 0)</f>
        <v>0</v>
      </c>
      <c r="AB80" s="586" t="str">
        <f t="shared" si="0"/>
        <v>Ad-daliadau Cyfalaf wedi Gorffen</v>
      </c>
      <c r="AC80" s="820">
        <f>IF(Table145242[[#This Row],[Statws Ad-dalu]]="Ad-daliadau cyfalaf wedi gorffen",0,Table145242[[#This Row],[Taliad Llog]])</f>
        <v>0</v>
      </c>
      <c r="AD80" s="590" t="str">
        <f>IFERROR(IF(Table145242[[#This Row],[Ad-daliad Cyfalaf]]&lt;=0,0,IF(Table145242[[#This Row],[Statws Ad-dalu]]="Capital Repayments Finished",0,Table145242[[#This Row],[Ad-daliad Cyfalaf]])),0)</f>
        <v/>
      </c>
      <c r="AE80" s="596"/>
      <c r="AF80" s="596"/>
    </row>
    <row r="81" spans="2:32" x14ac:dyDescent="0.25">
      <c r="B81" s="596"/>
      <c r="C81" s="587">
        <v>49369</v>
      </c>
      <c r="D81" s="588">
        <v>49733</v>
      </c>
      <c r="E81" s="576" t="str">
        <f>IFERROR(IF((LEFT(G81,4))=(LEFT(AO29,4)),"1",IF((LEFT(G81,4))&lt;(LEFT(AO29,4)),"N/A",IF((LEFT(G81,4))&gt;(LEFT(AO29,4)),E80+1,))),"")</f>
        <v/>
      </c>
      <c r="F81" s="576">
        <f>IF(H81=AN27,"1",IF(H81&lt;AN27,"N/A",IF(H81&gt;AN27,SUM(F80+1))))</f>
        <v>13</v>
      </c>
      <c r="G81" s="589" t="s">
        <v>350</v>
      </c>
      <c r="H81" s="578" t="str">
        <f>LEFT(Table145242[[#This Row],[Blwyddyn Ariannol y Taliad]],4)</f>
        <v>2035</v>
      </c>
      <c r="I81" s="578" t="str">
        <f>TRIM(Table145242[[#This Row],[Cuddio Colofn, BT Gyntaf]])</f>
        <v>2035</v>
      </c>
      <c r="J81" s="579" t="str">
        <f>TRIM(AO16)</f>
        <v>1899</v>
      </c>
      <c r="K81" s="577" t="str">
        <f>D49</f>
        <v/>
      </c>
      <c r="L81" s="580" t="str">
        <f t="shared" si="1"/>
        <v/>
      </c>
      <c r="M81" s="581" t="e">
        <f>IF(SUM(T80+Table145242[[#This Row],[Taliad Llog]])&lt;N18,SUM(Table145242[[#This Row],[Balans Cyfalaf Cychwynnol]]+Table145242[[#This Row],[Taliad Llog]]),IF(Table145242[[#This Row],[Cuddio Colofn]]&gt;AN27,IF(AND(W81&gt;=0.1,W81&lt;N18),N18,IF(I81&gt;=AO29,N18,0)),0))</f>
        <v>#VALUE!</v>
      </c>
      <c r="N81" s="580" t="e">
        <f>IF(Table145242[[#This Row],[Cuddio Colofn]]&lt;AN27,"",IF(Table145242[[#This Row],[Cuddio Colofn]]=AN27,G49,SUM(SUM(Table145242[[#This Row],[Balans Cyfalaf Cychwynnol]]*D50))))</f>
        <v>#VALUE!</v>
      </c>
      <c r="O81" s="580" t="str">
        <f>IF(AB82="Ad-daliadau cyfalaf wedi gorffen",Table145242[[#This Row],[Balans Cyfalaf Cychwynnol]],IF(Table145242[[#This Row],[Cuddio Colofn]]&gt;=AO37,IFERROR((Table145242[[#This Row],[Isafswm gwerth ad-dalu gofynnol (y flwyddyn)]]-Table145242[[#This Row],[Taliad Llog]]),0),0))</f>
        <v/>
      </c>
      <c r="P81" s="582" t="str">
        <f>TRIM(Table145242[[#This Row],[Ad-daliad Cyfalaf]])</f>
        <v/>
      </c>
      <c r="Q81" s="573">
        <v>0</v>
      </c>
      <c r="R81" s="580">
        <f>SUM(Table145242[[#This Row],[Ad-daliad Cyfalaf]:[Ad-daliad Cyfalaf Cynnar]])</f>
        <v>0</v>
      </c>
      <c r="S81" s="580" t="e">
        <f>SUM(Table145242[[#This Row],[Taliad Llog]:[Ad-daliad Cyfalaf Cynnar]])</f>
        <v>#VALUE!</v>
      </c>
      <c r="T81" s="581" t="str">
        <f>IF(Table145242[[#This Row],[Cyfanswm Ad-daliad (heb gynnwys taliadau llog)]]=0,Table145242[[#This Row],[Balans Cyfalaf Cychwynnol]],L81-R81)</f>
        <v/>
      </c>
      <c r="U81" s="580">
        <f>U80+Table145242[[#This Row],[Cyfanswm Ad-daliad (heb gynnwys taliadau llog)]]</f>
        <v>0</v>
      </c>
      <c r="V81" s="580" t="e">
        <f>V80+Table145242[[#This Row],[Taliad Llog]]</f>
        <v>#VALUE!</v>
      </c>
      <c r="W81" s="583" t="str">
        <f>IF(N18="","",IF(M62&gt;T80,T80,M62))</f>
        <v/>
      </c>
      <c r="X81" s="583" t="str">
        <f>IF(Table145242[[#This Row],[Prawf Balans ar y Diwedd - mae''n dangos beth ddylai''r taliad terfynol fod]]&lt;M62,Table145242[[#This Row],[Prawf Balans ar y Diwedd - mae''n dangos beth ddylai''r taliad terfynol fod]],"")</f>
        <v/>
      </c>
      <c r="Y81" s="584" t="str">
        <f>TRIM(Table145242[[#This Row],[Taliadau Cyfalaf Cronnol]])</f>
        <v>0</v>
      </c>
      <c r="Z81" s="585" t="e">
        <f>IF(Table145242[[#This Row],[Balans Cyfalaf ar y Diwedd]]=D49,Table145242[[#This Row],[Taliad Llog]],0)</f>
        <v>#VALUE!</v>
      </c>
      <c r="AA81" s="585">
        <f>IFERROR(VALUE(Table145242[[#This Row],[Rhif Talu Ad-daliad Cyfalaf]]), 0)</f>
        <v>0</v>
      </c>
      <c r="AB81" s="586" t="str">
        <f t="shared" si="0"/>
        <v>Ad-daliadau Cyfalaf wedi Gorffen</v>
      </c>
      <c r="AC81" s="820">
        <f>IF(Table145242[[#This Row],[Statws Ad-dalu]]="Ad-daliadau cyfalaf wedi gorffen",0,Table145242[[#This Row],[Taliad Llog]])</f>
        <v>0</v>
      </c>
      <c r="AD81" s="590" t="str">
        <f>IFERROR(IF(Table145242[[#This Row],[Ad-daliad Cyfalaf]]&lt;=0,0,IF(Table145242[[#This Row],[Statws Ad-dalu]]="Capital Repayments Finished",0,Table145242[[#This Row],[Ad-daliad Cyfalaf]])),0)</f>
        <v/>
      </c>
      <c r="AE81" s="596"/>
      <c r="AF81" s="596"/>
    </row>
    <row r="82" spans="2:32" x14ac:dyDescent="0.25">
      <c r="B82" s="596"/>
      <c r="C82" s="575">
        <v>49735</v>
      </c>
      <c r="D82" s="575">
        <v>50099</v>
      </c>
      <c r="E82" s="576" t="str">
        <f>IFERROR(IF((LEFT(G82,4))=(LEFT(AO29,4)),"1",IF((LEFT(G82,4))&lt;(LEFT(AO29,4)),"N/A",IF((LEFT(G82,4))&gt;(LEFT(AO29,4)),E81+1,))),"")</f>
        <v/>
      </c>
      <c r="F82" s="576">
        <f>IF(H82=AN27,"1",IF(H82&lt;AN27,"N/A",IF(H82&gt;AN27,SUM(F81+1))))</f>
        <v>14</v>
      </c>
      <c r="G82" s="577" t="s">
        <v>351</v>
      </c>
      <c r="H82" s="578" t="str">
        <f>LEFT(Table145242[[#This Row],[Blwyddyn Ariannol y Taliad]],4)</f>
        <v>2036</v>
      </c>
      <c r="I82" s="578" t="str">
        <f>TRIM(Table145242[[#This Row],[Cuddio Colofn, BT Gyntaf]])</f>
        <v>2036</v>
      </c>
      <c r="J82" s="579" t="str">
        <f>TRIM(AO16)</f>
        <v>1899</v>
      </c>
      <c r="K82" s="577" t="str">
        <f>D49</f>
        <v/>
      </c>
      <c r="L82" s="580" t="str">
        <f t="shared" si="1"/>
        <v/>
      </c>
      <c r="M82" s="581" t="e">
        <f>IF(SUM(T81+Table145242[[#This Row],[Taliad Llog]])&lt;N18,SUM(Table145242[[#This Row],[Balans Cyfalaf Cychwynnol]]+Table145242[[#This Row],[Taliad Llog]]),IF(Table145242[[#This Row],[Cuddio Colofn]]&gt;AN27,IF(AND(W82&gt;=0.1,W82&lt;N18),N18,IF(I82&gt;=AO29,N18,0)),0))</f>
        <v>#VALUE!</v>
      </c>
      <c r="N82" s="580" t="e">
        <f>IF(Table145242[[#This Row],[Cuddio Colofn]]&lt;AN27,"",IF(Table145242[[#This Row],[Cuddio Colofn]]=AN27,G49,SUM(SUM(Table145242[[#This Row],[Balans Cyfalaf Cychwynnol]]*D50))))</f>
        <v>#VALUE!</v>
      </c>
      <c r="O82" s="580" t="str">
        <f>IF(AB83="Ad-daliadau cyfalaf wedi gorffen",Table145242[[#This Row],[Balans Cyfalaf Cychwynnol]],IF(Table145242[[#This Row],[Cuddio Colofn]]&gt;=AO38,IFERROR((Table145242[[#This Row],[Isafswm gwerth ad-dalu gofynnol (y flwyddyn)]]-Table145242[[#This Row],[Taliad Llog]]),0),0))</f>
        <v/>
      </c>
      <c r="P82" s="582" t="str">
        <f>TRIM(Table145242[[#This Row],[Ad-daliad Cyfalaf]])</f>
        <v/>
      </c>
      <c r="Q82" s="573">
        <v>0</v>
      </c>
      <c r="R82" s="580">
        <f>SUM(Table145242[[#This Row],[Ad-daliad Cyfalaf]:[Ad-daliad Cyfalaf Cynnar]])</f>
        <v>0</v>
      </c>
      <c r="S82" s="580" t="e">
        <f>SUM(Table145242[[#This Row],[Taliad Llog]:[Ad-daliad Cyfalaf Cynnar]])</f>
        <v>#VALUE!</v>
      </c>
      <c r="T82" s="581" t="str">
        <f>IF(Table145242[[#This Row],[Cyfanswm Ad-daliad (heb gynnwys taliadau llog)]]=0,Table145242[[#This Row],[Balans Cyfalaf Cychwynnol]],L82-R82)</f>
        <v/>
      </c>
      <c r="U82" s="580">
        <f>U81+Table145242[[#This Row],[Cyfanswm Ad-daliad (heb gynnwys taliadau llog)]]</f>
        <v>0</v>
      </c>
      <c r="V82" s="580" t="e">
        <f>V81+Table145242[[#This Row],[Taliad Llog]]</f>
        <v>#VALUE!</v>
      </c>
      <c r="W82" s="583" t="str">
        <f>IF(N18="","",IF(M62&gt;T81,T81,M62))</f>
        <v/>
      </c>
      <c r="X82" s="583" t="str">
        <f>IF(Table145242[[#This Row],[Prawf Balans ar y Diwedd - mae''n dangos beth ddylai''r taliad terfynol fod]]&lt;M62,Table145242[[#This Row],[Prawf Balans ar y Diwedd - mae''n dangos beth ddylai''r taliad terfynol fod]],"")</f>
        <v/>
      </c>
      <c r="Y82" s="584" t="str">
        <f>TRIM(Table145242[[#This Row],[Taliadau Cyfalaf Cronnol]])</f>
        <v>0</v>
      </c>
      <c r="Z82" s="585" t="e">
        <f>IF(Table145242[[#This Row],[Balans Cyfalaf ar y Diwedd]]=D49,Table145242[[#This Row],[Taliad Llog]],0)</f>
        <v>#VALUE!</v>
      </c>
      <c r="AA82" s="585">
        <f>IFERROR(VALUE(Table145242[[#This Row],[Rhif Talu Ad-daliad Cyfalaf]]), 0)</f>
        <v>0</v>
      </c>
      <c r="AB82" s="586" t="str">
        <f t="shared" si="0"/>
        <v>Ad-daliadau Cyfalaf wedi Gorffen</v>
      </c>
      <c r="AC82" s="820">
        <f>IF(Table145242[[#This Row],[Statws Ad-dalu]]="Ad-daliadau cyfalaf wedi gorffen",0,Table145242[[#This Row],[Taliad Llog]])</f>
        <v>0</v>
      </c>
      <c r="AD82" s="590" t="str">
        <f>IFERROR(IF(Table145242[[#This Row],[Ad-daliad Cyfalaf]]&lt;=0,0,IF(Table145242[[#This Row],[Statws Ad-dalu]]="Capital Repayments Finished",0,Table145242[[#This Row],[Ad-daliad Cyfalaf]])),0)</f>
        <v/>
      </c>
      <c r="AE82" s="596"/>
      <c r="AF82" s="596"/>
    </row>
    <row r="83" spans="2:32" x14ac:dyDescent="0.25">
      <c r="B83" s="596"/>
      <c r="C83" s="587">
        <v>50100</v>
      </c>
      <c r="D83" s="588">
        <v>50464</v>
      </c>
      <c r="E83" s="576" t="str">
        <f>IFERROR(IF((LEFT(G83,4))=(LEFT(AO29,4)),"1",IF((LEFT(G83,4))&lt;(LEFT(AO29,4)),"N/A",IF((LEFT(G83,4))&gt;(LEFT(AO29,4)),E82+1,))),"")</f>
        <v/>
      </c>
      <c r="F83" s="576">
        <f>IF(H83=AN27,"1",IF(H83&lt;AN27,"N/A",IF(H83&gt;AN27,SUM(F82+1))))</f>
        <v>15</v>
      </c>
      <c r="G83" s="589" t="s">
        <v>352</v>
      </c>
      <c r="H83" s="578" t="str">
        <f>LEFT(Table145242[[#This Row],[Blwyddyn Ariannol y Taliad]],4)</f>
        <v>2037</v>
      </c>
      <c r="I83" s="578" t="str">
        <f>TRIM(Table145242[[#This Row],[Cuddio Colofn, BT Gyntaf]])</f>
        <v>2037</v>
      </c>
      <c r="J83" s="579" t="str">
        <f>TRIM(AO16)</f>
        <v>1899</v>
      </c>
      <c r="K83" s="577" t="str">
        <f>D49</f>
        <v/>
      </c>
      <c r="L83" s="580" t="str">
        <f t="shared" ref="L83:L93" si="2">T82</f>
        <v/>
      </c>
      <c r="M83" s="581" t="e">
        <f>IF(SUM(T82+Table145242[[#This Row],[Taliad Llog]])&lt;N18,SUM(Table145242[[#This Row],[Balans Cyfalaf Cychwynnol]]+Table145242[[#This Row],[Taliad Llog]]),IF(Table145242[[#This Row],[Cuddio Colofn]]&gt;AN27,IF(AND(W83&gt;=0.1,W83&lt;N18),N18,IF(I83&gt;=AO29,N18,0)),0))</f>
        <v>#VALUE!</v>
      </c>
      <c r="N83" s="580" t="e">
        <f>IF(Table145242[[#This Row],[Cuddio Colofn]]&lt;AN27,"",IF(Table145242[[#This Row],[Cuddio Colofn]]=AN27,G49,SUM(SUM(Table145242[[#This Row],[Balans Cyfalaf Cychwynnol]]*D50))))</f>
        <v>#VALUE!</v>
      </c>
      <c r="O83" s="580" t="str">
        <f>IF(AB84="Ad-daliadau cyfalaf wedi gorffen",Table145242[[#This Row],[Balans Cyfalaf Cychwynnol]],IF(Table145242[[#This Row],[Cuddio Colofn]]&gt;=AO39,IFERROR((Table145242[[#This Row],[Isafswm gwerth ad-dalu gofynnol (y flwyddyn)]]-Table145242[[#This Row],[Taliad Llog]]),0),0))</f>
        <v/>
      </c>
      <c r="P83" s="582" t="str">
        <f>TRIM(Table145242[[#This Row],[Ad-daliad Cyfalaf]])</f>
        <v/>
      </c>
      <c r="Q83" s="573">
        <v>0</v>
      </c>
      <c r="R83" s="580">
        <f>SUM(Table145242[[#This Row],[Ad-daliad Cyfalaf]:[Ad-daliad Cyfalaf Cynnar]])</f>
        <v>0</v>
      </c>
      <c r="S83" s="580" t="e">
        <f>SUM(Table145242[[#This Row],[Taliad Llog]:[Ad-daliad Cyfalaf Cynnar]])</f>
        <v>#VALUE!</v>
      </c>
      <c r="T83" s="581" t="str">
        <f>IF(Table145242[[#This Row],[Cyfanswm Ad-daliad (heb gynnwys taliadau llog)]]=0,Table145242[[#This Row],[Balans Cyfalaf Cychwynnol]],L83-R83)</f>
        <v/>
      </c>
      <c r="U83" s="580">
        <f>U82+Table145242[[#This Row],[Cyfanswm Ad-daliad (heb gynnwys taliadau llog)]]</f>
        <v>0</v>
      </c>
      <c r="V83" s="580" t="e">
        <f>V82+Table145242[[#This Row],[Taliad Llog]]</f>
        <v>#VALUE!</v>
      </c>
      <c r="W83" s="583" t="str">
        <f>IF(N18="","",IF(M62&gt;T82,T82,M62))</f>
        <v/>
      </c>
      <c r="X83" s="583" t="str">
        <f>IF(Table145242[[#This Row],[Prawf Balans ar y Diwedd - mae''n dangos beth ddylai''r taliad terfynol fod]]&lt;M62,Table145242[[#This Row],[Prawf Balans ar y Diwedd - mae''n dangos beth ddylai''r taliad terfynol fod]],"")</f>
        <v/>
      </c>
      <c r="Y83" s="584" t="str">
        <f>TRIM(Table145242[[#This Row],[Taliadau Cyfalaf Cronnol]])</f>
        <v>0</v>
      </c>
      <c r="Z83" s="585" t="e">
        <f>IF(Table145242[[#This Row],[Balans Cyfalaf ar y Diwedd]]=D49,Table145242[[#This Row],[Taliad Llog]],0)</f>
        <v>#VALUE!</v>
      </c>
      <c r="AA83" s="585">
        <f>IFERROR(VALUE(Table145242[[#This Row],[Rhif Talu Ad-daliad Cyfalaf]]), 0)</f>
        <v>0</v>
      </c>
      <c r="AB83" s="586" t="str">
        <f t="shared" si="0"/>
        <v>Ad-daliadau Cyfalaf wedi Gorffen</v>
      </c>
      <c r="AC83" s="820">
        <f>IF(Table145242[[#This Row],[Statws Ad-dalu]]="Ad-daliadau cyfalaf wedi gorffen",0,Table145242[[#This Row],[Taliad Llog]])</f>
        <v>0</v>
      </c>
      <c r="AD83" s="590" t="str">
        <f>IFERROR(IF(Table145242[[#This Row],[Ad-daliad Cyfalaf]]&lt;=0,0,IF(Table145242[[#This Row],[Statws Ad-dalu]]="Capital Repayments Finished",0,Table145242[[#This Row],[Ad-daliad Cyfalaf]])),0)</f>
        <v/>
      </c>
      <c r="AE83" s="596"/>
      <c r="AF83" s="596"/>
    </row>
    <row r="84" spans="2:32" x14ac:dyDescent="0.25">
      <c r="B84" s="596"/>
      <c r="C84" s="591">
        <v>50465</v>
      </c>
      <c r="D84" s="575">
        <v>50829</v>
      </c>
      <c r="E84" s="576" t="str">
        <f>IFERROR(IF((LEFT(G84,4))=(LEFT(AO29,4)),"1",IF((LEFT(G84,4))&lt;(LEFT(AO29,4)),"N/A",IF((LEFT(G84,4))&gt;(LEFT(AO29,4)),E83+1,))),"")</f>
        <v/>
      </c>
      <c r="F84" s="576">
        <f>IF(H84=AN27,"1",IF(H84&lt;AN27,"N/A",IF(H84&gt;AN27,SUM(F83+1))))</f>
        <v>16</v>
      </c>
      <c r="G84" s="577" t="s">
        <v>353</v>
      </c>
      <c r="H84" s="578" t="str">
        <f>LEFT(Table145242[[#This Row],[Blwyddyn Ariannol y Taliad]],4)</f>
        <v>2038</v>
      </c>
      <c r="I84" s="578" t="str">
        <f>TRIM(Table145242[[#This Row],[Cuddio Colofn, BT Gyntaf]])</f>
        <v>2038</v>
      </c>
      <c r="J84" s="579" t="str">
        <f>TRIM(AO16)</f>
        <v>1899</v>
      </c>
      <c r="K84" s="577" t="str">
        <f>D49</f>
        <v/>
      </c>
      <c r="L84" s="580" t="str">
        <f t="shared" si="2"/>
        <v/>
      </c>
      <c r="M84" s="581" t="e">
        <f>IF(SUM(T83+Table145242[[#This Row],[Taliad Llog]])&lt;N18,SUM(Table145242[[#This Row],[Balans Cyfalaf Cychwynnol]]+Table145242[[#This Row],[Taliad Llog]]),IF(Table145242[[#This Row],[Cuddio Colofn]]&gt;AN27,IF(AND(W84&gt;=0.1,W84&lt;N18),N18,IF(I84&gt;=AO29,N18,0)),0))</f>
        <v>#VALUE!</v>
      </c>
      <c r="N84" s="580" t="e">
        <f>IF(Table145242[[#This Row],[Cuddio Colofn]]&lt;AN27,"",IF(Table145242[[#This Row],[Cuddio Colofn]]=AN27,G49,SUM(SUM(Table145242[[#This Row],[Balans Cyfalaf Cychwynnol]]*D50))))</f>
        <v>#VALUE!</v>
      </c>
      <c r="O84" s="580" t="str">
        <f>IF(AB85="Ad-daliadau cyfalaf wedi gorffen",Table145242[[#This Row],[Balans Cyfalaf Cychwynnol]],IF(Table145242[[#This Row],[Cuddio Colofn]]&gt;=AO40,IFERROR((Table145242[[#This Row],[Isafswm gwerth ad-dalu gofynnol (y flwyddyn)]]-Table145242[[#This Row],[Taliad Llog]]),0),0))</f>
        <v/>
      </c>
      <c r="P84" s="582" t="str">
        <f>TRIM(Table145242[[#This Row],[Ad-daliad Cyfalaf]])</f>
        <v/>
      </c>
      <c r="Q84" s="573">
        <v>0</v>
      </c>
      <c r="R84" s="580">
        <f>SUM(Table145242[[#This Row],[Ad-daliad Cyfalaf]:[Ad-daliad Cyfalaf Cynnar]])</f>
        <v>0</v>
      </c>
      <c r="S84" s="580" t="e">
        <f>SUM(Table145242[[#This Row],[Taliad Llog]:[Ad-daliad Cyfalaf Cynnar]])</f>
        <v>#VALUE!</v>
      </c>
      <c r="T84" s="581" t="str">
        <f>IF(Table145242[[#This Row],[Cyfanswm Ad-daliad (heb gynnwys taliadau llog)]]=0,Table145242[[#This Row],[Balans Cyfalaf Cychwynnol]],L84-R84)</f>
        <v/>
      </c>
      <c r="U84" s="580">
        <f>U83+Table145242[[#This Row],[Cyfanswm Ad-daliad (heb gynnwys taliadau llog)]]</f>
        <v>0</v>
      </c>
      <c r="V84" s="580" t="e">
        <f>V83+Table145242[[#This Row],[Taliad Llog]]</f>
        <v>#VALUE!</v>
      </c>
      <c r="W84" s="583" t="str">
        <f>IF(N18="","",IF(M62&gt;T83,T83,M62))</f>
        <v/>
      </c>
      <c r="X84" s="583" t="str">
        <f>IF(Table145242[[#This Row],[Prawf Balans ar y Diwedd - mae''n dangos beth ddylai''r taliad terfynol fod]]&lt;M62,Table145242[[#This Row],[Prawf Balans ar y Diwedd - mae''n dangos beth ddylai''r taliad terfynol fod]],"")</f>
        <v/>
      </c>
      <c r="Y84" s="584" t="str">
        <f>TRIM(Table145242[[#This Row],[Taliadau Cyfalaf Cronnol]])</f>
        <v>0</v>
      </c>
      <c r="Z84" s="585" t="e">
        <f>IF(Table145242[[#This Row],[Balans Cyfalaf ar y Diwedd]]=D49,Table145242[[#This Row],[Taliad Llog]],0)</f>
        <v>#VALUE!</v>
      </c>
      <c r="AA84" s="585">
        <f>IFERROR(VALUE(Table145242[[#This Row],[Rhif Talu Ad-daliad Cyfalaf]]), 0)</f>
        <v>0</v>
      </c>
      <c r="AB84" s="586" t="str">
        <f t="shared" si="0"/>
        <v>Ad-daliadau Cyfalaf wedi Gorffen</v>
      </c>
      <c r="AC84" s="820">
        <f>IF(Table145242[[#This Row],[Statws Ad-dalu]]="Ad-daliadau cyfalaf wedi gorffen",0,Table145242[[#This Row],[Taliad Llog]])</f>
        <v>0</v>
      </c>
      <c r="AD84" s="590" t="str">
        <f>IFERROR(IF(Table145242[[#This Row],[Ad-daliad Cyfalaf]]&lt;=0,0,IF(Table145242[[#This Row],[Statws Ad-dalu]]="Capital Repayments Finished",0,Table145242[[#This Row],[Ad-daliad Cyfalaf]])),0)</f>
        <v/>
      </c>
      <c r="AE84" s="596"/>
      <c r="AF84" s="596"/>
    </row>
    <row r="85" spans="2:32" hidden="1" x14ac:dyDescent="0.25">
      <c r="B85" s="596"/>
      <c r="C85" s="587">
        <v>50830</v>
      </c>
      <c r="D85" s="588">
        <v>51194</v>
      </c>
      <c r="E85" s="576" t="str">
        <f>IFERROR(IF((LEFT(G85,4))=(LEFT(AO29,4)),"1",IF((LEFT(G85,4))&lt;(LEFT(AO29,4)),"N/A",IF((LEFT(G85,4))&gt;(LEFT(AO29,4)),E84+1,))),"")</f>
        <v/>
      </c>
      <c r="F85" s="576">
        <f>IF(H85=AN27,"1",IF(H85&lt;AN27,"N/A",IF(H85&gt;AN27,SUM(F84+1))))</f>
        <v>17</v>
      </c>
      <c r="G85" s="589" t="s">
        <v>354</v>
      </c>
      <c r="H85" s="578" t="str">
        <f>LEFT(Table145242[[#This Row],[Blwyddyn Ariannol y Taliad]],4)</f>
        <v>2039</v>
      </c>
      <c r="I85" s="578" t="str">
        <f>TRIM(Table145242[[#This Row],[Cuddio Colofn, BT Gyntaf]])</f>
        <v>2039</v>
      </c>
      <c r="J85" s="579" t="str">
        <f>TRIM(AO16)</f>
        <v>1899</v>
      </c>
      <c r="K85" s="577" t="str">
        <f>D49</f>
        <v/>
      </c>
      <c r="L85" s="580" t="str">
        <f t="shared" si="2"/>
        <v/>
      </c>
      <c r="M85" s="581" t="e">
        <f>IF(SUM(T84+Table145242[[#This Row],[Taliad Llog]])&lt;N18,SUM(Table145242[[#This Row],[Balans Cyfalaf Cychwynnol]]+Table145242[[#This Row],[Taliad Llog]]),IF(Table145242[[#This Row],[Cuddio Colofn]]&gt;AN27,IF(AND(W85&gt;=0.1,W85&lt;N18),N18,IF(I85&gt;=AO29,N18,0)),0))</f>
        <v>#VALUE!</v>
      </c>
      <c r="N85" s="580" t="e">
        <f>IF(Table145242[[#This Row],[Cuddio Colofn]]&lt;AN27,"",IF(Table145242[[#This Row],[Cuddio Colofn]]=AN27,G49,SUM(SUM(Table145242[[#This Row],[Balans Cyfalaf Cychwynnol]]*D50))))</f>
        <v>#VALUE!</v>
      </c>
      <c r="O85" s="580" t="str">
        <f>IF(AB86="Ad-daliadau cyfalaf wedi gorffen",Table145242[[#This Row],[Balans Cyfalaf Cychwynnol]],IF(Table145242[[#This Row],[Cuddio Colofn]]&gt;=AO41,IFERROR((Table145242[[#This Row],[Isafswm gwerth ad-dalu gofynnol (y flwyddyn)]]-Table145242[[#This Row],[Taliad Llog]]),0),0))</f>
        <v/>
      </c>
      <c r="P85" s="582" t="str">
        <f>TRIM(Table145242[[#This Row],[Ad-daliad Cyfalaf]])</f>
        <v/>
      </c>
      <c r="Q85" s="573">
        <v>0</v>
      </c>
      <c r="R85" s="580">
        <f>SUM(Table145242[[#This Row],[Ad-daliad Cyfalaf]:[Ad-daliad Cyfalaf Cynnar]])</f>
        <v>0</v>
      </c>
      <c r="S85" s="580" t="e">
        <f>SUM(Table145242[[#This Row],[Taliad Llog]:[Ad-daliad Cyfalaf Cynnar]])</f>
        <v>#VALUE!</v>
      </c>
      <c r="T85" s="581" t="str">
        <f>IF(Table145242[[#This Row],[Cyfanswm Ad-daliad (heb gynnwys taliadau llog)]]=0,Table145242[[#This Row],[Balans Cyfalaf Cychwynnol]],L85-R85)</f>
        <v/>
      </c>
      <c r="U85" s="580">
        <f>U84+Table145242[[#This Row],[Cyfanswm Ad-daliad (heb gynnwys taliadau llog)]]</f>
        <v>0</v>
      </c>
      <c r="V85" s="580" t="e">
        <f>V84+Table145242[[#This Row],[Taliad Llog]]</f>
        <v>#VALUE!</v>
      </c>
      <c r="W85" s="583" t="str">
        <f>IF(N18="","",IF(M62&gt;T84,T84,M62))</f>
        <v/>
      </c>
      <c r="X85" s="583" t="str">
        <f>IF(Table145242[[#This Row],[Prawf Balans ar y Diwedd - mae''n dangos beth ddylai''r taliad terfynol fod]]&lt;M62,Table145242[[#This Row],[Prawf Balans ar y Diwedd - mae''n dangos beth ddylai''r taliad terfynol fod]],"")</f>
        <v/>
      </c>
      <c r="Y85" s="584" t="str">
        <f>TRIM(Table145242[[#This Row],[Taliadau Cyfalaf Cronnol]])</f>
        <v>0</v>
      </c>
      <c r="Z85" s="585" t="e">
        <f>IF(Table145242[[#This Row],[Balans Cyfalaf ar y Diwedd]]=D49,Table145242[[#This Row],[Taliad Llog]],0)</f>
        <v>#VALUE!</v>
      </c>
      <c r="AA85" s="585">
        <f>IFERROR(VALUE(Table145242[[#This Row],[Rhif Talu Ad-daliad Cyfalaf]]), 0)</f>
        <v>0</v>
      </c>
      <c r="AB85" s="586" t="str">
        <f t="shared" si="0"/>
        <v>Ad-daliadau Cyfalaf wedi Gorffen</v>
      </c>
      <c r="AC85" s="820">
        <f>IF(Table145242[[#This Row],[Statws Ad-dalu]]="Ad-daliadau cyfalaf wedi gorffen",0,Table145242[[#This Row],[Taliad Llog]])</f>
        <v>0</v>
      </c>
      <c r="AD85" s="590" t="str">
        <f>IFERROR(IF(Table145242[[#This Row],[Ad-daliad Cyfalaf]]&lt;=0,0,IF(Table145242[[#This Row],[Statws Ad-dalu]]="Capital Repayments Finished",0,Table145242[[#This Row],[Ad-daliad Cyfalaf]])),0)</f>
        <v/>
      </c>
      <c r="AE85" s="596"/>
      <c r="AF85" s="596"/>
    </row>
    <row r="86" spans="2:32" hidden="1" x14ac:dyDescent="0.25">
      <c r="B86" s="596"/>
      <c r="C86" s="591">
        <v>51196</v>
      </c>
      <c r="D86" s="575">
        <v>51560</v>
      </c>
      <c r="E86" s="576" t="str">
        <f>IFERROR(IF((LEFT(G86,4))=(LEFT(AO29,4)),"1",IF((LEFT(G86,4))&lt;(LEFT(AO29,4)),"N/A",IF((LEFT(G86,4))&gt;(LEFT(AO29,4)),E85+1,))),"")</f>
        <v/>
      </c>
      <c r="F86" s="576">
        <f>IF(H86=AN27,"1",IF(H86&lt;AN27,"N/A",IF(H86&gt;AN27,SUM(F85+1))))</f>
        <v>18</v>
      </c>
      <c r="G86" s="577" t="s">
        <v>355</v>
      </c>
      <c r="H86" s="578" t="str">
        <f>LEFT(Table145242[[#This Row],[Blwyddyn Ariannol y Taliad]],4)</f>
        <v>2040</v>
      </c>
      <c r="I86" s="578" t="str">
        <f>TRIM(Table145242[[#This Row],[Cuddio Colofn, BT Gyntaf]])</f>
        <v>2040</v>
      </c>
      <c r="J86" s="579" t="str">
        <f>TRIM(AO16)</f>
        <v>1899</v>
      </c>
      <c r="K86" s="577" t="str">
        <f>D49</f>
        <v/>
      </c>
      <c r="L86" s="580" t="str">
        <f t="shared" si="2"/>
        <v/>
      </c>
      <c r="M86" s="581" t="e">
        <f>IF(SUM(T85+Table145242[[#This Row],[Taliad Llog]])&lt;N18,SUM(Table145242[[#This Row],[Balans Cyfalaf Cychwynnol]]+Table145242[[#This Row],[Taliad Llog]]),IF(Table145242[[#This Row],[Cuddio Colofn]]&gt;AN27,IF(AND(W86&gt;=0.1,W86&lt;N18),N18,IF(I86&gt;=AO29,N18,0)),0))</f>
        <v>#VALUE!</v>
      </c>
      <c r="N86" s="580" t="e">
        <f>IF(Table145242[[#This Row],[Cuddio Colofn]]&lt;AN27,"",IF(Table145242[[#This Row],[Cuddio Colofn]]=AN27,G49,SUM(SUM(Table145242[[#This Row],[Balans Cyfalaf Cychwynnol]]*D50))))</f>
        <v>#VALUE!</v>
      </c>
      <c r="O86" s="580" t="str">
        <f>IF(AB87="Ad-daliadau cyfalaf wedi gorffen",Table145242[[#This Row],[Balans Cyfalaf Cychwynnol]],IF(Table145242[[#This Row],[Cuddio Colofn]]&gt;=AO42,IFERROR((Table145242[[#This Row],[Isafswm gwerth ad-dalu gofynnol (y flwyddyn)]]-Table145242[[#This Row],[Taliad Llog]]),0),0))</f>
        <v/>
      </c>
      <c r="P86" s="582" t="str">
        <f>TRIM(Table145242[[#This Row],[Ad-daliad Cyfalaf]])</f>
        <v/>
      </c>
      <c r="Q86" s="573">
        <v>0</v>
      </c>
      <c r="R86" s="580">
        <f>SUM(Table145242[[#This Row],[Ad-daliad Cyfalaf]:[Ad-daliad Cyfalaf Cynnar]])</f>
        <v>0</v>
      </c>
      <c r="S86" s="580" t="e">
        <f>SUM(Table145242[[#This Row],[Taliad Llog]:[Ad-daliad Cyfalaf Cynnar]])</f>
        <v>#VALUE!</v>
      </c>
      <c r="T86" s="581" t="str">
        <f>IF(Table145242[[#This Row],[Cyfanswm Ad-daliad (heb gynnwys taliadau llog)]]=0,Table145242[[#This Row],[Balans Cyfalaf Cychwynnol]],L86-R86)</f>
        <v/>
      </c>
      <c r="U86" s="580">
        <f>U85+Table145242[[#This Row],[Cyfanswm Ad-daliad (heb gynnwys taliadau llog)]]</f>
        <v>0</v>
      </c>
      <c r="V86" s="580" t="e">
        <f>V85+Table145242[[#This Row],[Taliad Llog]]</f>
        <v>#VALUE!</v>
      </c>
      <c r="W86" s="583" t="str">
        <f>IF(N18="","",IF(M62&gt;T85,T85,M62))</f>
        <v/>
      </c>
      <c r="X86" s="583" t="str">
        <f>IF(Table145242[[#This Row],[Prawf Balans ar y Diwedd - mae''n dangos beth ddylai''r taliad terfynol fod]]&lt;M62,Table145242[[#This Row],[Prawf Balans ar y Diwedd - mae''n dangos beth ddylai''r taliad terfynol fod]],"")</f>
        <v/>
      </c>
      <c r="Y86" s="584" t="str">
        <f>TRIM(Table145242[[#This Row],[Taliadau Cyfalaf Cronnol]])</f>
        <v>0</v>
      </c>
      <c r="Z86" s="585" t="e">
        <f>IF(Table145242[[#This Row],[Balans Cyfalaf ar y Diwedd]]=D49,Table145242[[#This Row],[Taliad Llog]],0)</f>
        <v>#VALUE!</v>
      </c>
      <c r="AA86" s="585">
        <f>IFERROR(VALUE(Table145242[[#This Row],[Rhif Talu Ad-daliad Cyfalaf]]), 0)</f>
        <v>0</v>
      </c>
      <c r="AB86" s="586" t="str">
        <f t="shared" si="0"/>
        <v>Ad-daliadau Cyfalaf wedi Gorffen</v>
      </c>
      <c r="AC86" s="820">
        <f>IF(Table145242[[#This Row],[Statws Ad-dalu]]="Ad-daliadau cyfalaf wedi gorffen",0,Table145242[[#This Row],[Taliad Llog]])</f>
        <v>0</v>
      </c>
      <c r="AD86" s="590" t="str">
        <f>IFERROR(IF(Table145242[[#This Row],[Ad-daliad Cyfalaf]]&lt;=0,0,IF(Table145242[[#This Row],[Statws Ad-dalu]]="Capital Repayments Finished",0,Table145242[[#This Row],[Ad-daliad Cyfalaf]])),0)</f>
        <v/>
      </c>
      <c r="AE86" s="596"/>
      <c r="AF86" s="596"/>
    </row>
    <row r="87" spans="2:32" hidden="1" x14ac:dyDescent="0.25">
      <c r="B87" s="596"/>
      <c r="C87" s="587">
        <v>51561</v>
      </c>
      <c r="D87" s="588">
        <v>51925</v>
      </c>
      <c r="E87" s="576" t="str">
        <f>IFERROR(IF((LEFT(G87,4))=(LEFT(AO29,4)),"1",IF((LEFT(G87,4))&lt;(LEFT(AO29,4)),"N/A",IF((LEFT(G87,4))&gt;(LEFT(AO29,4)),E86+1,))),"")</f>
        <v/>
      </c>
      <c r="F87" s="576">
        <f>IF(H87=AN27,"1",IF(H87&lt;AN27,"N/A",IF(H87&gt;AN27,SUM(F86+1))))</f>
        <v>19</v>
      </c>
      <c r="G87" s="589" t="s">
        <v>356</v>
      </c>
      <c r="H87" s="578" t="str">
        <f>LEFT(Table145242[[#This Row],[Blwyddyn Ariannol y Taliad]],4)</f>
        <v>2041</v>
      </c>
      <c r="I87" s="578" t="str">
        <f>TRIM(Table145242[[#This Row],[Cuddio Colofn, BT Gyntaf]])</f>
        <v>2041</v>
      </c>
      <c r="J87" s="579" t="str">
        <f>TRIM(AO16)</f>
        <v>1899</v>
      </c>
      <c r="K87" s="577" t="str">
        <f>D49</f>
        <v/>
      </c>
      <c r="L87" s="580" t="str">
        <f t="shared" si="2"/>
        <v/>
      </c>
      <c r="M87" s="581" t="e">
        <f>IF(SUM(T86+Table145242[[#This Row],[Taliad Llog]])&lt;N18,SUM(Table145242[[#This Row],[Balans Cyfalaf Cychwynnol]]+Table145242[[#This Row],[Taliad Llog]]),IF(Table145242[[#This Row],[Cuddio Colofn]]&gt;AN27,IF(AND(W87&gt;=0.1,W87&lt;N18),N18,IF(I87&gt;=AO29,N18,0)),0))</f>
        <v>#VALUE!</v>
      </c>
      <c r="N87" s="580" t="e">
        <f>IF(Table145242[[#This Row],[Cuddio Colofn]]&lt;AN27,"",IF(Table145242[[#This Row],[Cuddio Colofn]]=AN27,G49,SUM(SUM(Table145242[[#This Row],[Balans Cyfalaf Cychwynnol]]*D50))))</f>
        <v>#VALUE!</v>
      </c>
      <c r="O87" s="580" t="str">
        <f>IF(AB88="Ad-daliadau cyfalaf wedi gorffen",Table145242[[#This Row],[Balans Cyfalaf Cychwynnol]],IF(Table145242[[#This Row],[Cuddio Colofn]]&gt;=AO43,IFERROR((Table145242[[#This Row],[Isafswm gwerth ad-dalu gofynnol (y flwyddyn)]]-Table145242[[#This Row],[Taliad Llog]]),0),0))</f>
        <v/>
      </c>
      <c r="P87" s="582" t="str">
        <f>TRIM(Table145242[[#This Row],[Ad-daliad Cyfalaf]])</f>
        <v/>
      </c>
      <c r="Q87" s="573">
        <v>0</v>
      </c>
      <c r="R87" s="580">
        <f>SUM(Table145242[[#This Row],[Ad-daliad Cyfalaf]:[Ad-daliad Cyfalaf Cynnar]])</f>
        <v>0</v>
      </c>
      <c r="S87" s="580" t="e">
        <f>SUM(Table145242[[#This Row],[Taliad Llog]:[Ad-daliad Cyfalaf Cynnar]])</f>
        <v>#VALUE!</v>
      </c>
      <c r="T87" s="581" t="str">
        <f>IF(Table145242[[#This Row],[Cyfanswm Ad-daliad (heb gynnwys taliadau llog)]]=0,Table145242[[#This Row],[Balans Cyfalaf Cychwynnol]],L87-R87)</f>
        <v/>
      </c>
      <c r="U87" s="580">
        <f>U86+Table145242[[#This Row],[Cyfanswm Ad-daliad (heb gynnwys taliadau llog)]]</f>
        <v>0</v>
      </c>
      <c r="V87" s="580" t="e">
        <f>V86+Table145242[[#This Row],[Taliad Llog]]</f>
        <v>#VALUE!</v>
      </c>
      <c r="W87" s="583" t="str">
        <f>IF(N18="","",IF(M62&gt;T86,T86,M62))</f>
        <v/>
      </c>
      <c r="X87" s="583" t="str">
        <f>IF(Table145242[[#This Row],[Prawf Balans ar y Diwedd - mae''n dangos beth ddylai''r taliad terfynol fod]]&lt;M62,Table145242[[#This Row],[Prawf Balans ar y Diwedd - mae''n dangos beth ddylai''r taliad terfynol fod]],"")</f>
        <v/>
      </c>
      <c r="Y87" s="584" t="str">
        <f>TRIM(Table145242[[#This Row],[Taliadau Cyfalaf Cronnol]])</f>
        <v>0</v>
      </c>
      <c r="Z87" s="585" t="e">
        <f>IF(Table145242[[#This Row],[Balans Cyfalaf ar y Diwedd]]=D49,Table145242[[#This Row],[Taliad Llog]],0)</f>
        <v>#VALUE!</v>
      </c>
      <c r="AA87" s="585">
        <f>IFERROR(VALUE(Table145242[[#This Row],[Rhif Talu Ad-daliad Cyfalaf]]), 0)</f>
        <v>0</v>
      </c>
      <c r="AB87" s="586" t="str">
        <f t="shared" si="0"/>
        <v>Ad-daliadau Cyfalaf wedi Gorffen</v>
      </c>
      <c r="AC87" s="820">
        <f>IF(Table145242[[#This Row],[Statws Ad-dalu]]="Ad-daliadau cyfalaf wedi gorffen",0,Table145242[[#This Row],[Taliad Llog]])</f>
        <v>0</v>
      </c>
      <c r="AD87" s="590" t="str">
        <f>IFERROR(IF(Table145242[[#This Row],[Ad-daliad Cyfalaf]]&lt;=0,0,IF(Table145242[[#This Row],[Statws Ad-dalu]]="Capital Repayments Finished",0,Table145242[[#This Row],[Ad-daliad Cyfalaf]])),0)</f>
        <v/>
      </c>
      <c r="AE87" s="596"/>
      <c r="AF87" s="596"/>
    </row>
    <row r="88" spans="2:32" hidden="1" x14ac:dyDescent="0.25">
      <c r="B88" s="596"/>
      <c r="C88" s="591">
        <v>51926</v>
      </c>
      <c r="D88" s="575">
        <v>52290</v>
      </c>
      <c r="E88" s="576" t="str">
        <f>IFERROR(IF((LEFT(G88,4))=(LEFT(AO29,4)),"1",IF((LEFT(G88,4))&lt;(LEFT(AO29,4)),"N/A",IF((LEFT(G88,4))&gt;(LEFT(AO29,4)),E87+1,))),"")</f>
        <v/>
      </c>
      <c r="F88" s="576">
        <f>IF(H88=AN27,"1",IF(H88&lt;AN27,"N/A",IF(H88&gt;AN27,SUM(F87+1))))</f>
        <v>20</v>
      </c>
      <c r="G88" s="577" t="s">
        <v>357</v>
      </c>
      <c r="H88" s="578" t="str">
        <f>LEFT(Table145242[[#This Row],[Blwyddyn Ariannol y Taliad]],4)</f>
        <v>2042</v>
      </c>
      <c r="I88" s="578" t="str">
        <f>TRIM(Table145242[[#This Row],[Cuddio Colofn, BT Gyntaf]])</f>
        <v>2042</v>
      </c>
      <c r="J88" s="579" t="str">
        <f>TRIM(AO16)</f>
        <v>1899</v>
      </c>
      <c r="K88" s="577" t="str">
        <f>D49</f>
        <v/>
      </c>
      <c r="L88" s="580" t="str">
        <f t="shared" si="2"/>
        <v/>
      </c>
      <c r="M88" s="581" t="e">
        <f>IF(SUM(T87+Table145242[[#This Row],[Taliad Llog]])&lt;N18,SUM(Table145242[[#This Row],[Balans Cyfalaf Cychwynnol]]+Table145242[[#This Row],[Taliad Llog]]),IF(Table145242[[#This Row],[Cuddio Colofn]]&gt;AN27,IF(AND(W88&gt;=0.1,W88&lt;N18),N18,IF(I88&gt;=AO29,N18,0)),0))</f>
        <v>#VALUE!</v>
      </c>
      <c r="N88" s="580" t="e">
        <f>IF(Table145242[[#This Row],[Cuddio Colofn]]&lt;AN27,"",IF(Table145242[[#This Row],[Cuddio Colofn]]=AN27,G49,SUM(SUM(Table145242[[#This Row],[Balans Cyfalaf Cychwynnol]]*D50))))</f>
        <v>#VALUE!</v>
      </c>
      <c r="O88" s="580" t="str">
        <f>IF(AB89="Ad-daliadau cyfalaf wedi gorffen",Table145242[[#This Row],[Balans Cyfalaf Cychwynnol]],IF(Table145242[[#This Row],[Cuddio Colofn]]&gt;=AO44,IFERROR((Table145242[[#This Row],[Isafswm gwerth ad-dalu gofynnol (y flwyddyn)]]-Table145242[[#This Row],[Taliad Llog]]),0),0))</f>
        <v/>
      </c>
      <c r="P88" s="582" t="str">
        <f>TRIM(Table145242[[#This Row],[Ad-daliad Cyfalaf]])</f>
        <v/>
      </c>
      <c r="Q88" s="573">
        <v>0</v>
      </c>
      <c r="R88" s="580">
        <f>SUM(Table145242[[#This Row],[Ad-daliad Cyfalaf]:[Ad-daliad Cyfalaf Cynnar]])</f>
        <v>0</v>
      </c>
      <c r="S88" s="580" t="e">
        <f>SUM(Table145242[[#This Row],[Taliad Llog]:[Ad-daliad Cyfalaf Cynnar]])</f>
        <v>#VALUE!</v>
      </c>
      <c r="T88" s="581" t="str">
        <f>IF(Table145242[[#This Row],[Cyfanswm Ad-daliad (heb gynnwys taliadau llog)]]=0,Table145242[[#This Row],[Balans Cyfalaf Cychwynnol]],L88-R88)</f>
        <v/>
      </c>
      <c r="U88" s="580">
        <f>U87+Table145242[[#This Row],[Cyfanswm Ad-daliad (heb gynnwys taliadau llog)]]</f>
        <v>0</v>
      </c>
      <c r="V88" s="580" t="e">
        <f>V87+Table145242[[#This Row],[Taliad Llog]]</f>
        <v>#VALUE!</v>
      </c>
      <c r="W88" s="583" t="str">
        <f>IF(N18="","",IF(M62&gt;T87,T87,M62))</f>
        <v/>
      </c>
      <c r="X88" s="583" t="str">
        <f>IF(Table145242[[#This Row],[Prawf Balans ar y Diwedd - mae''n dangos beth ddylai''r taliad terfynol fod]]&lt;M62,Table145242[[#This Row],[Prawf Balans ar y Diwedd - mae''n dangos beth ddylai''r taliad terfynol fod]],"")</f>
        <v/>
      </c>
      <c r="Y88" s="584" t="str">
        <f>TRIM(Table145242[[#This Row],[Taliadau Cyfalaf Cronnol]])</f>
        <v>0</v>
      </c>
      <c r="Z88" s="585" t="e">
        <f>IF(Table145242[[#This Row],[Balans Cyfalaf ar y Diwedd]]=D49,Table145242[[#This Row],[Taliad Llog]],0)</f>
        <v>#VALUE!</v>
      </c>
      <c r="AA88" s="585">
        <f>IFERROR(VALUE(Table145242[[#This Row],[Rhif Talu Ad-daliad Cyfalaf]]), 0)</f>
        <v>0</v>
      </c>
      <c r="AB88" s="586" t="str">
        <f t="shared" si="0"/>
        <v>Ad-daliadau Cyfalaf wedi Gorffen</v>
      </c>
      <c r="AC88" s="820">
        <f>IF(Table145242[[#This Row],[Statws Ad-dalu]]="Ad-daliadau cyfalaf wedi gorffen",0,Table145242[[#This Row],[Taliad Llog]])</f>
        <v>0</v>
      </c>
      <c r="AD88" s="590" t="str">
        <f>IFERROR(IF(Table145242[[#This Row],[Ad-daliad Cyfalaf]]&lt;=0,0,IF(Table145242[[#This Row],[Statws Ad-dalu]]="Capital Repayments Finished",0,Table145242[[#This Row],[Ad-daliad Cyfalaf]])),0)</f>
        <v/>
      </c>
      <c r="AE88" s="596"/>
      <c r="AF88" s="596"/>
    </row>
    <row r="89" spans="2:32" hidden="1" x14ac:dyDescent="0.25">
      <c r="B89" s="596"/>
      <c r="C89" s="587">
        <v>52291</v>
      </c>
      <c r="D89" s="588">
        <v>52655</v>
      </c>
      <c r="E89" s="576" t="str">
        <f>IFERROR(IF((LEFT(G89,4))=(LEFT(AO29,4)),"1",IF((LEFT(G89,4))&lt;(LEFT(AO29,4)),"N/A",IF((LEFT(G89,4))&gt;(LEFT(AO29,4)),E88+1,))),"")</f>
        <v/>
      </c>
      <c r="F89" s="576">
        <f>IF(H89=AN27,"1",IF(H89&lt;AN27,"N/A",IF(H89&gt;AN27,SUM(F88+1))))</f>
        <v>21</v>
      </c>
      <c r="G89" s="589" t="s">
        <v>358</v>
      </c>
      <c r="H89" s="578" t="str">
        <f>LEFT(Table145242[[#This Row],[Blwyddyn Ariannol y Taliad]],4)</f>
        <v>2043</v>
      </c>
      <c r="I89" s="578" t="str">
        <f>TRIM(Table145242[[#This Row],[Cuddio Colofn, BT Gyntaf]])</f>
        <v>2043</v>
      </c>
      <c r="J89" s="579" t="str">
        <f>TRIM(AO16)</f>
        <v>1899</v>
      </c>
      <c r="K89" s="577" t="str">
        <f>D49</f>
        <v/>
      </c>
      <c r="L89" s="580" t="str">
        <f t="shared" si="2"/>
        <v/>
      </c>
      <c r="M89" s="581" t="e">
        <f>IF(SUM(T88+Table145242[[#This Row],[Taliad Llog]])&lt;N18,SUM(Table145242[[#This Row],[Balans Cyfalaf Cychwynnol]]+Table145242[[#This Row],[Taliad Llog]]),IF(Table145242[[#This Row],[Cuddio Colofn]]&gt;AN27,IF(AND(W89&gt;=0.1,W89&lt;N18),N18,IF(I89&gt;=AO29,N18,0)),0))</f>
        <v>#VALUE!</v>
      </c>
      <c r="N89" s="580" t="e">
        <f>IF(Table145242[[#This Row],[Cuddio Colofn]]&lt;AN27,"",IF(Table145242[[#This Row],[Cuddio Colofn]]=AN27,G49,SUM(SUM(Table145242[[#This Row],[Balans Cyfalaf Cychwynnol]]*D50))))</f>
        <v>#VALUE!</v>
      </c>
      <c r="O89" s="580" t="str">
        <f>IF(AB90="Ad-daliadau cyfalaf wedi gorffen",Table145242[[#This Row],[Balans Cyfalaf Cychwynnol]],IF(Table145242[[#This Row],[Cuddio Colofn]]&gt;=AO45,IFERROR((Table145242[[#This Row],[Isafswm gwerth ad-dalu gofynnol (y flwyddyn)]]-Table145242[[#This Row],[Taliad Llog]]),0),0))</f>
        <v/>
      </c>
      <c r="P89" s="582" t="str">
        <f>TRIM(Table145242[[#This Row],[Ad-daliad Cyfalaf]])</f>
        <v/>
      </c>
      <c r="Q89" s="573">
        <v>0</v>
      </c>
      <c r="R89" s="580">
        <f>SUM(Table145242[[#This Row],[Ad-daliad Cyfalaf]:[Ad-daliad Cyfalaf Cynnar]])</f>
        <v>0</v>
      </c>
      <c r="S89" s="580" t="e">
        <f>SUM(Table145242[[#This Row],[Taliad Llog]:[Ad-daliad Cyfalaf Cynnar]])</f>
        <v>#VALUE!</v>
      </c>
      <c r="T89" s="581" t="str">
        <f>IF(Table145242[[#This Row],[Cyfanswm Ad-daliad (heb gynnwys taliadau llog)]]=0,Table145242[[#This Row],[Balans Cyfalaf Cychwynnol]],L89-R89)</f>
        <v/>
      </c>
      <c r="U89" s="580">
        <f>U88+Table145242[[#This Row],[Cyfanswm Ad-daliad (heb gynnwys taliadau llog)]]</f>
        <v>0</v>
      </c>
      <c r="V89" s="580" t="e">
        <f>V88+Table145242[[#This Row],[Taliad Llog]]</f>
        <v>#VALUE!</v>
      </c>
      <c r="W89" s="583" t="str">
        <f>IF(N18="","",IF(M62&gt;T88,T88,M62))</f>
        <v/>
      </c>
      <c r="X89" s="583" t="str">
        <f>IF(Table145242[[#This Row],[Prawf Balans ar y Diwedd - mae''n dangos beth ddylai''r taliad terfynol fod]]&lt;M62,Table145242[[#This Row],[Prawf Balans ar y Diwedd - mae''n dangos beth ddylai''r taliad terfynol fod]],"")</f>
        <v/>
      </c>
      <c r="Y89" s="584" t="str">
        <f>TRIM(Table145242[[#This Row],[Taliadau Cyfalaf Cronnol]])</f>
        <v>0</v>
      </c>
      <c r="Z89" s="585" t="e">
        <f>IF(Table145242[[#This Row],[Balans Cyfalaf ar y Diwedd]]=D49,Table145242[[#This Row],[Taliad Llog]],0)</f>
        <v>#VALUE!</v>
      </c>
      <c r="AA89" s="585">
        <f>IFERROR(VALUE(Table145242[[#This Row],[Rhif Talu Ad-daliad Cyfalaf]]), 0)</f>
        <v>0</v>
      </c>
      <c r="AB89" s="586" t="str">
        <f t="shared" si="0"/>
        <v>Ad-daliadau Cyfalaf wedi Gorffen</v>
      </c>
      <c r="AC89" s="820">
        <f>IF(Table145242[[#This Row],[Statws Ad-dalu]]="Ad-daliadau cyfalaf wedi gorffen",0,Table145242[[#This Row],[Taliad Llog]])</f>
        <v>0</v>
      </c>
      <c r="AD89" s="590" t="str">
        <f>IFERROR(IF(Table145242[[#This Row],[Ad-daliad Cyfalaf]]&lt;=0,0,IF(Table145242[[#This Row],[Statws Ad-dalu]]="Capital Repayments Finished",0,Table145242[[#This Row],[Ad-daliad Cyfalaf]])),0)</f>
        <v/>
      </c>
      <c r="AE89" s="596"/>
      <c r="AF89" s="596"/>
    </row>
    <row r="90" spans="2:32" hidden="1" x14ac:dyDescent="0.25">
      <c r="B90" s="596"/>
      <c r="C90" s="587">
        <v>52657</v>
      </c>
      <c r="D90" s="575">
        <v>53021</v>
      </c>
      <c r="E90" s="576" t="str">
        <f>IFERROR(IF((LEFT(G90,4))=(LEFT(AO29,4)),"1",IF((LEFT(G90,4))&lt;(LEFT(AO29,4)),"N/A",IF((LEFT(G90,4))&gt;(LEFT(AO29,4)),E89+1,))),"")</f>
        <v/>
      </c>
      <c r="F90" s="576">
        <f>IF(H90=AN27,"1",IF(H90&lt;AN27,"N/A",IF(H90&gt;AN27,SUM(F89+1))))</f>
        <v>22</v>
      </c>
      <c r="G90" s="577" t="s">
        <v>359</v>
      </c>
      <c r="H90" s="578" t="str">
        <f>LEFT(Table145242[[#This Row],[Blwyddyn Ariannol y Taliad]],4)</f>
        <v>2044</v>
      </c>
      <c r="I90" s="578" t="str">
        <f>TRIM(Table145242[[#This Row],[Cuddio Colofn, BT Gyntaf]])</f>
        <v>2044</v>
      </c>
      <c r="J90" s="579" t="str">
        <f>TRIM(AO16)</f>
        <v>1899</v>
      </c>
      <c r="K90" s="577" t="str">
        <f>D49</f>
        <v/>
      </c>
      <c r="L90" s="580" t="str">
        <f t="shared" si="2"/>
        <v/>
      </c>
      <c r="M90" s="581" t="e">
        <f>IF(SUM(T89+Table145242[[#This Row],[Taliad Llog]])&lt;N18,SUM(Table145242[[#This Row],[Balans Cyfalaf Cychwynnol]]+Table145242[[#This Row],[Taliad Llog]]),IF(Table145242[[#This Row],[Cuddio Colofn]]&gt;AN27,IF(AND(W90&gt;=0.1,W90&lt;N18),N18,IF(I90&gt;=AO29,N18,0)),0))</f>
        <v>#VALUE!</v>
      </c>
      <c r="N90" s="580" t="e">
        <f>IF(Table145242[[#This Row],[Cuddio Colofn]]&lt;AN27,"",IF(Table145242[[#This Row],[Cuddio Colofn]]=AN27,G49,SUM(SUM(Table145242[[#This Row],[Balans Cyfalaf Cychwynnol]]*D50))))</f>
        <v>#VALUE!</v>
      </c>
      <c r="O90" s="580" t="str">
        <f>IF(AB91="Ad-daliadau cyfalaf wedi gorffen",Table145242[[#This Row],[Balans Cyfalaf Cychwynnol]],IF(Table145242[[#This Row],[Cuddio Colofn]]&gt;=AO46,IFERROR((Table145242[[#This Row],[Isafswm gwerth ad-dalu gofynnol (y flwyddyn)]]-Table145242[[#This Row],[Taliad Llog]]),0),0))</f>
        <v/>
      </c>
      <c r="P90" s="582" t="str">
        <f>TRIM(Table145242[[#This Row],[Ad-daliad Cyfalaf]])</f>
        <v/>
      </c>
      <c r="Q90" s="573">
        <v>0</v>
      </c>
      <c r="R90" s="580">
        <f>SUM(Table145242[[#This Row],[Ad-daliad Cyfalaf]:[Ad-daliad Cyfalaf Cynnar]])</f>
        <v>0</v>
      </c>
      <c r="S90" s="580" t="e">
        <f>SUM(Table145242[[#This Row],[Taliad Llog]:[Ad-daliad Cyfalaf Cynnar]])</f>
        <v>#VALUE!</v>
      </c>
      <c r="T90" s="581" t="str">
        <f>IF(Table145242[[#This Row],[Cyfanswm Ad-daliad (heb gynnwys taliadau llog)]]=0,Table145242[[#This Row],[Balans Cyfalaf Cychwynnol]],L90-R90)</f>
        <v/>
      </c>
      <c r="U90" s="580">
        <f>U89+Table145242[[#This Row],[Cyfanswm Ad-daliad (heb gynnwys taliadau llog)]]</f>
        <v>0</v>
      </c>
      <c r="V90" s="580" t="e">
        <f>V89+Table145242[[#This Row],[Taliad Llog]]</f>
        <v>#VALUE!</v>
      </c>
      <c r="W90" s="583" t="str">
        <f>IF(N18="","",IF(M62&gt;T89,T89,M62))</f>
        <v/>
      </c>
      <c r="X90" s="583" t="str">
        <f>IF(Table145242[[#This Row],[Prawf Balans ar y Diwedd - mae''n dangos beth ddylai''r taliad terfynol fod]]&lt;M62,Table145242[[#This Row],[Prawf Balans ar y Diwedd - mae''n dangos beth ddylai''r taliad terfynol fod]],"")</f>
        <v/>
      </c>
      <c r="Y90" s="584" t="str">
        <f>TRIM(Table145242[[#This Row],[Taliadau Cyfalaf Cronnol]])</f>
        <v>0</v>
      </c>
      <c r="Z90" s="585" t="e">
        <f>IF(Table145242[[#This Row],[Balans Cyfalaf ar y Diwedd]]=D49,Table145242[[#This Row],[Taliad Llog]],0)</f>
        <v>#VALUE!</v>
      </c>
      <c r="AA90" s="585">
        <f>IFERROR(VALUE(Table145242[[#This Row],[Rhif Talu Ad-daliad Cyfalaf]]), 0)</f>
        <v>0</v>
      </c>
      <c r="AB90" s="586" t="str">
        <f t="shared" si="0"/>
        <v>Ad-daliadau Cyfalaf wedi Gorffen</v>
      </c>
      <c r="AC90" s="820">
        <f>IF(Table145242[[#This Row],[Statws Ad-dalu]]="Ad-daliadau cyfalaf wedi gorffen",0,Table145242[[#This Row],[Taliad Llog]])</f>
        <v>0</v>
      </c>
      <c r="AD90" s="590" t="str">
        <f>IFERROR(IF(Table145242[[#This Row],[Ad-daliad Cyfalaf]]&lt;=0,0,IF(Table145242[[#This Row],[Statws Ad-dalu]]="Capital Repayments Finished",0,Table145242[[#This Row],[Ad-daliad Cyfalaf]])),0)</f>
        <v/>
      </c>
      <c r="AE90" s="596"/>
      <c r="AF90" s="596"/>
    </row>
    <row r="91" spans="2:32" hidden="1" x14ac:dyDescent="0.25">
      <c r="B91" s="596"/>
      <c r="C91" s="591">
        <v>53022</v>
      </c>
      <c r="D91" s="588">
        <v>53386</v>
      </c>
      <c r="E91" s="576" t="str">
        <f>IFERROR(IF((LEFT(G91,4))=(LEFT(AO29,4)),"1",IF((LEFT(G91,4))&lt;(LEFT(AO29,4)),"N/A",IF((LEFT(G91,4))&gt;(LEFT(AO29,4)),E90+1,))),"")</f>
        <v/>
      </c>
      <c r="F91" s="576">
        <f>IF(H91=AN27,"1",IF(H91&lt;AN27,"N/A",IF(H91&gt;AN27,SUM(F90+1))))</f>
        <v>23</v>
      </c>
      <c r="G91" s="589" t="s">
        <v>360</v>
      </c>
      <c r="H91" s="578" t="str">
        <f>LEFT(Table145242[[#This Row],[Blwyddyn Ariannol y Taliad]],4)</f>
        <v>2045</v>
      </c>
      <c r="I91" s="578" t="str">
        <f>TRIM(Table145242[[#This Row],[Cuddio Colofn, BT Gyntaf]])</f>
        <v>2045</v>
      </c>
      <c r="J91" s="579" t="str">
        <f>TRIM(AO16)</f>
        <v>1899</v>
      </c>
      <c r="K91" s="577" t="str">
        <f>D49</f>
        <v/>
      </c>
      <c r="L91" s="580" t="str">
        <f t="shared" si="2"/>
        <v/>
      </c>
      <c r="M91" s="581" t="e">
        <f>IF(SUM(T90+Table145242[[#This Row],[Taliad Llog]])&lt;N18,SUM(Table145242[[#This Row],[Balans Cyfalaf Cychwynnol]]+Table145242[[#This Row],[Taliad Llog]]),IF(Table145242[[#This Row],[Cuddio Colofn]]&gt;AN27,IF(AND(W91&gt;=0.1,W91&lt;N18),N18,IF(I91&gt;=AO29,N18,0)),0))</f>
        <v>#VALUE!</v>
      </c>
      <c r="N91" s="580" t="e">
        <f>IF(Table145242[[#This Row],[Cuddio Colofn]]&lt;AN27,"",IF(Table145242[[#This Row],[Cuddio Colofn]]=AN27,G49,SUM(SUM(Table145242[[#This Row],[Balans Cyfalaf Cychwynnol]]*D50))))</f>
        <v>#VALUE!</v>
      </c>
      <c r="O91" s="580" t="str">
        <f>IF(AB92="Ad-daliadau cyfalaf wedi gorffen",Table145242[[#This Row],[Balans Cyfalaf Cychwynnol]],IF(Table145242[[#This Row],[Cuddio Colofn]]&gt;=AO47,IFERROR((Table145242[[#This Row],[Isafswm gwerth ad-dalu gofynnol (y flwyddyn)]]-Table145242[[#This Row],[Taliad Llog]]),0),0))</f>
        <v/>
      </c>
      <c r="P91" s="582" t="str">
        <f>TRIM(Table145242[[#This Row],[Ad-daliad Cyfalaf]])</f>
        <v/>
      </c>
      <c r="Q91" s="573">
        <v>0</v>
      </c>
      <c r="R91" s="580">
        <f>SUM(Table145242[[#This Row],[Ad-daliad Cyfalaf]:[Ad-daliad Cyfalaf Cynnar]])</f>
        <v>0</v>
      </c>
      <c r="S91" s="580" t="e">
        <f>SUM(Table145242[[#This Row],[Taliad Llog]:[Ad-daliad Cyfalaf Cynnar]])</f>
        <v>#VALUE!</v>
      </c>
      <c r="T91" s="581" t="str">
        <f>IF(Table145242[[#This Row],[Cyfanswm Ad-daliad (heb gynnwys taliadau llog)]]=0,Table145242[[#This Row],[Balans Cyfalaf Cychwynnol]],L91-R91)</f>
        <v/>
      </c>
      <c r="U91" s="580">
        <f>U90+Table145242[[#This Row],[Cyfanswm Ad-daliad (heb gynnwys taliadau llog)]]</f>
        <v>0</v>
      </c>
      <c r="V91" s="580" t="e">
        <f>V90+Table145242[[#This Row],[Taliad Llog]]</f>
        <v>#VALUE!</v>
      </c>
      <c r="W91" s="583" t="str">
        <f>IF(N18="","",IF(M62&gt;T90,T90,M62))</f>
        <v/>
      </c>
      <c r="X91" s="583" t="str">
        <f>IF(Table145242[[#This Row],[Prawf Balans ar y Diwedd - mae''n dangos beth ddylai''r taliad terfynol fod]]&lt;M62,Table145242[[#This Row],[Prawf Balans ar y Diwedd - mae''n dangos beth ddylai''r taliad terfynol fod]],"")</f>
        <v/>
      </c>
      <c r="Y91" s="584" t="str">
        <f>TRIM(Table145242[[#This Row],[Taliadau Cyfalaf Cronnol]])</f>
        <v>0</v>
      </c>
      <c r="Z91" s="585" t="e">
        <f>IF(Table145242[[#This Row],[Balans Cyfalaf ar y Diwedd]]=D49,Table145242[[#This Row],[Taliad Llog]],0)</f>
        <v>#VALUE!</v>
      </c>
      <c r="AA91" s="585">
        <f>IFERROR(VALUE(Table145242[[#This Row],[Rhif Talu Ad-daliad Cyfalaf]]), 0)</f>
        <v>0</v>
      </c>
      <c r="AB91" s="586" t="str">
        <f t="shared" si="0"/>
        <v>Ad-daliadau Cyfalaf wedi Gorffen</v>
      </c>
      <c r="AC91" s="820">
        <f>IF(Table145242[[#This Row],[Statws Ad-dalu]]="Ad-daliadau cyfalaf wedi gorffen",0,Table145242[[#This Row],[Taliad Llog]])</f>
        <v>0</v>
      </c>
      <c r="AD91" s="590" t="str">
        <f>IFERROR(IF(Table145242[[#This Row],[Ad-daliad Cyfalaf]]&lt;=0,0,IF(Table145242[[#This Row],[Statws Ad-dalu]]="Capital Repayments Finished",0,Table145242[[#This Row],[Ad-daliad Cyfalaf]])),0)</f>
        <v/>
      </c>
      <c r="AE91" s="596"/>
      <c r="AF91" s="596"/>
    </row>
    <row r="92" spans="2:32" hidden="1" x14ac:dyDescent="0.25">
      <c r="B92" s="596"/>
      <c r="C92" s="587">
        <v>53387</v>
      </c>
      <c r="D92" s="575">
        <v>53751</v>
      </c>
      <c r="E92" s="576" t="str">
        <f>IFERROR(IF((LEFT(G92,4))=(LEFT(AO29,4)),"1",IF((LEFT(G92,4))&lt;(LEFT(AO29,4)),"N/A",IF((LEFT(G92,4))&gt;(LEFT(AO29,4)),E91+1,))),"")</f>
        <v/>
      </c>
      <c r="F92" s="576">
        <f>IF(H92=AN27,"1",IF(H92&lt;AN27,"N/A",IF(H92&gt;AN27,SUM(F91+1))))</f>
        <v>24</v>
      </c>
      <c r="G92" s="589" t="s">
        <v>361</v>
      </c>
      <c r="H92" s="578" t="str">
        <f>LEFT(Table145242[[#This Row],[Blwyddyn Ariannol y Taliad]],4)</f>
        <v>2046</v>
      </c>
      <c r="I92" s="578" t="str">
        <f>TRIM(Table145242[[#This Row],[Cuddio Colofn, BT Gyntaf]])</f>
        <v>2046</v>
      </c>
      <c r="J92" s="579" t="str">
        <f>TRIM(AO16)</f>
        <v>1899</v>
      </c>
      <c r="K92" s="577" t="str">
        <f>D49</f>
        <v/>
      </c>
      <c r="L92" s="580" t="str">
        <f t="shared" si="2"/>
        <v/>
      </c>
      <c r="M92" s="581" t="e">
        <f>IF(SUM(T91+Table145242[[#This Row],[Taliad Llog]])&lt;N18,SUM(Table145242[[#This Row],[Balans Cyfalaf Cychwynnol]]+Table145242[[#This Row],[Taliad Llog]]),IF(Table145242[[#This Row],[Cuddio Colofn]]&gt;AN27,IF(AND(W92&gt;=0.1,W92&lt;N18),N18,IF(I92&gt;=AO29,N18,0)),0))</f>
        <v>#VALUE!</v>
      </c>
      <c r="N92" s="580" t="e">
        <f>IF(Table145242[[#This Row],[Cuddio Colofn]]&lt;AN27,"",IF(Table145242[[#This Row],[Cuddio Colofn]]=AN27,G49,SUM(SUM(Table145242[[#This Row],[Balans Cyfalaf Cychwynnol]]*D50))))</f>
        <v>#VALUE!</v>
      </c>
      <c r="O92" s="580" t="str">
        <f>IF(AB93="Ad-daliadau cyfalaf wedi gorffen",Table145242[[#This Row],[Balans Cyfalaf Cychwynnol]],IF(Table145242[[#This Row],[Cuddio Colofn]]&gt;=AO48,IFERROR((Table145242[[#This Row],[Isafswm gwerth ad-dalu gofynnol (y flwyddyn)]]-Table145242[[#This Row],[Taliad Llog]]),0),0))</f>
        <v/>
      </c>
      <c r="P92" s="582" t="str">
        <f>TRIM(Table145242[[#This Row],[Ad-daliad Cyfalaf]])</f>
        <v/>
      </c>
      <c r="Q92" s="573">
        <v>0</v>
      </c>
      <c r="R92" s="580">
        <f>SUM(Table145242[[#This Row],[Ad-daliad Cyfalaf]:[Ad-daliad Cyfalaf Cynnar]])</f>
        <v>0</v>
      </c>
      <c r="S92" s="580" t="e">
        <f>SUM(Table145242[[#This Row],[Taliad Llog]:[Ad-daliad Cyfalaf Cynnar]])</f>
        <v>#VALUE!</v>
      </c>
      <c r="T92" s="581" t="str">
        <f>IF(Table145242[[#This Row],[Cyfanswm Ad-daliad (heb gynnwys taliadau llog)]]=0,Table145242[[#This Row],[Balans Cyfalaf Cychwynnol]],L92-R92)</f>
        <v/>
      </c>
      <c r="U92" s="580">
        <f>U91+Table145242[[#This Row],[Cyfanswm Ad-daliad (heb gynnwys taliadau llog)]]</f>
        <v>0</v>
      </c>
      <c r="V92" s="580" t="e">
        <f>V91+Table145242[[#This Row],[Taliad Llog]]</f>
        <v>#VALUE!</v>
      </c>
      <c r="W92" s="583" t="str">
        <f>IF(N18="","",IF(M62&gt;T91,T91,M62))</f>
        <v/>
      </c>
      <c r="X92" s="583" t="str">
        <f>IF(Table145242[[#This Row],[Prawf Balans ar y Diwedd - mae''n dangos beth ddylai''r taliad terfynol fod]]&lt;M62,Table145242[[#This Row],[Prawf Balans ar y Diwedd - mae''n dangos beth ddylai''r taliad terfynol fod]],"")</f>
        <v/>
      </c>
      <c r="Y92" s="584" t="str">
        <f>TRIM(Table145242[[#This Row],[Taliadau Cyfalaf Cronnol]])</f>
        <v>0</v>
      </c>
      <c r="Z92" s="585" t="e">
        <f>IF(Table145242[[#This Row],[Balans Cyfalaf ar y Diwedd]]=D49,Table145242[[#This Row],[Taliad Llog]],0)</f>
        <v>#VALUE!</v>
      </c>
      <c r="AA92" s="585">
        <f>IFERROR(VALUE(Table145242[[#This Row],[Rhif Talu Ad-daliad Cyfalaf]]), 0)</f>
        <v>0</v>
      </c>
      <c r="AB92" s="586" t="str">
        <f t="shared" si="0"/>
        <v>Ad-daliadau Cyfalaf wedi Gorffen</v>
      </c>
      <c r="AC92" s="820">
        <f>IF(Table145242[[#This Row],[Statws Ad-dalu]]="Ad-daliadau cyfalaf wedi gorffen",0,Table145242[[#This Row],[Taliad Llog]])</f>
        <v>0</v>
      </c>
      <c r="AD92" s="590" t="str">
        <f>IFERROR(IF(Table145242[[#This Row],[Ad-daliad Cyfalaf]]&lt;=0,0,IF(Table145242[[#This Row],[Statws Ad-dalu]]="Capital Repayments Finished",0,Table145242[[#This Row],[Ad-daliad Cyfalaf]])),0)</f>
        <v/>
      </c>
      <c r="AE92" s="596"/>
      <c r="AF92" s="596"/>
    </row>
    <row r="93" spans="2:32" hidden="1" x14ac:dyDescent="0.25">
      <c r="B93" s="596"/>
      <c r="C93" s="591">
        <v>53752</v>
      </c>
      <c r="D93" s="588">
        <v>54362</v>
      </c>
      <c r="E93" s="576" t="str">
        <f>IFERROR(IF((LEFT(G93,4))=(LEFT(AO29,4)),"1",IF((LEFT(G93,4))&lt;(LEFT(AO29,4)),"N/A",IF((LEFT(G93,4))&gt;(LEFT(AO29,4)),E92+1,))),"")</f>
        <v/>
      </c>
      <c r="F93" s="576">
        <f>IF(H93=AN27,"1",IF(H93&lt;AN27,"N/A",IF(H93&gt;AN27,SUM(F92+1))))</f>
        <v>25</v>
      </c>
      <c r="G93" s="589" t="s">
        <v>362</v>
      </c>
      <c r="H93" s="578" t="str">
        <f>LEFT(Table145242[[#This Row],[Blwyddyn Ariannol y Taliad]],4)</f>
        <v>2047</v>
      </c>
      <c r="I93" s="578" t="str">
        <f>TRIM(Table145242[[#This Row],[Cuddio Colofn, BT Gyntaf]])</f>
        <v>2047</v>
      </c>
      <c r="J93" s="579" t="str">
        <f>TRIM(AO16)</f>
        <v>1899</v>
      </c>
      <c r="K93" s="577" t="str">
        <f>D49</f>
        <v/>
      </c>
      <c r="L93" s="580" t="str">
        <f t="shared" si="2"/>
        <v/>
      </c>
      <c r="M93" s="581" t="e">
        <f>IF(SUM(T92+Table145242[[#This Row],[Taliad Llog]])&lt;N19,SUM(Table145242[[#This Row],[Balans Cyfalaf Cychwynnol]]+Table145242[[#This Row],[Taliad Llog]]),IF(Table145242[[#This Row],[Cuddio Colofn]]&gt;AN28,IF(AND(W93&gt;=0.1,W93&lt;N19),N19,IF(I93&gt;=AO30,N19,0)),0))</f>
        <v>#VALUE!</v>
      </c>
      <c r="N93" s="580" t="e">
        <f>IF(Table145242[[#This Row],[Cuddio Colofn]]&lt;AN27,"",IF(Table145242[[#This Row],[Cuddio Colofn]]=AN27,G49,SUM(SUM(Table145242[[#This Row],[Balans Cyfalaf Cychwynnol]]*D50))))</f>
        <v>#VALUE!</v>
      </c>
      <c r="O93" s="580">
        <f ca="1">IF(AB94="Ad-daliadau cyfalaf wedi gorffen",Table145242[[#This Row],[Balans Cyfalaf Cychwynnol]],IF(Table145242[[#This Row],[Cuddio Colofn]]&gt;=AO49,IFERROR((Table145242[[#This Row],[Isafswm gwerth ad-dalu gofynnol (y flwyddyn)]]-Table145242[[#This Row],[Taliad Llog]]),0),0))</f>
        <v>0</v>
      </c>
      <c r="P93" s="582" t="str">
        <f ca="1">TRIM(Table145242[[#This Row],[Ad-daliad Cyfalaf]])</f>
        <v>0</v>
      </c>
      <c r="Q93" s="573">
        <v>0</v>
      </c>
      <c r="R93" s="580">
        <f ca="1">SUM(Table145242[[#This Row],[Ad-daliad Cyfalaf]:[Ad-daliad Cyfalaf Cynnar]])</f>
        <v>0</v>
      </c>
      <c r="S93" s="580" t="e">
        <f>SUM(Table145242[[#This Row],[Taliad Llog]:[Ad-daliad Cyfalaf Cynnar]])</f>
        <v>#VALUE!</v>
      </c>
      <c r="T93" s="581" t="str">
        <f ca="1">IF(Table145242[[#This Row],[Cyfanswm Ad-daliad (heb gynnwys taliadau llog)]]=0,Table145242[[#This Row],[Balans Cyfalaf Cychwynnol]],L93-R93)</f>
        <v/>
      </c>
      <c r="U93" s="580">
        <f ca="1">U92+Table145242[[#This Row],[Cyfanswm Ad-daliad (heb gynnwys taliadau llog)]]</f>
        <v>0</v>
      </c>
      <c r="V93" s="580" t="e">
        <f>V92+Table145242[[#This Row],[Taliad Llog]]</f>
        <v>#VALUE!</v>
      </c>
      <c r="W93" s="583" t="str">
        <f>IF(N18="","",IF(M62&gt;T92,T92,M62))</f>
        <v/>
      </c>
      <c r="X93" s="583" t="str">
        <f>IF(Table145242[[#This Row],[Prawf Balans ar y Diwedd - mae''n dangos beth ddylai''r taliad terfynol fod]]&lt;M62,Table145242[[#This Row],[Prawf Balans ar y Diwedd - mae''n dangos beth ddylai''r taliad terfynol fod]],"")</f>
        <v/>
      </c>
      <c r="Y93" s="584" t="str">
        <f ca="1">TRIM(Table145242[[#This Row],[Taliadau Cyfalaf Cronnol]])</f>
        <v>0</v>
      </c>
      <c r="Z93" s="585" t="e">
        <f ca="1">IF(Table145242[[#This Row],[Balans Cyfalaf ar y Diwedd]]=D49,Table145242[[#This Row],[Taliad Llog]],0)</f>
        <v>#VALUE!</v>
      </c>
      <c r="AA93" s="585">
        <f>IFERROR(VALUE(Table145242[[#This Row],[Rhif Talu Ad-daliad Cyfalaf]]), 0)</f>
        <v>0</v>
      </c>
      <c r="AB93" s="586" t="str">
        <f t="shared" si="0"/>
        <v>Ad-daliadau Cyfalaf wedi Gorffen</v>
      </c>
      <c r="AC93" s="820">
        <f>IF(Table145242[[#This Row],[Statws Ad-dalu]]="Ad-daliadau cyfalaf wedi gorffen",0,Table145242[[#This Row],[Taliad Llog]])</f>
        <v>0</v>
      </c>
      <c r="AD93" s="590">
        <f ca="1">IFERROR(IF(Table145242[[#This Row],[Ad-daliad Cyfalaf]]&lt;=0,0,IF(Table145242[[#This Row],[Statws Ad-dalu]]="Capital Repayments Finished",0,Table145242[[#This Row],[Ad-daliad Cyfalaf]])),0)</f>
        <v>0</v>
      </c>
      <c r="AE93" s="596"/>
      <c r="AF93" s="596"/>
    </row>
    <row r="94" spans="2:32" x14ac:dyDescent="0.25">
      <c r="B94" s="596"/>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6"/>
      <c r="AC94" s="596"/>
      <c r="AD94" s="596"/>
      <c r="AE94" s="596"/>
      <c r="AF94" s="596"/>
    </row>
    <row r="95" spans="2:32" x14ac:dyDescent="0.25">
      <c r="B95" s="596"/>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6"/>
      <c r="AC95" s="596"/>
      <c r="AD95" s="596"/>
      <c r="AE95" s="596"/>
      <c r="AF95" s="596"/>
    </row>
    <row r="96" spans="2:32" x14ac:dyDescent="0.25">
      <c r="B96" s="596"/>
      <c r="C96" s="596"/>
      <c r="D96" s="596"/>
      <c r="E96" s="596"/>
      <c r="F96" s="596"/>
      <c r="G96" s="596"/>
      <c r="H96" s="596"/>
      <c r="I96" s="596"/>
      <c r="J96" s="596"/>
      <c r="K96" s="596"/>
      <c r="L96" s="596"/>
      <c r="M96" s="596"/>
      <c r="N96" s="596"/>
      <c r="O96" s="596"/>
      <c r="P96" s="596"/>
      <c r="Q96" s="596"/>
      <c r="R96" s="596"/>
      <c r="S96" s="596"/>
      <c r="T96" s="596"/>
      <c r="U96" s="596"/>
      <c r="V96" s="596"/>
      <c r="W96" s="596"/>
      <c r="X96" s="596"/>
      <c r="Y96" s="596"/>
      <c r="Z96" s="596"/>
      <c r="AA96" s="596"/>
      <c r="AB96" s="596"/>
      <c r="AC96" s="596"/>
      <c r="AD96" s="596"/>
      <c r="AE96" s="596"/>
      <c r="AF96" s="596"/>
    </row>
  </sheetData>
  <sheetProtection algorithmName="SHA-512" hashValue="O8WhRgBi7DgcHSEXy1DwpYFH/TubCvh0L9CnZCZ0wo5U7h2TuJuFNt4gjv6BflJIkyBVwvAnNlvhxSJ/5+Yo4Q==" saltValue="Ami4aw8o50Dj6f+AtK5eDQ==" spinCount="100000" sheet="1" objects="1" scenarios="1"/>
  <dataConsolidate/>
  <mergeCells count="18">
    <mergeCell ref="C3:G4"/>
    <mergeCell ref="C6:N8"/>
    <mergeCell ref="N23:N26"/>
    <mergeCell ref="C35:G35"/>
    <mergeCell ref="C36:L37"/>
    <mergeCell ref="C23:F24"/>
    <mergeCell ref="C16:M17"/>
    <mergeCell ref="C39:L43"/>
    <mergeCell ref="C29:G29"/>
    <mergeCell ref="C28:F28"/>
    <mergeCell ref="C67:D67"/>
    <mergeCell ref="E67:M67"/>
    <mergeCell ref="C45:N45"/>
    <mergeCell ref="Q45:R45"/>
    <mergeCell ref="C47:D47"/>
    <mergeCell ref="F47:G47"/>
    <mergeCell ref="F55:G55"/>
    <mergeCell ref="C64:E64"/>
  </mergeCells>
  <phoneticPr fontId="123" type="noConversion"/>
  <conditionalFormatting sqref="C67:E67 N67">
    <cfRule type="expression" dxfId="88" priority="404">
      <formula>$N$15=1</formula>
    </cfRule>
  </conditionalFormatting>
  <conditionalFormatting sqref="E70:F93">
    <cfRule type="cellIs" dxfId="87" priority="51" operator="equal">
      <formula>"N/A"</formula>
    </cfRule>
  </conditionalFormatting>
  <conditionalFormatting sqref="L70:L72">
    <cfRule type="expression" dxfId="86" priority="16">
      <formula>$AB$70="Ad-daliadau cyfalaf wedi gorffen"</formula>
    </cfRule>
  </conditionalFormatting>
  <conditionalFormatting sqref="L70:L82">
    <cfRule type="expression" dxfId="85" priority="19">
      <formula>$N$15=1</formula>
    </cfRule>
  </conditionalFormatting>
  <conditionalFormatting sqref="L71">
    <cfRule type="expression" dxfId="84" priority="18">
      <formula>$AB$71="Ad-daliadau cyfalaf wedi gorffen"</formula>
    </cfRule>
  </conditionalFormatting>
  <conditionalFormatting sqref="L72">
    <cfRule type="expression" dxfId="83" priority="17">
      <formula>$AB$72="Ad-daliadau cyfalaf wedi gorffen"</formula>
    </cfRule>
  </conditionalFormatting>
  <conditionalFormatting sqref="L73">
    <cfRule type="expression" dxfId="82" priority="12">
      <formula>$AB$73="Ad-daliadau cyfalaf wedi gorffen"</formula>
    </cfRule>
  </conditionalFormatting>
  <conditionalFormatting sqref="L74">
    <cfRule type="expression" dxfId="81" priority="11">
      <formula>$AB$74="Ad-daliadau cyfalaf wedi gorffen"</formula>
    </cfRule>
  </conditionalFormatting>
  <conditionalFormatting sqref="L75">
    <cfRule type="expression" dxfId="80" priority="13">
      <formula>$AB$75="Ad-daliadau cyfalaf wedi gorffen"</formula>
    </cfRule>
  </conditionalFormatting>
  <conditionalFormatting sqref="L76">
    <cfRule type="expression" dxfId="79" priority="14">
      <formula>$AB$76="Ad-daliadau cyfalaf wedi gorffen"</formula>
    </cfRule>
  </conditionalFormatting>
  <conditionalFormatting sqref="L77">
    <cfRule type="expression" dxfId="78" priority="15">
      <formula>$AB$77="Ad-daliadau cyfalaf wedi gorffen"</formula>
    </cfRule>
  </conditionalFormatting>
  <conditionalFormatting sqref="L78">
    <cfRule type="expression" dxfId="77" priority="10">
      <formula>$AB$78="Ad-daliadau cyfalaf wedi gorffen"</formula>
    </cfRule>
  </conditionalFormatting>
  <conditionalFormatting sqref="L79">
    <cfRule type="expression" dxfId="76" priority="9">
      <formula>$AB$79="Ad-daliadau cyfalaf wedi gorffen"</formula>
    </cfRule>
  </conditionalFormatting>
  <conditionalFormatting sqref="L80">
    <cfRule type="expression" dxfId="75" priority="8">
      <formula>$AB$80="Ad-daliadau cyfalaf wedi gorffen"</formula>
    </cfRule>
  </conditionalFormatting>
  <conditionalFormatting sqref="L81">
    <cfRule type="expression" dxfId="74" priority="7">
      <formula>$AB$81="Ad-daliadau cyfalaf wedi gorffen"</formula>
    </cfRule>
  </conditionalFormatting>
  <conditionalFormatting sqref="L82">
    <cfRule type="expression" dxfId="73" priority="6">
      <formula>$AB$82="Ad-daliadau cyfalaf wedi gorffen"</formula>
    </cfRule>
  </conditionalFormatting>
  <conditionalFormatting sqref="L31:M31">
    <cfRule type="expression" dxfId="72" priority="23">
      <formula>"IF($J$28=""No"")"</formula>
    </cfRule>
  </conditionalFormatting>
  <conditionalFormatting sqref="L83:P83 R83:V83">
    <cfRule type="expression" dxfId="71" priority="36">
      <formula>$AB$83="Ad-daliadau cyfalaf wedi gorffen"</formula>
    </cfRule>
  </conditionalFormatting>
  <conditionalFormatting sqref="L84:P84 R84:V84">
    <cfRule type="expression" dxfId="70" priority="35">
      <formula>$AB$84="Ad-daliadau cyfalaf wedi gorffen"</formula>
    </cfRule>
  </conditionalFormatting>
  <conditionalFormatting sqref="L85:P85 R85:V85">
    <cfRule type="expression" dxfId="69" priority="34">
      <formula>$AB$85="Ad-daliadau cyfalaf wedi gorffen"</formula>
    </cfRule>
  </conditionalFormatting>
  <conditionalFormatting sqref="L86:P86 R86:V86">
    <cfRule type="expression" dxfId="68" priority="33">
      <formula>$AB$86="Ad-daliadau cyfalaf wedi gorffen"</formula>
    </cfRule>
  </conditionalFormatting>
  <conditionalFormatting sqref="L87:P87 R87:V87">
    <cfRule type="expression" dxfId="67" priority="32">
      <formula>$AB$87="Ad-daliadau cyfalaf wedi gorffen"</formula>
    </cfRule>
  </conditionalFormatting>
  <conditionalFormatting sqref="L88:P88 R88:V88">
    <cfRule type="expression" dxfId="66" priority="31">
      <formula>$AB$88="Ad-daliadau cyfalaf wedi gorffen"</formula>
    </cfRule>
  </conditionalFormatting>
  <conditionalFormatting sqref="L89:P89 R89:V89">
    <cfRule type="expression" dxfId="65" priority="30">
      <formula>$AB$89="Ad-daliadau cyfalaf wedi gorffen"</formula>
    </cfRule>
  </conditionalFormatting>
  <conditionalFormatting sqref="L90:P90 R90:V90">
    <cfRule type="expression" dxfId="64" priority="29">
      <formula>$AB$90="Ad-daliadau cyfalaf wedi gorffen"</formula>
    </cfRule>
  </conditionalFormatting>
  <conditionalFormatting sqref="L91:P91 R91:V91">
    <cfRule type="expression" dxfId="63" priority="28">
      <formula>$AB$91="Ad-daliadau cyfalaf wedi gorffen"</formula>
    </cfRule>
  </conditionalFormatting>
  <conditionalFormatting sqref="L92:P92 R92:V92 M93">
    <cfRule type="expression" dxfId="62" priority="27">
      <formula>$AB$92="Ad-daliadau cyfalaf wedi gorffen"</formula>
    </cfRule>
  </conditionalFormatting>
  <conditionalFormatting sqref="L93:P93 R93:V93">
    <cfRule type="expression" dxfId="61" priority="50">
      <formula>$AB$93="Ad-daliadau cyfalaf wedi gorffen"</formula>
    </cfRule>
  </conditionalFormatting>
  <conditionalFormatting sqref="M32">
    <cfRule type="expression" dxfId="60" priority="2">
      <formula>AND($L$32="Ydy",$M$32="")</formula>
    </cfRule>
  </conditionalFormatting>
  <conditionalFormatting sqref="M33">
    <cfRule type="expression" dxfId="59" priority="3">
      <formula>AND($L$33="Ydy",$M$33="")</formula>
    </cfRule>
  </conditionalFormatting>
  <conditionalFormatting sqref="M71:P71 R71:V71 O72:O82">
    <cfRule type="expression" dxfId="58" priority="49">
      <formula>$AB$71="Ad-daliadau cyfalaf wedi gorffen"</formula>
    </cfRule>
  </conditionalFormatting>
  <conditionalFormatting sqref="M72:P72 R72:V72">
    <cfRule type="expression" dxfId="57" priority="48">
      <formula>$AB$72="Ad-daliadau cyfalaf wedi gorffen"</formula>
    </cfRule>
  </conditionalFormatting>
  <conditionalFormatting sqref="M73:P73 R73:V73">
    <cfRule type="expression" dxfId="56" priority="43">
      <formula>$AB$73="Ad-daliadau cyfalaf wedi gorffen"</formula>
    </cfRule>
  </conditionalFormatting>
  <conditionalFormatting sqref="M74:P74 R74:V74">
    <cfRule type="expression" dxfId="55" priority="42">
      <formula>$AB$74="Ad-daliadau cyfalaf wedi gorffen"</formula>
    </cfRule>
  </conditionalFormatting>
  <conditionalFormatting sqref="M75:P75 R75:V75">
    <cfRule type="expression" dxfId="54" priority="44">
      <formula>$AB$75="Ad-daliadau cyfalaf wedi gorffen"</formula>
    </cfRule>
  </conditionalFormatting>
  <conditionalFormatting sqref="M76:P76 R76:V76">
    <cfRule type="expression" dxfId="53" priority="45">
      <formula>$AB$76="Ad-daliadau cyfalaf wedi gorffen"</formula>
    </cfRule>
  </conditionalFormatting>
  <conditionalFormatting sqref="M77:P77 R77:V77">
    <cfRule type="expression" dxfId="52" priority="46">
      <formula>$AB$77="Ad-daliadau cyfalaf wedi gorffen"</formula>
    </cfRule>
  </conditionalFormatting>
  <conditionalFormatting sqref="M78:P78 R78:V78">
    <cfRule type="expression" dxfId="51" priority="41">
      <formula>$AB$78="Ad-daliadau cyfalaf wedi gorffen"</formula>
    </cfRule>
  </conditionalFormatting>
  <conditionalFormatting sqref="M79:P79 R79:V79">
    <cfRule type="expression" dxfId="50" priority="40">
      <formula>$AB$79="Ad-daliadau cyfalaf wedi gorffen"</formula>
    </cfRule>
  </conditionalFormatting>
  <conditionalFormatting sqref="M80:P80 R80:V80">
    <cfRule type="expression" dxfId="49" priority="39">
      <formula>$AB$80="Ad-daliadau cyfalaf wedi gorffen"</formula>
    </cfRule>
  </conditionalFormatting>
  <conditionalFormatting sqref="M81:P81 R81:V81">
    <cfRule type="expression" dxfId="48" priority="38">
      <formula>$AB$81="Ad-daliadau cyfalaf wedi gorffen"</formula>
    </cfRule>
  </conditionalFormatting>
  <conditionalFormatting sqref="M82:P82 R82:V82">
    <cfRule type="expression" dxfId="47" priority="37">
      <formula>$AB$82="Ad-daliadau cyfalaf wedi gorffen"</formula>
    </cfRule>
  </conditionalFormatting>
  <conditionalFormatting sqref="M70:V70 O71:O93 Q71:Q93">
    <cfRule type="expression" dxfId="46" priority="47">
      <formula>$AB$70="Ad-daliadau cyfalaf wedi gorffen"</formula>
    </cfRule>
  </conditionalFormatting>
  <conditionalFormatting sqref="M70:AB82 Q71:Q84 L83:AB93">
    <cfRule type="expression" dxfId="45" priority="406">
      <formula>$N$15=1</formula>
    </cfRule>
  </conditionalFormatting>
  <conditionalFormatting sqref="N31">
    <cfRule type="expression" dxfId="44" priority="1">
      <formula>AND($L$31="Ydy",$N$31="")</formula>
    </cfRule>
  </conditionalFormatting>
  <conditionalFormatting sqref="N32">
    <cfRule type="expression" dxfId="43" priority="5">
      <formula>AND($L$32="Ydy",$N$32="")</formula>
    </cfRule>
  </conditionalFormatting>
  <conditionalFormatting sqref="N33">
    <cfRule type="expression" dxfId="42" priority="4">
      <formula>AND($L$33="Ydy",$N$33="")</formula>
    </cfRule>
  </conditionalFormatting>
  <dataValidations count="39">
    <dataValidation type="whole" operator="lessThan" allowBlank="1" showInputMessage="1" showErrorMessage="1" prompt="The value for Early Capital Repayment must not exceed the total outstanding Capital Balance. This is the Beginning Capital Balance minus Minimum Required Repayment Value for the Financial Year. It cannot be input into the final repayment year." sqref="Q85:Q93" xr:uid="{A1442059-625C-42F0-BF66-2E15A750806C}">
      <formula1>SUM(L85-M85)</formula1>
    </dataValidation>
    <dataValidation allowBlank="1" showInputMessage="1" showErrorMessage="1" prompt="Mae 'Gorffen Taliadau Cyfalaf' yn nodi yr amcangyfrifir bod y benthyciad wedi'i ad-dalu." sqref="AB69:AB93" xr:uid="{F108B703-F070-4F63-B4B4-EEE2CB24051E}"/>
    <dataValidation allowBlank="1" showInputMessage="1" showErrorMessage="1" promptTitle="Total Interest Payments" prompt="This is the value of the interest payments as calculated in the table below." sqref="G52:G53" xr:uid="{C0023F70-E5FE-4CBC-B073-9A2900F30399}"/>
    <dataValidation allowBlank="1" showInputMessage="1" showErrorMessage="1" promptTitle="Dyddiad Tynnu i lawr " prompt="Taliad Llog - Dyma'r amser (misoedd) rhwng y dyddiad tynnu i lawr amcangyfrifedig a'r dyddiad y mae taliad llog Blwyddyn 1 yn ddyledus. Dyma’r amser y dosberthir y taliad llog cyntaf." sqref="G50" xr:uid="{72596171-8707-4C96-8084-CD97AE82D1CB}"/>
    <dataValidation allowBlank="1" showInputMessage="1" showErrorMessage="1" promptTitle="Taliad Llog Cyntaf" prompt="Disgwylir y taliad llog cyntaf ar 28 Chwefror ar ôl i'r arian gael ei dynnu i lawr am y tro cyntaf." sqref="G48" xr:uid="{98B4646F-A8A0-44A4-A3F4-977B11D4AB33}"/>
    <dataValidation allowBlank="1" showInputMessage="1" showErrorMessage="1" prompt="Os ydych yn bwriadu ad-dalu rhan o'ch balans cyfalaf yn gynnar, nodwch hyn yn Adran 1, 1b." sqref="G56" xr:uid="{8D160663-5AF7-4607-9AA6-FF79A895FA27}"/>
    <dataValidation allowBlank="1" showInputMessage="1" showErrorMessage="1" prompt="Gallwch ddewis ad-dalu rhan o'ch balans cyfalaf yn gynnar naill ai cyn i'r prosiect gwblhau neu drwy gydol y cyfnod ad-dalu trwy nodi gwerthoedd yn y golofn ad-dalu cyfalaf cynnar. Dyma gyfanswm gwerth ad-daliadau cyfalaf cynnar." sqref="G57" xr:uid="{35DCFD81-1C32-46C7-A659-111DC0ADAAA0}"/>
    <dataValidation allowBlank="1" showInputMessage="1" showErrorMessage="1" prompt="Bydd ad-daliadau safonol y cyfalaf yn dechrau ar ôl i'r prosiect gael ei gwblhau. Dyma gyfanswm gwerth ad-daliadau cyfalaf yn y tabl isod." sqref="G58" xr:uid="{EA730635-2461-4E8B-9EBE-6983755A726E}"/>
    <dataValidation allowBlank="1" showInputMessage="1" showErrorMessage="1" prompt="Dyddiad Amcangyfrifedig Cwblhau'r Prosiect - Y dyddiad y bydd y mesurau sydd wedi'u cynnwys yn y cais yn dod i ben. Caiff ei gymryd o'r tab &quot;Achos Busnes&quot;." sqref="D54" xr:uid="{0E938B2C-54C1-48FD-ABB9-E15679DBE585}"/>
    <dataValidation allowBlank="1" showInputMessage="1" showErrorMessage="1" promptTitle="Cyfradd Llog Blynyddol" prompt="Bydd cyfradd llog blynyddol ar gyfradd benthyca'r llywodraeth ar hyn o bryd, sef 2.05%, yn cael ei chymhwyso i'r benthyciad. Ni fydd y gyfradd yn newid yn ystod cyfnod y benthyciad." sqref="D50" xr:uid="{0B831BF9-330F-4125-BCCF-7C778C232A0F}"/>
    <dataValidation allowBlank="1" showInputMessage="1" showErrorMessage="1" prompt="Cyfanswm y Benthyciad y Gwneir Cais Amdano - Cymerir y gwerth hwn o'r &quot;Offeryn Cydymffurfiaeth Prosiect&quot;. Cyfanswm y benthyciad y gofynnir amdano ar gyfer y cais yw hwn. " sqref="D49" xr:uid="{7A74E7D6-2A0B-43D8-BCCA-0B32E184959C}"/>
    <dataValidation allowBlank="1" showInputMessage="1" showErrorMessage="1" promptTitle="Gwerth y Prosiect" prompt="Cymerir y gwerth hwn o'r &quot;Offeryn Cydymffurfiaeth Prosiect&quot;" sqref="D48" xr:uid="{6FB7176A-CCAA-4F66-A894-19BE071CC8E3}"/>
    <dataValidation allowBlank="1" showInputMessage="1" showErrorMessage="1" prompt="Cyfanswm Effaith Ariannol Net - Cymerir y gwerth hwn o'r offeryn Cydymffurfiaeth Prosiect i ddangos yr arbedion ariannol blynyddol amcangyfrifedig ar gyfer y prosiect cyfan" sqref="N11" xr:uid="{E658DE9A-26E8-4341-8312-9B211C95CF33}"/>
    <dataValidation allowBlank="1" showInputMessage="1" showErrorMessage="1" prompt="Isafswm gwerth ad-dalu gofynnol - Mae'r gwerth hwn yn cael ei ddosrannu i gyfalaf a llog yn y tabl amorteiddio isod. Bydd yn cynyddu / gostwng yn dibynnu ar y blynyddoedd y bwriedir ad-dalu'r benthyciad a gofnodwyd uchod." sqref="N18" xr:uid="{42D4CF1C-D8E3-4176-A450-EA7E48878A95}"/>
    <dataValidation allowBlank="1" showInputMessage="1" showErrorMessage="1" prompt="Cyfanswm y taliadau llog cronnus bob Blwyddyn Ariannol." sqref="V69" xr:uid="{E14389CA-EC4A-483C-9D6D-E25E0DA14E53}"/>
    <dataValidation allowBlank="1" showInputMessage="1" showErrorMessage="1" prompt="Cyfanswm y taliadau cyfalaf cronnus bob Blwyddyn Ariannol." sqref="U69" xr:uid="{244968A3-F2F7-4FCB-A1F7-C01121FD1417}"/>
    <dataValidation allowBlank="1" showInputMessage="1" showErrorMessage="1" prompt="Cyfanswm y balans cyfalaf sy'n weddill i'w ad-dalu ar ddiwedd pob blwyddyn. _x000a_Dyma'r balans cyfalaf cychwynnol llai cyfanswm yr ad-daliad._x000a_Nid yw'n cynnwys taliad llog." sqref="T69" xr:uid="{75D0BCDA-7520-4612-A75C-3E0CD612AE03}"/>
    <dataValidation allowBlank="1" showInputMessage="1" showErrorMessage="1" prompt="Cyfanswm y gwerth a fydd yn cael ei ad-dalu bob blwyddyn. Dyma swm yr Ad-daliad Cyfan ynghyd ag unrhyw Ad-daliadau Cyfalaf Cynnar. Nid yw hyn yn cynnwys unrhyw daliadau llog." sqref="R69" xr:uid="{99C1EA92-6C65-4584-A5A2-6B663FCB69E4}"/>
    <dataValidation allowBlank="1" showInputMessage="1" showErrorMessage="1" prompt="Rhowch werth ad-daliadau cyfalaf cynnar yn y golofn hon. Ni all hyn fod yn fwy na'r balans cyfalaf cychwynnol ar gyfer y flwyddyn ariannol honno. Peidiwch â mewnbynnu at y taliad olaf yn y Flwyddyn Ariannol." sqref="Q69" xr:uid="{5247101B-5721-4895-AF1C-F79F7A82B620}"/>
    <dataValidation allowBlank="1" showInputMessage="1" showErrorMessage="1" prompt="Cyfran o'r isafswm blynyddol gofynnol ad-daliad sy'n gymesur â chyfalaf." sqref="O69" xr:uid="{B8EE54E4-787D-415C-85F0-6060B475FB07}"/>
    <dataValidation allowBlank="1" showInputMessage="1" showErrorMessage="1" prompt="Cyfran o'r isafswm blynyddol gofynnol ad-daliad sy'n gymesur â llog." sqref="N69" xr:uid="{75F1880B-3820-4D51-AD82-4173AAA558FD}"/>
    <dataValidation allowBlank="1" showInputMessage="1" showErrorMessage="1" prompt="Mae hyn yn seiliedig ar gyfanswm yr ad-daliadau blynyddol sy'n ofynnol i ad-dalu'r benthyciad cyfalaf llawn y gofynnir amdano ynghyd â llog erbyn y dyddiad cau ad-dalu." sqref="M69" xr:uid="{107BFCB2-799A-4E07-9647-70AC34E87B6A}"/>
    <dataValidation allowBlank="1" showInputMessage="1" showErrorMessage="1" prompt="Cyfanswm y balans cyfalaf sy'n weddill i'w ad-dalu ar ddechrau pob blwyddyn." sqref="L69 H69" xr:uid="{CD06CD85-B693-420E-8A88-C9850FF25B52}"/>
    <dataValidation allowBlank="1" showInputMessage="1" showErrorMessage="1" prompt="Y Flwyddyn Ariannol y mae'r taliad ynddi." sqref="G69" xr:uid="{6B2CD68E-D377-4898-ABD0-2FA08EC32BE9}"/>
    <dataValidation allowBlank="1" showInputMessage="1" showErrorMessage="1" prompt="Nifer y taliadau sy'n cael eu talu tuag at y llog." sqref="F69" xr:uid="{67B89A83-88B3-4AE3-9FCE-C4A28ADE93C3}"/>
    <dataValidation allowBlank="1" showInputMessage="1" showErrorMessage="1" prompt="Nifer y taliadau sy'n cael eu talu tuag at y cyfalaf." sqref="E69" xr:uid="{C1216DAA-CDA7-4138-87D9-2A6D147698A2}"/>
    <dataValidation allowBlank="1" showInputMessage="1" showErrorMessage="1" prompt="Y dyddiad gorffen pan fydd eich benthyciad yn cael ei gyfuno a bydd llog yn cael ei gasglu." sqref="D69" xr:uid="{87D80C99-B1C3-441A-8149-1B6517186A6D}"/>
    <dataValidation allowBlank="1" showInputMessage="1" showErrorMessage="1" prompt="Y dyddiad cychwyn y bydd eich benthyciad yn dechrau cronni llog." sqref="C69" xr:uid="{BF18D83F-BDE5-4640-AAC1-026741E2865D}"/>
    <dataValidation type="whole" operator="lessThanOrEqual" allowBlank="1" showInputMessage="1" showErrorMessage="1" prompt="Nodwch sawl blwyddyn rydych yn bwriadu ei gymryd i ad-dalu'r benthyciad. Pennir yr uchafswm gwerth a ganiateir gan ad-daliad technegol y mesurau y gwneir cais amdanynt. Gall y cyfnod hwn newid os bydd unrhyw ad-daliadau cynnar. " sqref="N15" xr:uid="{A3B24340-D731-4AED-9E0E-73739D3D4653}">
      <formula1>N12</formula1>
    </dataValidation>
    <dataValidation type="decimal" allowBlank="1" showInputMessage="1" showErrorMessage="1" sqref="M65:N65" xr:uid="{B69A5B7B-8898-44B6-A0BD-803A17A4E1FE}">
      <formula1>0</formula1>
      <formula2>E66</formula2>
    </dataValidation>
    <dataValidation type="list" allowBlank="1" showInputMessage="1" showErrorMessage="1" promptTitle="Ad-daliadau Cynnar " prompt=" Nodwch a ydych yn rhagweld gwneud unrhyw daliadau cynnar. Nodwch y rhain yn y golofn Ad-dalu Cyfalaf Cynnar yn y tabl isod." sqref="N22" xr:uid="{7453FD74-1696-4A9A-A58B-5D7CD774A8FF}">
      <formula1>"Ydy, Nac ydy"</formula1>
    </dataValidation>
    <dataValidation allowBlank="1" showInputMessage="1" showErrorMessage="1" promptTitle="Gwerth Taliad Llog Cyntaf" prompt="Taliad llog cyntaf yw hwn fel y'i cyfrifir yn y tabl isod." sqref="G49" xr:uid="{124E1A13-7401-4968-BD06-E202B9A1C51C}"/>
    <dataValidation type="whole" operator="lessThanOrEqual" allowBlank="1" showErrorMessage="1" promptTitle="Loan Payback Length" prompt="Please input the number of years that you intend to payback " sqref="N16" xr:uid="{CA937624-BFE0-4BBC-B6BD-8086443BDBB1}">
      <formula1>$AO$24</formula1>
    </dataValidation>
    <dataValidation type="list" allowBlank="1" showInputMessage="1" showErrorMessage="1" sqref="N28 L32:L33" xr:uid="{4886DEC3-1E0C-43F2-BA5C-308E30FEC308}">
      <formula1>"Ydy, Nac ydy"</formula1>
    </dataValidation>
    <dataValidation allowBlank="1" showInputMessage="1" showErrorMessage="1" prompt="Dyddiad Tynnu i Lawr Amcangyfrifedig - Bydd y dyddiad tynnu i lawr yn cael ei gyfrifo'n awtomatig, sef 6 wythnos ar ôl y dyddiad cyflwyno, a nodir yn y tab &quot;Achos Busnes&quot;." sqref="D51" xr:uid="{40C1D2D0-5350-44E6-923B-CE084C3D0F4B}"/>
    <dataValidation allowBlank="1" showInputMessage="1" showErrorMessage="1" promptTitle="Cyfanswm y Taliadau Llog" prompt="Dyma werth y taliadau llog fel y'i cyfrifir yn y tabl isod." sqref="G51" xr:uid="{DE134F6D-DE46-4275-9681-80092943EDDD}"/>
    <dataValidation type="list" allowBlank="1" showInputMessage="1" showErrorMessage="1" sqref="M32" xr:uid="{71FD66DA-20A2-4564-9361-0DD1C06606DC}">
      <formula1>$AO$41:$AO$44</formula1>
    </dataValidation>
    <dataValidation type="list" allowBlank="1" showInputMessage="1" showErrorMessage="1" sqref="M33" xr:uid="{0F91832F-1F41-48F6-9431-C121B030FBAA}">
      <formula1>$AO$45:$AO$48</formula1>
    </dataValidation>
    <dataValidation type="whole" operator="lessThan" allowBlank="1" showErrorMessage="1" sqref="Q70:Q84" xr:uid="{40829F95-D713-4698-B1E2-73CE5C78D549}">
      <formula1>SUM(L70-M70)</formula1>
    </dataValidation>
  </dataValidations>
  <pageMargins left="0.7" right="0.7" top="0.75" bottom="0.75" header="0.3" footer="0.3"/>
  <pageSetup paperSize="9" orientation="portrait" r:id="rId1"/>
  <customProperties>
    <customPr name="GUID" r:id="rId2"/>
  </customPropertie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382573"/>
    <pageSetUpPr fitToPage="1"/>
  </sheetPr>
  <dimension ref="A1:AH141"/>
  <sheetViews>
    <sheetView showGridLines="0" topLeftCell="A8" zoomScale="76" zoomScaleNormal="76" workbookViewId="0">
      <selection activeCell="F23" sqref="F23"/>
    </sheetView>
  </sheetViews>
  <sheetFormatPr defaultColWidth="9.453125" defaultRowHeight="27" customHeight="1" x14ac:dyDescent="0.5"/>
  <cols>
    <col min="1" max="1" width="3.54296875" style="361" customWidth="1"/>
    <col min="2" max="2" width="3.453125" style="361" customWidth="1"/>
    <col min="3" max="3" width="36.54296875" style="365" customWidth="1"/>
    <col min="4" max="4" width="77.7265625" style="364" customWidth="1"/>
    <col min="5" max="6" width="20.453125" style="364" customWidth="1"/>
    <col min="7" max="7" width="20.453125" style="363" customWidth="1"/>
    <col min="8" max="8" width="3.54296875" style="362" customWidth="1"/>
    <col min="9" max="9" width="10.453125" style="362" customWidth="1"/>
    <col min="10" max="10" width="16.453125" style="361" customWidth="1"/>
    <col min="11" max="11" width="14.54296875" style="361" customWidth="1"/>
    <col min="12" max="12" width="18.1796875" style="361" hidden="1" customWidth="1"/>
    <col min="13" max="13" width="28.54296875" style="361" customWidth="1"/>
    <col min="14" max="14" width="43.54296875" style="361" customWidth="1"/>
    <col min="15" max="15" width="15.81640625" style="361" hidden="1" customWidth="1"/>
    <col min="16" max="16" width="0" style="361" hidden="1" customWidth="1"/>
    <col min="17" max="16384" width="9.453125" style="361"/>
  </cols>
  <sheetData>
    <row r="1" spans="1:34" ht="16.399999999999999" customHeight="1" x14ac:dyDescent="0.5">
      <c r="A1" s="366"/>
      <c r="B1" s="366"/>
      <c r="C1" s="451"/>
      <c r="D1" s="450"/>
      <c r="E1" s="450"/>
      <c r="F1" s="450"/>
      <c r="G1" s="449"/>
      <c r="H1" s="445"/>
      <c r="I1" s="445"/>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row>
    <row r="2" spans="1:34" ht="17.149999999999999" customHeight="1" x14ac:dyDescent="0.5">
      <c r="A2" s="366"/>
      <c r="B2" s="367"/>
      <c r="C2" s="448"/>
      <c r="D2" s="448"/>
      <c r="E2" s="448"/>
      <c r="F2" s="448"/>
      <c r="G2" s="447"/>
      <c r="H2" s="446"/>
      <c r="I2" s="445"/>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row>
    <row r="3" spans="1:34" ht="35.15" customHeight="1" x14ac:dyDescent="0.5">
      <c r="A3" s="366"/>
      <c r="B3" s="367"/>
      <c r="C3" s="957" t="s">
        <v>363</v>
      </c>
      <c r="D3" s="957"/>
      <c r="E3" s="476"/>
      <c r="F3" s="476"/>
      <c r="G3" s="444"/>
      <c r="H3" s="367"/>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row>
    <row r="4" spans="1:34" ht="46.4" customHeight="1" x14ac:dyDescent="0.5">
      <c r="A4" s="366"/>
      <c r="B4" s="367"/>
      <c r="C4" s="958"/>
      <c r="D4" s="958"/>
      <c r="E4" s="477"/>
      <c r="F4" s="477"/>
      <c r="G4" s="443"/>
      <c r="H4" s="367"/>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1:34" ht="44.9" customHeight="1" thickBot="1" x14ac:dyDescent="0.55000000000000004">
      <c r="A5" s="366"/>
      <c r="B5" s="367"/>
      <c r="C5" s="959" t="s">
        <v>364</v>
      </c>
      <c r="D5" s="959"/>
      <c r="E5" s="959"/>
      <c r="F5" s="959"/>
      <c r="G5" s="959"/>
      <c r="H5" s="367"/>
      <c r="I5" s="366"/>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row>
    <row r="6" spans="1:34" s="440" customFormat="1" ht="50.5" customHeight="1" thickBot="1" x14ac:dyDescent="0.55000000000000004">
      <c r="A6" s="428"/>
      <c r="B6" s="442"/>
      <c r="C6" s="423" t="s">
        <v>45</v>
      </c>
      <c r="D6" s="441" t="s">
        <v>365</v>
      </c>
      <c r="E6" s="421" t="s">
        <v>366</v>
      </c>
      <c r="F6" s="421" t="s">
        <v>367</v>
      </c>
      <c r="G6" s="420" t="s">
        <v>368</v>
      </c>
      <c r="H6" s="430"/>
      <c r="I6" s="429"/>
      <c r="J6" s="961" t="s">
        <v>369</v>
      </c>
      <c r="K6" s="961"/>
      <c r="L6" s="961"/>
      <c r="M6" s="961"/>
      <c r="N6" s="961"/>
      <c r="O6" s="366"/>
      <c r="P6" s="366"/>
      <c r="Q6" s="366"/>
      <c r="R6" s="366"/>
      <c r="S6" s="428"/>
      <c r="T6" s="428"/>
      <c r="U6" s="428"/>
      <c r="V6" s="428"/>
      <c r="W6" s="428"/>
      <c r="X6" s="428"/>
      <c r="Y6" s="428"/>
      <c r="Z6" s="428"/>
      <c r="AA6" s="428"/>
      <c r="AB6" s="428"/>
      <c r="AC6" s="428"/>
      <c r="AD6" s="428"/>
      <c r="AE6" s="428"/>
      <c r="AF6" s="428"/>
      <c r="AG6" s="428"/>
      <c r="AH6" s="428"/>
    </row>
    <row r="7" spans="1:34" ht="27" customHeight="1" x14ac:dyDescent="0.5">
      <c r="A7" s="366"/>
      <c r="B7" s="367"/>
      <c r="C7" s="384" t="s">
        <v>370</v>
      </c>
      <c r="D7" s="376" t="s">
        <v>371</v>
      </c>
      <c r="E7" s="382" t="s">
        <v>372</v>
      </c>
      <c r="F7" s="439"/>
      <c r="G7" s="381">
        <v>20</v>
      </c>
      <c r="H7" s="379"/>
      <c r="I7" s="378"/>
      <c r="J7" s="960" t="s">
        <v>373</v>
      </c>
      <c r="K7" s="960"/>
      <c r="L7" s="960"/>
      <c r="M7" s="960"/>
      <c r="N7" s="960"/>
      <c r="O7" s="366"/>
      <c r="P7" s="366"/>
      <c r="Q7" s="366"/>
      <c r="R7" s="366"/>
      <c r="S7" s="366"/>
      <c r="T7" s="366"/>
      <c r="U7" s="366"/>
      <c r="V7" s="366"/>
      <c r="W7" s="366"/>
      <c r="X7" s="366"/>
      <c r="Y7" s="366"/>
      <c r="Z7" s="366"/>
      <c r="AA7" s="366"/>
      <c r="AB7" s="366"/>
      <c r="AC7" s="366"/>
      <c r="AD7" s="366"/>
      <c r="AE7" s="366"/>
      <c r="AF7" s="366"/>
      <c r="AG7" s="366"/>
      <c r="AH7" s="366"/>
    </row>
    <row r="8" spans="1:34" ht="27" customHeight="1" x14ac:dyDescent="0.5">
      <c r="A8" s="366"/>
      <c r="B8" s="367"/>
      <c r="C8" s="389"/>
      <c r="D8" s="376" t="s">
        <v>374</v>
      </c>
      <c r="E8" s="387" t="s">
        <v>372</v>
      </c>
      <c r="F8" s="438"/>
      <c r="G8" s="386">
        <v>20</v>
      </c>
      <c r="H8" s="379"/>
      <c r="I8" s="378"/>
      <c r="J8" s="960"/>
      <c r="K8" s="960"/>
      <c r="L8" s="960"/>
      <c r="M8" s="960"/>
      <c r="N8" s="960"/>
      <c r="O8" s="366"/>
      <c r="P8" s="366"/>
      <c r="Q8" s="366"/>
      <c r="R8" s="366"/>
      <c r="S8" s="366"/>
      <c r="T8" s="366"/>
      <c r="U8" s="366"/>
      <c r="V8" s="366"/>
      <c r="W8" s="366"/>
      <c r="X8" s="366"/>
      <c r="Y8" s="366"/>
      <c r="Z8" s="366"/>
      <c r="AA8" s="366"/>
      <c r="AB8" s="366"/>
      <c r="AC8" s="366"/>
      <c r="AD8" s="366"/>
      <c r="AE8" s="366"/>
      <c r="AF8" s="366"/>
      <c r="AG8" s="366"/>
      <c r="AH8" s="366"/>
    </row>
    <row r="9" spans="1:34" ht="27" customHeight="1" x14ac:dyDescent="0.5">
      <c r="A9" s="366"/>
      <c r="B9" s="367"/>
      <c r="C9" s="380"/>
      <c r="D9" s="376" t="s">
        <v>375</v>
      </c>
      <c r="E9" s="375" t="s">
        <v>372</v>
      </c>
      <c r="F9" s="435"/>
      <c r="G9" s="374">
        <v>25</v>
      </c>
      <c r="H9" s="379"/>
      <c r="I9" s="378"/>
      <c r="J9" s="960"/>
      <c r="K9" s="960"/>
      <c r="L9" s="960"/>
      <c r="M9" s="960"/>
      <c r="N9" s="960"/>
      <c r="O9" s="366"/>
      <c r="P9" s="366"/>
      <c r="Q9" s="366"/>
      <c r="R9" s="366"/>
      <c r="S9" s="366"/>
      <c r="T9" s="366"/>
      <c r="U9" s="366"/>
      <c r="V9" s="366"/>
      <c r="W9" s="366"/>
      <c r="X9" s="366"/>
      <c r="Y9" s="366"/>
      <c r="Z9" s="366"/>
      <c r="AA9" s="366"/>
      <c r="AB9" s="366"/>
      <c r="AC9" s="366"/>
      <c r="AD9" s="366"/>
      <c r="AE9" s="366"/>
      <c r="AF9" s="366"/>
      <c r="AG9" s="366"/>
      <c r="AH9" s="366"/>
    </row>
    <row r="10" spans="1:34" ht="27" customHeight="1" x14ac:dyDescent="0.5">
      <c r="A10" s="366"/>
      <c r="B10" s="367"/>
      <c r="C10" s="380"/>
      <c r="D10" s="376" t="s">
        <v>376</v>
      </c>
      <c r="E10" s="375" t="s">
        <v>372</v>
      </c>
      <c r="F10" s="435"/>
      <c r="G10" s="374">
        <v>25</v>
      </c>
      <c r="H10" s="379"/>
      <c r="I10" s="378"/>
      <c r="J10" s="960"/>
      <c r="K10" s="960"/>
      <c r="L10" s="960"/>
      <c r="M10" s="960"/>
      <c r="N10" s="960"/>
      <c r="O10" s="366"/>
      <c r="P10" s="366"/>
      <c r="Q10" s="366"/>
      <c r="R10" s="366"/>
      <c r="S10" s="366"/>
      <c r="T10" s="366"/>
      <c r="U10" s="366"/>
      <c r="V10" s="366"/>
      <c r="W10" s="366"/>
      <c r="X10" s="366"/>
      <c r="Y10" s="366"/>
      <c r="Z10" s="366"/>
      <c r="AA10" s="366"/>
      <c r="AB10" s="366"/>
      <c r="AC10" s="366"/>
      <c r="AD10" s="366"/>
      <c r="AE10" s="366"/>
      <c r="AF10" s="366"/>
      <c r="AG10" s="366"/>
      <c r="AH10" s="366"/>
    </row>
    <row r="11" spans="1:34" s="433" customFormat="1" ht="27" customHeight="1" x14ac:dyDescent="0.5">
      <c r="A11" s="437"/>
      <c r="B11" s="436"/>
      <c r="C11" s="380"/>
      <c r="D11" s="376" t="s">
        <v>377</v>
      </c>
      <c r="E11" s="375" t="s">
        <v>372</v>
      </c>
      <c r="F11" s="435"/>
      <c r="G11" s="434">
        <v>30</v>
      </c>
      <c r="H11" s="379"/>
      <c r="I11" s="378"/>
      <c r="J11" s="960"/>
      <c r="K11" s="960"/>
      <c r="L11" s="960"/>
      <c r="M11" s="960"/>
      <c r="N11" s="960"/>
      <c r="O11" s="366"/>
      <c r="P11" s="366"/>
      <c r="Q11" s="366"/>
      <c r="R11" s="366"/>
      <c r="S11" s="366"/>
      <c r="T11" s="366"/>
      <c r="U11" s="366"/>
      <c r="V11" s="366"/>
      <c r="W11" s="366"/>
      <c r="X11" s="366"/>
      <c r="Y11" s="366"/>
      <c r="Z11" s="366"/>
      <c r="AA11" s="366"/>
      <c r="AB11" s="366"/>
      <c r="AC11" s="366"/>
      <c r="AD11" s="366"/>
      <c r="AE11" s="366"/>
      <c r="AF11" s="366"/>
      <c r="AG11" s="366"/>
      <c r="AH11" s="366"/>
    </row>
    <row r="12" spans="1:34" s="433" customFormat="1" ht="27" customHeight="1" x14ac:dyDescent="0.5">
      <c r="A12" s="437"/>
      <c r="B12" s="436"/>
      <c r="C12" s="418"/>
      <c r="D12" s="417" t="s">
        <v>378</v>
      </c>
      <c r="E12" s="405" t="s">
        <v>372</v>
      </c>
      <c r="F12" s="435"/>
      <c r="G12" s="434">
        <v>10</v>
      </c>
      <c r="H12" s="379"/>
      <c r="I12" s="378"/>
      <c r="J12" s="544"/>
      <c r="K12" s="544"/>
      <c r="L12" s="544"/>
      <c r="M12" s="544"/>
      <c r="N12" s="544"/>
      <c r="O12" s="366"/>
      <c r="P12" s="366"/>
      <c r="Q12" s="366"/>
      <c r="R12" s="366"/>
      <c r="S12" s="366"/>
      <c r="T12" s="366"/>
      <c r="U12" s="366"/>
      <c r="V12" s="366"/>
      <c r="W12" s="366"/>
      <c r="X12" s="366"/>
      <c r="Y12" s="366"/>
      <c r="Z12" s="366"/>
      <c r="AA12" s="366"/>
      <c r="AB12" s="366"/>
      <c r="AC12" s="366"/>
      <c r="AD12" s="366"/>
      <c r="AE12" s="366"/>
      <c r="AF12" s="366"/>
      <c r="AG12" s="366"/>
      <c r="AH12" s="366"/>
    </row>
    <row r="13" spans="1:34" s="427" customFormat="1" ht="27" customHeight="1" x14ac:dyDescent="0.5">
      <c r="A13" s="432"/>
      <c r="B13" s="431"/>
      <c r="C13" s="418"/>
      <c r="D13" s="417" t="s">
        <v>379</v>
      </c>
      <c r="E13" s="405" t="s">
        <v>372</v>
      </c>
      <c r="F13" s="426"/>
      <c r="G13" s="425">
        <v>12</v>
      </c>
      <c r="H13" s="430"/>
      <c r="I13" s="429"/>
      <c r="J13" s="366"/>
      <c r="K13" s="366"/>
      <c r="L13" s="366"/>
      <c r="M13" s="366"/>
      <c r="N13" s="366"/>
      <c r="O13" s="366"/>
      <c r="P13" s="366"/>
      <c r="Q13" s="366"/>
      <c r="R13" s="366"/>
      <c r="S13" s="366"/>
      <c r="T13" s="366"/>
      <c r="U13" s="428"/>
      <c r="V13" s="428"/>
      <c r="W13" s="428"/>
      <c r="X13" s="428"/>
      <c r="Y13" s="428"/>
      <c r="Z13" s="428"/>
      <c r="AA13" s="428"/>
      <c r="AB13" s="428"/>
      <c r="AC13" s="428"/>
      <c r="AD13" s="428"/>
      <c r="AE13" s="428"/>
      <c r="AF13" s="428"/>
      <c r="AG13" s="428"/>
      <c r="AH13" s="428"/>
    </row>
    <row r="14" spans="1:34" ht="27" customHeight="1" thickBot="1" x14ac:dyDescent="0.55000000000000004">
      <c r="A14" s="366"/>
      <c r="B14" s="367"/>
      <c r="C14" s="418"/>
      <c r="D14" s="417" t="s">
        <v>380</v>
      </c>
      <c r="E14" s="405" t="s">
        <v>372</v>
      </c>
      <c r="F14" s="426"/>
      <c r="G14" s="425">
        <v>25</v>
      </c>
      <c r="H14" s="379"/>
      <c r="I14" s="378"/>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row>
    <row r="15" spans="1:34" ht="27" customHeight="1" thickBot="1" x14ac:dyDescent="0.55000000000000004">
      <c r="A15" s="366"/>
      <c r="B15" s="367"/>
      <c r="C15" s="418"/>
      <c r="D15" s="370" t="s">
        <v>381</v>
      </c>
      <c r="E15" s="369" t="s">
        <v>372</v>
      </c>
      <c r="F15" s="424"/>
      <c r="G15" s="394">
        <v>20</v>
      </c>
      <c r="H15" s="379"/>
      <c r="I15" s="378"/>
      <c r="J15" s="478" t="s">
        <v>382</v>
      </c>
      <c r="K15" s="251"/>
      <c r="L15" s="251"/>
      <c r="M15" s="251"/>
      <c r="N15" s="252"/>
      <c r="O15" s="366"/>
      <c r="P15" s="366"/>
      <c r="Q15" s="366"/>
      <c r="R15" s="366"/>
      <c r="S15" s="366"/>
      <c r="T15" s="366"/>
      <c r="U15" s="366"/>
      <c r="V15" s="366"/>
      <c r="W15" s="366"/>
      <c r="X15" s="366"/>
      <c r="Y15" s="366"/>
      <c r="Z15" s="366"/>
      <c r="AA15" s="366"/>
      <c r="AB15" s="366"/>
      <c r="AC15" s="366"/>
      <c r="AD15" s="366"/>
      <c r="AE15" s="366"/>
      <c r="AF15" s="366"/>
      <c r="AG15" s="366"/>
      <c r="AH15" s="366"/>
    </row>
    <row r="16" spans="1:34" ht="27" customHeight="1" thickBot="1" x14ac:dyDescent="0.55000000000000004">
      <c r="A16" s="366"/>
      <c r="B16" s="367"/>
      <c r="C16" s="423" t="s">
        <v>45</v>
      </c>
      <c r="D16" s="422" t="s">
        <v>365</v>
      </c>
      <c r="E16" s="421" t="s">
        <v>366</v>
      </c>
      <c r="F16" s="421" t="s">
        <v>367</v>
      </c>
      <c r="G16" s="420" t="s">
        <v>383</v>
      </c>
      <c r="H16" s="379"/>
      <c r="I16" s="378"/>
      <c r="J16" s="479" t="s">
        <v>384</v>
      </c>
      <c r="K16" s="480" t="s">
        <v>385</v>
      </c>
      <c r="L16" s="543" t="s">
        <v>386</v>
      </c>
      <c r="M16" s="543"/>
      <c r="N16" s="481"/>
      <c r="O16" s="468" t="s">
        <v>387</v>
      </c>
      <c r="P16" s="469"/>
      <c r="Q16" s="366"/>
      <c r="R16" s="366"/>
      <c r="S16" s="366"/>
      <c r="T16" s="366"/>
      <c r="U16" s="366"/>
      <c r="V16" s="366"/>
      <c r="W16" s="366"/>
      <c r="X16" s="366"/>
      <c r="Y16" s="366"/>
      <c r="Z16" s="366"/>
      <c r="AA16" s="366"/>
      <c r="AB16" s="366"/>
      <c r="AC16" s="366"/>
      <c r="AD16" s="366"/>
      <c r="AE16" s="366"/>
      <c r="AF16" s="366"/>
      <c r="AG16" s="366"/>
      <c r="AH16" s="366"/>
    </row>
    <row r="17" spans="1:34" ht="27" customHeight="1" x14ac:dyDescent="0.5">
      <c r="A17" s="366"/>
      <c r="B17" s="367"/>
      <c r="C17" s="419" t="s">
        <v>388</v>
      </c>
      <c r="D17" s="383" t="s">
        <v>389</v>
      </c>
      <c r="E17" s="382" t="s">
        <v>372</v>
      </c>
      <c r="F17" s="382" t="s">
        <v>372</v>
      </c>
      <c r="G17" s="381">
        <v>6.84</v>
      </c>
      <c r="H17" s="379"/>
      <c r="I17" s="378"/>
      <c r="J17" s="200" t="s">
        <v>65</v>
      </c>
      <c r="K17" s="201">
        <f>0.207074288590604+0.017915111409396</f>
        <v>0.22498940000000001</v>
      </c>
      <c r="L17" s="211">
        <v>45175</v>
      </c>
      <c r="M17" s="212" t="s">
        <v>390</v>
      </c>
      <c r="N17" s="213"/>
      <c r="O17" s="470">
        <v>0.44932</v>
      </c>
      <c r="P17" s="469" t="s">
        <v>391</v>
      </c>
      <c r="Q17" s="366"/>
      <c r="R17" s="366"/>
      <c r="S17" s="366"/>
      <c r="T17" s="366"/>
      <c r="U17" s="366"/>
      <c r="V17" s="366"/>
      <c r="W17" s="366"/>
      <c r="X17" s="366"/>
      <c r="Y17" s="366"/>
      <c r="Z17" s="366"/>
      <c r="AA17" s="366"/>
      <c r="AB17" s="366"/>
      <c r="AC17" s="366"/>
      <c r="AD17" s="366"/>
      <c r="AE17" s="366"/>
      <c r="AF17" s="366"/>
      <c r="AG17" s="366"/>
      <c r="AH17" s="366"/>
    </row>
    <row r="18" spans="1:34" ht="27" customHeight="1" thickBot="1" x14ac:dyDescent="0.55000000000000004">
      <c r="A18" s="366"/>
      <c r="B18" s="367"/>
      <c r="C18" s="418"/>
      <c r="D18" s="417" t="s">
        <v>392</v>
      </c>
      <c r="E18" s="414" t="s">
        <v>372</v>
      </c>
      <c r="F18" s="405" t="s">
        <v>372</v>
      </c>
      <c r="G18" s="416">
        <v>8.4208754827908177</v>
      </c>
      <c r="H18" s="379"/>
      <c r="I18" s="378"/>
      <c r="J18" s="202" t="s">
        <v>393</v>
      </c>
      <c r="K18" s="203">
        <v>0.18315999999999999</v>
      </c>
      <c r="L18" s="211">
        <v>44377</v>
      </c>
      <c r="M18" s="214" t="s">
        <v>394</v>
      </c>
      <c r="N18" s="213"/>
      <c r="O18" s="470">
        <v>0.184</v>
      </c>
      <c r="P18" s="469" t="s">
        <v>395</v>
      </c>
      <c r="Q18" s="366"/>
      <c r="R18" s="366"/>
      <c r="S18" s="366"/>
      <c r="T18" s="366"/>
      <c r="U18" s="366"/>
      <c r="V18" s="366"/>
      <c r="W18" s="366"/>
      <c r="X18" s="366"/>
      <c r="Y18" s="366"/>
      <c r="Z18" s="366"/>
      <c r="AA18" s="366"/>
      <c r="AB18" s="366"/>
      <c r="AC18" s="366"/>
      <c r="AD18" s="366"/>
      <c r="AE18" s="366"/>
      <c r="AF18" s="366"/>
      <c r="AG18" s="366"/>
      <c r="AH18" s="366"/>
    </row>
    <row r="19" spans="1:34" ht="27" customHeight="1" x14ac:dyDescent="0.5">
      <c r="A19" s="366"/>
      <c r="B19" s="367"/>
      <c r="C19" s="384" t="s">
        <v>396</v>
      </c>
      <c r="D19" s="383" t="s">
        <v>397</v>
      </c>
      <c r="E19" s="413"/>
      <c r="F19" s="413" t="s">
        <v>372</v>
      </c>
      <c r="G19" s="381">
        <v>6.84</v>
      </c>
      <c r="H19" s="379"/>
      <c r="I19" s="378"/>
      <c r="J19" s="204" t="s">
        <v>398</v>
      </c>
      <c r="K19" s="203">
        <v>0.25679000000000002</v>
      </c>
      <c r="L19" s="211">
        <v>44377</v>
      </c>
      <c r="M19" s="214" t="s">
        <v>394</v>
      </c>
      <c r="N19" s="213"/>
      <c r="O19" s="471">
        <v>0.27631</v>
      </c>
      <c r="P19" s="469" t="s">
        <v>399</v>
      </c>
      <c r="Q19" s="366"/>
      <c r="R19" s="366"/>
      <c r="S19" s="366"/>
      <c r="T19" s="366"/>
      <c r="U19" s="366"/>
      <c r="V19" s="366"/>
      <c r="W19" s="366"/>
      <c r="X19" s="366"/>
      <c r="Y19" s="366"/>
      <c r="Z19" s="366"/>
      <c r="AA19" s="366"/>
      <c r="AB19" s="366"/>
      <c r="AC19" s="366"/>
      <c r="AD19" s="366"/>
      <c r="AE19" s="366"/>
      <c r="AF19" s="366"/>
      <c r="AG19" s="366"/>
      <c r="AH19" s="366"/>
    </row>
    <row r="20" spans="1:34" ht="27" customHeight="1" x14ac:dyDescent="0.5">
      <c r="A20" s="366"/>
      <c r="B20" s="367"/>
      <c r="C20" s="380"/>
      <c r="D20" s="376" t="s">
        <v>400</v>
      </c>
      <c r="E20" s="405"/>
      <c r="F20" s="405" t="s">
        <v>372</v>
      </c>
      <c r="G20" s="374">
        <v>8.2079999999999984</v>
      </c>
      <c r="H20" s="379"/>
      <c r="I20" s="378"/>
      <c r="J20" s="205" t="s">
        <v>401</v>
      </c>
      <c r="K20" s="206">
        <v>0.26815</v>
      </c>
      <c r="L20" s="211">
        <v>44377</v>
      </c>
      <c r="M20" s="214" t="s">
        <v>394</v>
      </c>
      <c r="N20" s="213" t="s">
        <v>402</v>
      </c>
      <c r="O20" s="471">
        <v>0.26782</v>
      </c>
      <c r="P20" s="469" t="s">
        <v>403</v>
      </c>
      <c r="Q20" s="366"/>
      <c r="R20" s="366"/>
      <c r="S20" s="366"/>
      <c r="T20" s="366"/>
      <c r="U20" s="366"/>
      <c r="V20" s="366"/>
      <c r="W20" s="366"/>
      <c r="X20" s="366"/>
      <c r="Y20" s="366"/>
      <c r="Z20" s="366"/>
      <c r="AA20" s="366"/>
      <c r="AB20" s="366"/>
      <c r="AC20" s="366"/>
      <c r="AD20" s="366"/>
      <c r="AE20" s="366"/>
      <c r="AF20" s="366"/>
      <c r="AG20" s="366"/>
      <c r="AH20" s="366"/>
    </row>
    <row r="21" spans="1:34" ht="27" customHeight="1" x14ac:dyDescent="0.5">
      <c r="A21" s="366"/>
      <c r="B21" s="367"/>
      <c r="C21" s="380"/>
      <c r="D21" s="376" t="s">
        <v>404</v>
      </c>
      <c r="E21" s="405"/>
      <c r="F21" s="405" t="s">
        <v>372</v>
      </c>
      <c r="G21" s="374">
        <v>14.44</v>
      </c>
      <c r="H21" s="379"/>
      <c r="I21" s="378"/>
      <c r="J21" s="205" t="s">
        <v>405</v>
      </c>
      <c r="K21" s="206">
        <v>0.24676999999999999</v>
      </c>
      <c r="L21" s="211">
        <v>44377</v>
      </c>
      <c r="M21" s="214" t="s">
        <v>394</v>
      </c>
      <c r="N21" s="213" t="s">
        <v>406</v>
      </c>
      <c r="O21" s="471">
        <v>0.24665999999999999</v>
      </c>
      <c r="P21" s="469" t="s">
        <v>407</v>
      </c>
      <c r="Q21" s="366"/>
      <c r="R21" s="366"/>
      <c r="S21" s="366"/>
      <c r="T21" s="366"/>
      <c r="U21" s="366"/>
      <c r="V21" s="366"/>
      <c r="W21" s="366"/>
      <c r="X21" s="366"/>
      <c r="Y21" s="366"/>
      <c r="Z21" s="366"/>
      <c r="AA21" s="366"/>
      <c r="AB21" s="366"/>
      <c r="AC21" s="366"/>
      <c r="AD21" s="366"/>
      <c r="AE21" s="366"/>
      <c r="AF21" s="366"/>
      <c r="AG21" s="366"/>
      <c r="AH21" s="366"/>
    </row>
    <row r="22" spans="1:34" ht="27" customHeight="1" x14ac:dyDescent="0.5">
      <c r="A22" s="366"/>
      <c r="B22" s="367"/>
      <c r="C22" s="380"/>
      <c r="D22" s="415" t="s">
        <v>408</v>
      </c>
      <c r="E22" s="405"/>
      <c r="F22" s="405" t="s">
        <v>372</v>
      </c>
      <c r="G22" s="374">
        <v>13.68</v>
      </c>
      <c r="H22" s="379"/>
      <c r="I22" s="378"/>
      <c r="J22" s="207" t="s">
        <v>409</v>
      </c>
      <c r="K22" s="206">
        <v>0.34461999999999998</v>
      </c>
      <c r="L22" s="211">
        <v>44377</v>
      </c>
      <c r="M22" s="214" t="s">
        <v>394</v>
      </c>
      <c r="N22" s="213"/>
      <c r="O22" s="471">
        <v>0.32235000000000003</v>
      </c>
      <c r="P22" s="469" t="s">
        <v>410</v>
      </c>
      <c r="Q22" s="366"/>
      <c r="R22" s="366"/>
      <c r="S22" s="366"/>
      <c r="T22" s="366"/>
      <c r="U22" s="366"/>
      <c r="V22" s="366"/>
      <c r="W22" s="366"/>
      <c r="X22" s="366"/>
      <c r="Y22" s="366"/>
      <c r="Z22" s="366"/>
      <c r="AA22" s="366"/>
      <c r="AB22" s="366"/>
      <c r="AC22" s="366"/>
      <c r="AD22" s="366"/>
      <c r="AE22" s="366"/>
      <c r="AF22" s="366"/>
      <c r="AG22" s="366"/>
      <c r="AH22" s="366"/>
    </row>
    <row r="23" spans="1:34" ht="27" customHeight="1" thickBot="1" x14ac:dyDescent="0.55000000000000004">
      <c r="A23" s="366"/>
      <c r="B23" s="367"/>
      <c r="C23" s="385"/>
      <c r="D23" s="370" t="s">
        <v>411</v>
      </c>
      <c r="E23" s="405"/>
      <c r="F23" s="414" t="s">
        <v>372</v>
      </c>
      <c r="G23" s="368">
        <v>13.68</v>
      </c>
      <c r="H23" s="379"/>
      <c r="I23" s="378"/>
      <c r="J23" s="208" t="s">
        <v>140</v>
      </c>
      <c r="K23" s="206">
        <v>0.21448999999999999</v>
      </c>
      <c r="L23" s="211">
        <v>44377</v>
      </c>
      <c r="M23" s="214" t="s">
        <v>394</v>
      </c>
      <c r="N23" s="213"/>
      <c r="O23" s="471">
        <v>0.21457999999999999</v>
      </c>
      <c r="P23" s="469" t="s">
        <v>412</v>
      </c>
      <c r="Q23" s="366"/>
      <c r="R23" s="366"/>
      <c r="S23" s="366"/>
      <c r="T23" s="366"/>
      <c r="U23" s="366"/>
      <c r="V23" s="366"/>
      <c r="W23" s="366"/>
      <c r="X23" s="366"/>
      <c r="Y23" s="366"/>
      <c r="Z23" s="366"/>
      <c r="AA23" s="366"/>
      <c r="AB23" s="366"/>
      <c r="AC23" s="366"/>
      <c r="AD23" s="366"/>
      <c r="AE23" s="366"/>
      <c r="AF23" s="366"/>
      <c r="AG23" s="366"/>
      <c r="AH23" s="366"/>
    </row>
    <row r="24" spans="1:34" ht="27" customHeight="1" x14ac:dyDescent="0.5">
      <c r="A24" s="366"/>
      <c r="B24" s="367"/>
      <c r="C24" s="384" t="s">
        <v>413</v>
      </c>
      <c r="D24" s="383" t="s">
        <v>414</v>
      </c>
      <c r="E24" s="382" t="s">
        <v>372</v>
      </c>
      <c r="F24" s="413" t="s">
        <v>372</v>
      </c>
      <c r="G24" s="381">
        <v>15.2</v>
      </c>
      <c r="H24" s="379"/>
      <c r="I24" s="378"/>
      <c r="J24" s="209" t="s">
        <v>415</v>
      </c>
      <c r="K24" s="206">
        <v>3.7440000000000001E-2</v>
      </c>
      <c r="L24" s="211">
        <v>44377</v>
      </c>
      <c r="M24" s="214" t="s">
        <v>394</v>
      </c>
      <c r="N24" s="213"/>
      <c r="O24" s="471">
        <v>3.7440000000000001E-2</v>
      </c>
      <c r="P24" s="469" t="s">
        <v>416</v>
      </c>
      <c r="Q24" s="366"/>
      <c r="R24" s="366"/>
      <c r="S24" s="366"/>
      <c r="T24" s="366"/>
      <c r="U24" s="366"/>
      <c r="V24" s="366"/>
      <c r="W24" s="366"/>
      <c r="X24" s="366"/>
      <c r="Y24" s="366"/>
      <c r="Z24" s="366"/>
      <c r="AA24" s="366"/>
      <c r="AB24" s="366"/>
      <c r="AC24" s="366"/>
      <c r="AD24" s="366"/>
      <c r="AE24" s="366"/>
      <c r="AF24" s="366"/>
      <c r="AG24" s="366"/>
      <c r="AH24" s="366"/>
    </row>
    <row r="25" spans="1:34" ht="27" customHeight="1" thickBot="1" x14ac:dyDescent="0.55000000000000004">
      <c r="A25" s="366"/>
      <c r="B25" s="367"/>
      <c r="C25" s="385"/>
      <c r="D25" s="370" t="s">
        <v>417</v>
      </c>
      <c r="E25" s="369" t="s">
        <v>372</v>
      </c>
      <c r="F25" s="369" t="s">
        <v>372</v>
      </c>
      <c r="G25" s="368">
        <v>15.2</v>
      </c>
      <c r="H25" s="379"/>
      <c r="I25" s="378"/>
      <c r="J25" s="815" t="s">
        <v>418</v>
      </c>
      <c r="K25" s="206">
        <v>7.92E-3</v>
      </c>
      <c r="L25" s="211">
        <v>44377</v>
      </c>
      <c r="M25" s="214" t="s">
        <v>394</v>
      </c>
      <c r="N25" s="213"/>
      <c r="O25" s="472">
        <v>7.92E-3</v>
      </c>
      <c r="P25" s="469" t="s">
        <v>419</v>
      </c>
      <c r="Q25" s="366"/>
      <c r="R25" s="366"/>
      <c r="S25" s="366"/>
      <c r="T25" s="366"/>
      <c r="U25" s="366"/>
      <c r="V25" s="366"/>
      <c r="W25" s="366"/>
      <c r="X25" s="366"/>
      <c r="Y25" s="366"/>
      <c r="Z25" s="366"/>
      <c r="AA25" s="366"/>
      <c r="AB25" s="366"/>
      <c r="AC25" s="366"/>
      <c r="AD25" s="366"/>
      <c r="AE25" s="366"/>
      <c r="AF25" s="366"/>
      <c r="AG25" s="366"/>
      <c r="AH25" s="366"/>
    </row>
    <row r="26" spans="1:34" ht="27" customHeight="1" thickBot="1" x14ac:dyDescent="0.55000000000000004">
      <c r="A26" s="366"/>
      <c r="B26" s="367"/>
      <c r="C26" s="412" t="s">
        <v>420</v>
      </c>
      <c r="D26" s="383" t="s">
        <v>421</v>
      </c>
      <c r="E26" s="405" t="s">
        <v>372</v>
      </c>
      <c r="F26" s="405"/>
      <c r="G26" s="381">
        <v>10.83</v>
      </c>
      <c r="H26" s="379"/>
      <c r="I26" s="378"/>
      <c r="J26" s="202" t="s">
        <v>422</v>
      </c>
      <c r="K26" s="210">
        <v>2.4049999999999998E-2</v>
      </c>
      <c r="L26" s="211">
        <v>44377</v>
      </c>
      <c r="M26" s="215" t="s">
        <v>394</v>
      </c>
      <c r="N26" s="216"/>
      <c r="O26" s="473">
        <v>2.6419999999999999E-2</v>
      </c>
      <c r="P26" s="469" t="s">
        <v>423</v>
      </c>
      <c r="Q26" s="366"/>
      <c r="R26" s="366"/>
      <c r="S26" s="366"/>
      <c r="T26" s="366"/>
      <c r="U26" s="366"/>
      <c r="V26" s="366"/>
      <c r="W26" s="366"/>
      <c r="X26" s="366"/>
      <c r="Y26" s="366"/>
      <c r="Z26" s="366"/>
      <c r="AA26" s="366"/>
      <c r="AB26" s="366"/>
      <c r="AC26" s="366"/>
      <c r="AD26" s="366"/>
      <c r="AE26" s="366"/>
      <c r="AF26" s="366"/>
      <c r="AG26" s="366"/>
      <c r="AH26" s="366"/>
    </row>
    <row r="27" spans="1:34" ht="27" customHeight="1" thickBot="1" x14ac:dyDescent="0.55000000000000004">
      <c r="A27" s="366"/>
      <c r="B27" s="367"/>
      <c r="C27" s="411"/>
      <c r="D27" s="410" t="s">
        <v>424</v>
      </c>
      <c r="E27" s="405" t="s">
        <v>372</v>
      </c>
      <c r="F27" s="405"/>
      <c r="G27" s="409">
        <v>6.84</v>
      </c>
      <c r="H27" s="379"/>
      <c r="I27" s="378"/>
      <c r="J27" s="217" t="s">
        <v>425</v>
      </c>
      <c r="K27" s="954" t="s">
        <v>426</v>
      </c>
      <c r="L27" s="955"/>
      <c r="M27" s="955"/>
      <c r="N27" s="956"/>
      <c r="O27" s="474"/>
      <c r="P27" s="469"/>
      <c r="Q27" s="366"/>
      <c r="R27" s="366"/>
      <c r="S27" s="366"/>
      <c r="T27" s="366"/>
      <c r="U27" s="366"/>
      <c r="V27" s="366"/>
      <c r="W27" s="366"/>
      <c r="X27" s="366"/>
      <c r="Y27" s="366"/>
      <c r="Z27" s="366"/>
      <c r="AA27" s="366"/>
      <c r="AB27" s="366"/>
      <c r="AC27" s="366"/>
      <c r="AD27" s="366"/>
      <c r="AE27" s="366"/>
      <c r="AF27" s="366"/>
      <c r="AG27" s="366"/>
      <c r="AH27" s="366"/>
    </row>
    <row r="28" spans="1:34" ht="27" customHeight="1" thickBot="1" x14ac:dyDescent="0.55000000000000004">
      <c r="A28" s="366"/>
      <c r="B28" s="367"/>
      <c r="C28" s="408"/>
      <c r="D28" s="407" t="s">
        <v>427</v>
      </c>
      <c r="E28" s="405" t="s">
        <v>372</v>
      </c>
      <c r="F28" s="405"/>
      <c r="G28" s="406">
        <v>15.2</v>
      </c>
      <c r="H28" s="379"/>
      <c r="I28" s="378"/>
      <c r="J28" s="218"/>
      <c r="K28" s="219"/>
      <c r="L28" s="219"/>
      <c r="M28" s="219"/>
      <c r="N28" s="220"/>
      <c r="O28" s="366"/>
      <c r="P28" s="366"/>
      <c r="Q28" s="366"/>
      <c r="R28" s="366"/>
      <c r="S28" s="366"/>
      <c r="T28" s="366"/>
      <c r="U28" s="366"/>
      <c r="V28" s="366"/>
      <c r="W28" s="366"/>
      <c r="X28" s="366"/>
      <c r="Y28" s="366"/>
      <c r="Z28" s="366"/>
      <c r="AA28" s="366"/>
      <c r="AB28" s="366"/>
      <c r="AC28" s="366"/>
      <c r="AD28" s="366"/>
      <c r="AE28" s="366"/>
      <c r="AF28" s="366"/>
      <c r="AG28" s="366"/>
      <c r="AH28" s="366"/>
    </row>
    <row r="29" spans="1:34" ht="27" customHeight="1" x14ac:dyDescent="0.5">
      <c r="A29" s="366"/>
      <c r="B29" s="367"/>
      <c r="C29" s="380"/>
      <c r="D29" s="407" t="s">
        <v>428</v>
      </c>
      <c r="E29" s="405" t="s">
        <v>372</v>
      </c>
      <c r="F29" s="405"/>
      <c r="G29" s="406">
        <v>11.88</v>
      </c>
      <c r="H29" s="379"/>
      <c r="I29" s="378"/>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row>
    <row r="30" spans="1:34" ht="27" customHeight="1" x14ac:dyDescent="0.5">
      <c r="A30" s="366"/>
      <c r="B30" s="367"/>
      <c r="C30" s="380"/>
      <c r="D30" s="376" t="s">
        <v>429</v>
      </c>
      <c r="E30" s="405" t="s">
        <v>372</v>
      </c>
      <c r="F30" s="405"/>
      <c r="G30" s="374">
        <v>28.5</v>
      </c>
      <c r="H30" s="379"/>
      <c r="I30" s="378"/>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row>
    <row r="31" spans="1:34" ht="27" customHeight="1" x14ac:dyDescent="0.5">
      <c r="A31" s="366"/>
      <c r="B31" s="367"/>
      <c r="C31" s="380"/>
      <c r="D31" s="376" t="s">
        <v>430</v>
      </c>
      <c r="E31" s="405" t="s">
        <v>372</v>
      </c>
      <c r="F31" s="405"/>
      <c r="G31" s="374">
        <v>15.2</v>
      </c>
      <c r="H31" s="379"/>
      <c r="I31" s="378"/>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row>
    <row r="32" spans="1:34" ht="27" customHeight="1" thickBot="1" x14ac:dyDescent="0.55000000000000004">
      <c r="A32" s="366"/>
      <c r="B32" s="367"/>
      <c r="C32" s="385"/>
      <c r="D32" s="370" t="s">
        <v>431</v>
      </c>
      <c r="E32" s="405" t="s">
        <v>372</v>
      </c>
      <c r="F32" s="405"/>
      <c r="G32" s="368">
        <v>18</v>
      </c>
      <c r="H32" s="379"/>
      <c r="I32" s="378"/>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row>
    <row r="33" spans="1:34" ht="27" customHeight="1" x14ac:dyDescent="0.5">
      <c r="A33" s="366"/>
      <c r="B33" s="367"/>
      <c r="C33" s="384" t="s">
        <v>432</v>
      </c>
      <c r="D33" s="383" t="s">
        <v>433</v>
      </c>
      <c r="E33" s="382" t="s">
        <v>372</v>
      </c>
      <c r="F33" s="382"/>
      <c r="G33" s="381">
        <v>14</v>
      </c>
      <c r="H33" s="379"/>
      <c r="I33" s="378"/>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row>
    <row r="34" spans="1:34" ht="27" customHeight="1" x14ac:dyDescent="0.5">
      <c r="A34" s="366"/>
      <c r="B34" s="367"/>
      <c r="C34" s="380"/>
      <c r="D34" s="376" t="s">
        <v>434</v>
      </c>
      <c r="E34" s="405" t="s">
        <v>372</v>
      </c>
      <c r="F34" s="405"/>
      <c r="G34" s="374">
        <v>18</v>
      </c>
      <c r="H34" s="379"/>
      <c r="I34" s="378"/>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c r="AH34" s="366"/>
    </row>
    <row r="35" spans="1:34" ht="27" customHeight="1" thickBot="1" x14ac:dyDescent="0.55000000000000004">
      <c r="A35" s="366"/>
      <c r="B35" s="367"/>
      <c r="C35" s="380"/>
      <c r="D35" s="376" t="s">
        <v>435</v>
      </c>
      <c r="E35" s="405" t="s">
        <v>372</v>
      </c>
      <c r="F35" s="405"/>
      <c r="G35" s="374">
        <v>11</v>
      </c>
      <c r="H35" s="379"/>
      <c r="I35" s="378"/>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row>
    <row r="36" spans="1:34" ht="27" customHeight="1" x14ac:dyDescent="0.5">
      <c r="A36" s="366"/>
      <c r="B36" s="367"/>
      <c r="C36" s="384" t="s">
        <v>436</v>
      </c>
      <c r="D36" s="383" t="s">
        <v>437</v>
      </c>
      <c r="E36" s="382" t="s">
        <v>372</v>
      </c>
      <c r="F36" s="382"/>
      <c r="G36" s="381">
        <v>30</v>
      </c>
      <c r="H36" s="379"/>
      <c r="I36" s="378"/>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row>
    <row r="37" spans="1:34" ht="27" customHeight="1" x14ac:dyDescent="0.5">
      <c r="A37" s="366"/>
      <c r="B37" s="367"/>
      <c r="C37" s="380"/>
      <c r="D37" s="376" t="s">
        <v>438</v>
      </c>
      <c r="E37" s="405" t="s">
        <v>372</v>
      </c>
      <c r="F37" s="405"/>
      <c r="G37" s="374">
        <v>28</v>
      </c>
      <c r="H37" s="379"/>
      <c r="I37" s="378"/>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row>
    <row r="38" spans="1:34" ht="27" customHeight="1" x14ac:dyDescent="0.5">
      <c r="A38" s="366"/>
      <c r="B38" s="367"/>
      <c r="C38" s="380"/>
      <c r="D38" s="376" t="s">
        <v>439</v>
      </c>
      <c r="E38" s="405" t="s">
        <v>372</v>
      </c>
      <c r="F38" s="405"/>
      <c r="G38" s="374">
        <v>30</v>
      </c>
      <c r="H38" s="379"/>
      <c r="I38" s="378"/>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row>
    <row r="39" spans="1:34" ht="27" customHeight="1" x14ac:dyDescent="0.5">
      <c r="A39" s="366"/>
      <c r="B39" s="367"/>
      <c r="C39" s="380"/>
      <c r="D39" s="376" t="s">
        <v>440</v>
      </c>
      <c r="E39" s="405" t="s">
        <v>372</v>
      </c>
      <c r="F39" s="405"/>
      <c r="G39" s="374">
        <v>27</v>
      </c>
      <c r="H39" s="379"/>
      <c r="I39" s="378"/>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row>
    <row r="40" spans="1:34" ht="27" customHeight="1" x14ac:dyDescent="0.5">
      <c r="A40" s="366"/>
      <c r="B40" s="367"/>
      <c r="C40" s="380"/>
      <c r="D40" s="376" t="s">
        <v>441</v>
      </c>
      <c r="E40" s="405" t="s">
        <v>372</v>
      </c>
      <c r="F40" s="405"/>
      <c r="G40" s="374">
        <v>27</v>
      </c>
      <c r="H40" s="379"/>
      <c r="I40" s="378"/>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row>
    <row r="41" spans="1:34" ht="27" customHeight="1" x14ac:dyDescent="0.5">
      <c r="A41" s="366"/>
      <c r="B41" s="367"/>
      <c r="C41" s="380"/>
      <c r="D41" s="376" t="s">
        <v>442</v>
      </c>
      <c r="E41" s="405" t="s">
        <v>372</v>
      </c>
      <c r="F41" s="405"/>
      <c r="G41" s="374">
        <v>30</v>
      </c>
      <c r="H41" s="379"/>
      <c r="I41" s="378"/>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row>
    <row r="42" spans="1:34" ht="27" customHeight="1" x14ac:dyDescent="0.5">
      <c r="A42" s="366"/>
      <c r="B42" s="367"/>
      <c r="C42" s="380"/>
      <c r="D42" s="376" t="s">
        <v>443</v>
      </c>
      <c r="E42" s="405" t="s">
        <v>372</v>
      </c>
      <c r="F42" s="405"/>
      <c r="G42" s="374">
        <v>30</v>
      </c>
      <c r="H42" s="379"/>
      <c r="I42" s="378"/>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row>
    <row r="43" spans="1:34" ht="27" customHeight="1" thickBot="1" x14ac:dyDescent="0.55000000000000004">
      <c r="A43" s="366"/>
      <c r="B43" s="367"/>
      <c r="C43" s="385"/>
      <c r="D43" s="370" t="s">
        <v>444</v>
      </c>
      <c r="E43" s="405" t="s">
        <v>372</v>
      </c>
      <c r="F43" s="405"/>
      <c r="G43" s="368">
        <v>7.92</v>
      </c>
      <c r="H43" s="379"/>
      <c r="I43" s="378"/>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row>
    <row r="44" spans="1:34" ht="27" customHeight="1" thickBot="1" x14ac:dyDescent="0.55000000000000004">
      <c r="A44" s="366"/>
      <c r="B44" s="367"/>
      <c r="C44" s="393" t="s">
        <v>445</v>
      </c>
      <c r="D44" s="392" t="s">
        <v>445</v>
      </c>
      <c r="E44" s="391" t="s">
        <v>372</v>
      </c>
      <c r="F44" s="391"/>
      <c r="G44" s="390">
        <v>29.25</v>
      </c>
      <c r="H44" s="379"/>
      <c r="I44" s="378"/>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row>
    <row r="45" spans="1:34" ht="27" customHeight="1" x14ac:dyDescent="0.5">
      <c r="A45" s="366"/>
      <c r="B45" s="367"/>
      <c r="C45" s="404" t="s">
        <v>446</v>
      </c>
      <c r="D45" s="403" t="s">
        <v>447</v>
      </c>
      <c r="E45" s="402" t="s">
        <v>372</v>
      </c>
      <c r="F45" s="402"/>
      <c r="G45" s="374">
        <v>8.4534454454067696</v>
      </c>
      <c r="H45" s="379"/>
      <c r="I45" s="378"/>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row>
    <row r="46" spans="1:34" ht="27" customHeight="1" x14ac:dyDescent="0.5">
      <c r="A46" s="366"/>
      <c r="B46" s="367"/>
      <c r="C46" s="380"/>
      <c r="D46" s="376" t="s">
        <v>448</v>
      </c>
      <c r="E46" s="402" t="s">
        <v>372</v>
      </c>
      <c r="F46" s="402"/>
      <c r="G46" s="374">
        <v>8.4534454454067696</v>
      </c>
      <c r="H46" s="379"/>
      <c r="I46" s="378"/>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row>
    <row r="47" spans="1:34" ht="27" customHeight="1" x14ac:dyDescent="0.5">
      <c r="A47" s="366"/>
      <c r="B47" s="367"/>
      <c r="C47" s="380"/>
      <c r="D47" s="376" t="s">
        <v>449</v>
      </c>
      <c r="E47" s="402" t="s">
        <v>372</v>
      </c>
      <c r="F47" s="402"/>
      <c r="G47" s="374">
        <v>29.25</v>
      </c>
      <c r="H47" s="379"/>
      <c r="I47" s="378"/>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row>
    <row r="48" spans="1:34" ht="27" customHeight="1" x14ac:dyDescent="0.5">
      <c r="A48" s="366"/>
      <c r="B48" s="367"/>
      <c r="C48" s="380"/>
      <c r="D48" s="376" t="s">
        <v>450</v>
      </c>
      <c r="E48" s="402" t="s">
        <v>372</v>
      </c>
      <c r="F48" s="402"/>
      <c r="G48" s="374">
        <v>29.25</v>
      </c>
      <c r="H48" s="379"/>
      <c r="I48" s="378"/>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row>
    <row r="49" spans="1:34" ht="27" customHeight="1" thickBot="1" x14ac:dyDescent="0.55000000000000004">
      <c r="A49" s="366"/>
      <c r="B49" s="367"/>
      <c r="C49" s="385"/>
      <c r="D49" s="370" t="s">
        <v>451</v>
      </c>
      <c r="E49" s="402" t="s">
        <v>372</v>
      </c>
      <c r="F49" s="402"/>
      <c r="G49" s="368">
        <v>8</v>
      </c>
      <c r="H49" s="379"/>
      <c r="I49" s="378"/>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row>
    <row r="50" spans="1:34" ht="27" customHeight="1" x14ac:dyDescent="0.5">
      <c r="A50" s="366"/>
      <c r="B50" s="367"/>
      <c r="C50" s="384" t="s">
        <v>452</v>
      </c>
      <c r="D50" s="383" t="s">
        <v>453</v>
      </c>
      <c r="E50" s="382" t="s">
        <v>372</v>
      </c>
      <c r="F50" s="382"/>
      <c r="G50" s="381">
        <v>9</v>
      </c>
      <c r="H50" s="379"/>
      <c r="I50" s="378"/>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row>
    <row r="51" spans="1:34" ht="27" customHeight="1" thickBot="1" x14ac:dyDescent="0.55000000000000004">
      <c r="A51" s="366"/>
      <c r="B51" s="367"/>
      <c r="C51" s="385"/>
      <c r="D51" s="370" t="s">
        <v>454</v>
      </c>
      <c r="E51" s="369" t="s">
        <v>372</v>
      </c>
      <c r="F51" s="369"/>
      <c r="G51" s="368">
        <v>22.5</v>
      </c>
      <c r="H51" s="379"/>
      <c r="I51" s="378"/>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row>
    <row r="52" spans="1:34" ht="27" customHeight="1" x14ac:dyDescent="0.5">
      <c r="A52" s="366"/>
      <c r="B52" s="367"/>
      <c r="C52" s="384" t="s">
        <v>66</v>
      </c>
      <c r="D52" s="401" t="s">
        <v>67</v>
      </c>
      <c r="E52" s="400"/>
      <c r="F52" s="400" t="s">
        <v>372</v>
      </c>
      <c r="G52" s="381">
        <v>25</v>
      </c>
      <c r="H52" s="379"/>
      <c r="I52" s="378"/>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row>
    <row r="53" spans="1:34" ht="27" customHeight="1" thickBot="1" x14ac:dyDescent="0.55000000000000004">
      <c r="A53" s="366"/>
      <c r="B53" s="367"/>
      <c r="C53" s="385"/>
      <c r="D53" s="399" t="s">
        <v>455</v>
      </c>
      <c r="E53" s="398"/>
      <c r="F53" s="398" t="s">
        <v>372</v>
      </c>
      <c r="G53" s="368">
        <v>13</v>
      </c>
      <c r="H53" s="379"/>
      <c r="I53" s="378"/>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c r="AH53" s="366"/>
    </row>
    <row r="54" spans="1:34" ht="27" customHeight="1" x14ac:dyDescent="0.5">
      <c r="A54" s="366"/>
      <c r="B54" s="367"/>
      <c r="C54" s="389" t="s">
        <v>456</v>
      </c>
      <c r="D54" s="388" t="s">
        <v>457</v>
      </c>
      <c r="E54" s="387"/>
      <c r="F54" s="387" t="s">
        <v>372</v>
      </c>
      <c r="G54" s="386">
        <v>8.8919999999999995</v>
      </c>
      <c r="H54" s="379"/>
      <c r="I54" s="378"/>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c r="AH54" s="366"/>
    </row>
    <row r="55" spans="1:34" ht="27" customHeight="1" thickBot="1" x14ac:dyDescent="0.55000000000000004">
      <c r="A55" s="366"/>
      <c r="B55" s="367"/>
      <c r="C55" s="385"/>
      <c r="D55" s="370" t="s">
        <v>458</v>
      </c>
      <c r="E55" s="369"/>
      <c r="F55" s="369" t="s">
        <v>372</v>
      </c>
      <c r="G55" s="368">
        <v>10.26</v>
      </c>
      <c r="H55" s="379"/>
      <c r="I55" s="378"/>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c r="AH55" s="366"/>
    </row>
    <row r="56" spans="1:34" ht="27" customHeight="1" x14ac:dyDescent="0.5">
      <c r="A56" s="366"/>
      <c r="B56" s="367"/>
      <c r="C56" s="389" t="s">
        <v>459</v>
      </c>
      <c r="D56" s="388" t="s">
        <v>460</v>
      </c>
      <c r="E56" s="387" t="s">
        <v>372</v>
      </c>
      <c r="F56" s="387" t="s">
        <v>372</v>
      </c>
      <c r="G56" s="386">
        <v>11.4</v>
      </c>
      <c r="H56" s="379"/>
      <c r="I56" s="378"/>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row>
    <row r="57" spans="1:34" ht="27" customHeight="1" x14ac:dyDescent="0.5">
      <c r="A57" s="366"/>
      <c r="B57" s="367"/>
      <c r="C57" s="380"/>
      <c r="D57" s="376" t="s">
        <v>461</v>
      </c>
      <c r="E57" s="375" t="s">
        <v>372</v>
      </c>
      <c r="F57" s="375" t="s">
        <v>372</v>
      </c>
      <c r="G57" s="374">
        <v>11.4</v>
      </c>
      <c r="H57" s="379"/>
      <c r="I57" s="378"/>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366"/>
    </row>
    <row r="58" spans="1:34" ht="27" customHeight="1" thickBot="1" x14ac:dyDescent="0.55000000000000004">
      <c r="A58" s="366"/>
      <c r="B58" s="367"/>
      <c r="C58" s="385"/>
      <c r="D58" s="370" t="s">
        <v>462</v>
      </c>
      <c r="E58" s="369" t="s">
        <v>372</v>
      </c>
      <c r="F58" s="369" t="s">
        <v>372</v>
      </c>
      <c r="G58" s="368">
        <v>10.26</v>
      </c>
      <c r="H58" s="379"/>
      <c r="I58" s="378"/>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366"/>
    </row>
    <row r="59" spans="1:34" ht="27" customHeight="1" thickBot="1" x14ac:dyDescent="0.55000000000000004">
      <c r="A59" s="366"/>
      <c r="B59" s="367"/>
      <c r="C59" s="393" t="s">
        <v>463</v>
      </c>
      <c r="D59" s="392" t="s">
        <v>464</v>
      </c>
      <c r="E59" s="391" t="s">
        <v>372</v>
      </c>
      <c r="F59" s="391" t="s">
        <v>372</v>
      </c>
      <c r="G59" s="390">
        <v>15</v>
      </c>
      <c r="H59" s="379"/>
      <c r="I59" s="378"/>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row>
    <row r="60" spans="1:34" ht="27" customHeight="1" x14ac:dyDescent="0.5">
      <c r="A60" s="366"/>
      <c r="B60" s="367"/>
      <c r="C60" s="384" t="s">
        <v>465</v>
      </c>
      <c r="D60" s="383" t="s">
        <v>466</v>
      </c>
      <c r="E60" s="382"/>
      <c r="F60" s="382" t="s">
        <v>372</v>
      </c>
      <c r="G60" s="381">
        <v>22.8</v>
      </c>
      <c r="H60" s="379"/>
      <c r="I60" s="378"/>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row>
    <row r="61" spans="1:34" ht="27" customHeight="1" x14ac:dyDescent="0.5">
      <c r="A61" s="366"/>
      <c r="B61" s="367"/>
      <c r="C61" s="377"/>
      <c r="D61" s="376" t="s">
        <v>467</v>
      </c>
      <c r="E61" s="375"/>
      <c r="F61" s="375" t="s">
        <v>372</v>
      </c>
      <c r="G61" s="374">
        <v>22.5</v>
      </c>
      <c r="H61" s="379"/>
      <c r="I61" s="378"/>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c r="AH61" s="366"/>
    </row>
    <row r="62" spans="1:34" ht="27" customHeight="1" thickBot="1" x14ac:dyDescent="0.55000000000000004">
      <c r="A62" s="366"/>
      <c r="B62" s="367"/>
      <c r="C62" s="397"/>
      <c r="D62" s="396" t="s">
        <v>468</v>
      </c>
      <c r="E62" s="395"/>
      <c r="F62" s="395" t="s">
        <v>372</v>
      </c>
      <c r="G62" s="394">
        <v>17.600000000000001</v>
      </c>
      <c r="H62" s="379"/>
      <c r="I62" s="378"/>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c r="AH62" s="366"/>
    </row>
    <row r="63" spans="1:34" ht="27" customHeight="1" thickBot="1" x14ac:dyDescent="0.55000000000000004">
      <c r="A63" s="366"/>
      <c r="B63" s="367"/>
      <c r="C63" s="393" t="s">
        <v>469</v>
      </c>
      <c r="D63" s="392" t="s">
        <v>469</v>
      </c>
      <c r="E63" s="391" t="s">
        <v>372</v>
      </c>
      <c r="F63" s="391" t="s">
        <v>372</v>
      </c>
      <c r="G63" s="390">
        <v>6.84</v>
      </c>
      <c r="H63" s="379"/>
      <c r="I63" s="378"/>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row>
    <row r="64" spans="1:34" ht="27" customHeight="1" x14ac:dyDescent="0.5">
      <c r="A64" s="366"/>
      <c r="B64" s="367"/>
      <c r="C64" s="384" t="s">
        <v>470</v>
      </c>
      <c r="D64" s="383" t="s">
        <v>471</v>
      </c>
      <c r="E64" s="382"/>
      <c r="F64" s="382" t="s">
        <v>372</v>
      </c>
      <c r="G64" s="381">
        <v>23.75</v>
      </c>
      <c r="H64" s="379"/>
      <c r="I64" s="378"/>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row>
    <row r="65" spans="1:34" ht="27" customHeight="1" x14ac:dyDescent="0.5">
      <c r="A65" s="366"/>
      <c r="B65" s="367"/>
      <c r="C65" s="380"/>
      <c r="D65" s="376" t="s">
        <v>472</v>
      </c>
      <c r="E65" s="375"/>
      <c r="F65" s="375" t="s">
        <v>372</v>
      </c>
      <c r="G65" s="374">
        <v>14.25</v>
      </c>
      <c r="H65" s="379"/>
      <c r="I65" s="378"/>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row>
    <row r="66" spans="1:34" ht="27" customHeight="1" x14ac:dyDescent="0.5">
      <c r="A66" s="366"/>
      <c r="B66" s="367"/>
      <c r="C66" s="377"/>
      <c r="D66" s="376" t="s">
        <v>473</v>
      </c>
      <c r="E66" s="375"/>
      <c r="F66" s="375" t="s">
        <v>372</v>
      </c>
      <c r="G66" s="374">
        <v>23.75</v>
      </c>
      <c r="H66" s="379"/>
      <c r="I66" s="378"/>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row>
    <row r="67" spans="1:34" ht="27" customHeight="1" x14ac:dyDescent="0.5">
      <c r="A67" s="366"/>
      <c r="B67" s="367"/>
      <c r="C67" s="377"/>
      <c r="D67" s="376" t="s">
        <v>474</v>
      </c>
      <c r="E67" s="375"/>
      <c r="F67" s="375" t="s">
        <v>372</v>
      </c>
      <c r="G67" s="374">
        <v>7.22</v>
      </c>
      <c r="H67" s="379"/>
      <c r="I67" s="378"/>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c r="AH67" s="366"/>
    </row>
    <row r="68" spans="1:34" ht="27" customHeight="1" x14ac:dyDescent="0.5">
      <c r="A68" s="366"/>
      <c r="B68" s="367"/>
      <c r="C68" s="377"/>
      <c r="D68" s="376" t="s">
        <v>475</v>
      </c>
      <c r="E68" s="375"/>
      <c r="F68" s="375" t="s">
        <v>372</v>
      </c>
      <c r="G68" s="374">
        <v>30</v>
      </c>
      <c r="H68" s="373"/>
      <c r="I68" s="372"/>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c r="AH68" s="366"/>
    </row>
    <row r="69" spans="1:34" ht="27" customHeight="1" thickBot="1" x14ac:dyDescent="0.55000000000000004">
      <c r="A69" s="366"/>
      <c r="B69" s="367"/>
      <c r="C69" s="371"/>
      <c r="D69" s="370" t="s">
        <v>476</v>
      </c>
      <c r="E69" s="369"/>
      <c r="F69" s="369" t="s">
        <v>372</v>
      </c>
      <c r="G69" s="368">
        <v>6.84</v>
      </c>
      <c r="H69" s="367"/>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row>
    <row r="70" spans="1:34" ht="27" customHeight="1" x14ac:dyDescent="0.5">
      <c r="A70" s="366"/>
      <c r="B70" s="367"/>
      <c r="C70" s="367"/>
      <c r="D70" s="367"/>
      <c r="E70" s="367"/>
      <c r="F70" s="367"/>
      <c r="G70" s="367"/>
      <c r="H70" s="367"/>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c r="AH70" s="366"/>
    </row>
    <row r="71" spans="1:34" ht="27" customHeight="1" x14ac:dyDescent="0.5">
      <c r="A71" s="366"/>
      <c r="B71" s="366"/>
      <c r="C71" s="366"/>
      <c r="D71" s="366"/>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c r="AH71" s="366"/>
    </row>
    <row r="72" spans="1:34" ht="27" customHeight="1" x14ac:dyDescent="0.5">
      <c r="A72" s="366"/>
      <c r="B72" s="366"/>
      <c r="C72" s="366"/>
      <c r="D72" s="366"/>
      <c r="E72" s="366"/>
      <c r="F72" s="366"/>
      <c r="G72" s="366"/>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row>
    <row r="73" spans="1:34" ht="27" customHeight="1" x14ac:dyDescent="0.5">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4" ht="27" customHeight="1" x14ac:dyDescent="0.5">
      <c r="A74" s="366"/>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row>
    <row r="75" spans="1:34" ht="27" customHeight="1" x14ac:dyDescent="0.5">
      <c r="A75" s="366"/>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c r="AH75" s="366"/>
    </row>
    <row r="76" spans="1:34" ht="27" customHeight="1" x14ac:dyDescent="0.5">
      <c r="A76" s="366"/>
      <c r="B76" s="366"/>
      <c r="C76" s="366"/>
      <c r="D76" s="366"/>
      <c r="E76" s="366"/>
      <c r="F76" s="366"/>
      <c r="G76" s="366"/>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row>
    <row r="77" spans="1:34" ht="27" customHeight="1" x14ac:dyDescent="0.5">
      <c r="A77" s="366"/>
      <c r="B77" s="366"/>
      <c r="C77" s="366"/>
      <c r="D77" s="366"/>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c r="AH77" s="366"/>
    </row>
    <row r="78" spans="1:34" ht="27" customHeight="1" x14ac:dyDescent="0.5">
      <c r="A78" s="366"/>
      <c r="B78" s="366"/>
      <c r="C78" s="366"/>
      <c r="D78" s="366"/>
      <c r="E78" s="366"/>
      <c r="F78" s="366"/>
      <c r="G78" s="366"/>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c r="AH78" s="366"/>
    </row>
    <row r="79" spans="1:34" ht="27" customHeight="1" x14ac:dyDescent="0.5">
      <c r="A79" s="366"/>
      <c r="B79" s="366"/>
      <c r="C79" s="366"/>
      <c r="D79" s="366"/>
      <c r="E79" s="366"/>
      <c r="F79" s="366"/>
      <c r="G79" s="366"/>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c r="AH79" s="366"/>
    </row>
    <row r="80" spans="1:34" ht="27" customHeight="1" x14ac:dyDescent="0.5">
      <c r="A80" s="366"/>
      <c r="B80" s="366"/>
      <c r="C80" s="366"/>
      <c r="D80" s="366"/>
      <c r="E80" s="366"/>
      <c r="F80" s="366"/>
      <c r="G80" s="366"/>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c r="AH80" s="366"/>
    </row>
    <row r="81" spans="1:34" ht="27" customHeight="1" x14ac:dyDescent="0.5">
      <c r="A81" s="366"/>
      <c r="B81" s="366"/>
      <c r="C81" s="366"/>
      <c r="D81" s="366"/>
      <c r="E81" s="366"/>
      <c r="F81" s="366"/>
      <c r="G81" s="366"/>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c r="AH81" s="366"/>
    </row>
    <row r="82" spans="1:34" ht="27" customHeight="1" x14ac:dyDescent="0.5">
      <c r="A82" s="366"/>
      <c r="B82" s="366"/>
      <c r="C82" s="366"/>
      <c r="D82" s="366"/>
      <c r="E82" s="366"/>
      <c r="F82" s="366"/>
      <c r="G82" s="366"/>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c r="AH82" s="366"/>
    </row>
    <row r="83" spans="1:34" ht="27" customHeight="1" x14ac:dyDescent="0.5">
      <c r="A83" s="366"/>
      <c r="B83" s="366"/>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row>
    <row r="84" spans="1:34" ht="27" customHeight="1" x14ac:dyDescent="0.5">
      <c r="A84" s="366"/>
      <c r="B84" s="366"/>
      <c r="C84" s="366"/>
      <c r="D84" s="366"/>
      <c r="E84" s="366"/>
      <c r="F84" s="366"/>
      <c r="G84" s="366"/>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row>
    <row r="85" spans="1:34" ht="27" customHeight="1" x14ac:dyDescent="0.5">
      <c r="A85" s="366"/>
      <c r="B85" s="366"/>
      <c r="C85" s="366"/>
      <c r="D85" s="366"/>
      <c r="E85" s="366"/>
      <c r="F85" s="366"/>
      <c r="G85" s="366"/>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c r="AH85" s="366"/>
    </row>
    <row r="86" spans="1:34" ht="27" customHeight="1" x14ac:dyDescent="0.5">
      <c r="A86" s="366"/>
      <c r="B86" s="366"/>
      <c r="C86" s="366"/>
      <c r="D86" s="366"/>
      <c r="E86" s="366"/>
      <c r="F86" s="366"/>
      <c r="G86" s="366"/>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c r="AH86" s="366"/>
    </row>
    <row r="87" spans="1:34" ht="27" customHeight="1" x14ac:dyDescent="0.5">
      <c r="A87" s="366"/>
      <c r="B87" s="366"/>
      <c r="C87" s="366"/>
      <c r="D87" s="366"/>
      <c r="E87" s="366"/>
      <c r="F87" s="366"/>
      <c r="G87" s="366"/>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c r="AH87" s="366"/>
    </row>
    <row r="88" spans="1:34" ht="27" customHeight="1" x14ac:dyDescent="0.5">
      <c r="A88" s="366"/>
      <c r="B88" s="366"/>
      <c r="C88" s="366"/>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row>
    <row r="89" spans="1:34" ht="27" customHeight="1" x14ac:dyDescent="0.5">
      <c r="A89" s="366"/>
      <c r="B89" s="366"/>
      <c r="C89" s="366"/>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row>
    <row r="90" spans="1:34" ht="27" customHeight="1" x14ac:dyDescent="0.5">
      <c r="A90" s="366"/>
      <c r="B90" s="366"/>
      <c r="C90" s="366"/>
      <c r="D90" s="366"/>
      <c r="E90" s="366"/>
      <c r="F90" s="366"/>
      <c r="G90" s="366"/>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c r="AH90" s="366"/>
    </row>
    <row r="91" spans="1:34" ht="27" customHeight="1" x14ac:dyDescent="0.5">
      <c r="A91" s="366"/>
      <c r="B91" s="366"/>
      <c r="C91" s="366"/>
      <c r="D91" s="366"/>
      <c r="E91" s="366"/>
      <c r="F91" s="366"/>
      <c r="G91" s="366"/>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c r="AH91" s="366"/>
    </row>
    <row r="92" spans="1:34" ht="27" customHeight="1" x14ac:dyDescent="0.5">
      <c r="A92" s="366"/>
      <c r="B92" s="366"/>
      <c r="C92" s="366"/>
      <c r="D92" s="366"/>
      <c r="E92" s="366"/>
      <c r="F92" s="366"/>
      <c r="G92" s="366"/>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c r="AH92" s="366"/>
    </row>
    <row r="93" spans="1:34" ht="27" customHeight="1" x14ac:dyDescent="0.5">
      <c r="A93" s="366"/>
      <c r="B93" s="366"/>
      <c r="C93" s="366"/>
      <c r="D93" s="366"/>
      <c r="E93" s="366"/>
      <c r="F93" s="366"/>
      <c r="G93" s="366"/>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c r="AH93" s="366"/>
    </row>
    <row r="94" spans="1:34" ht="27" customHeight="1" x14ac:dyDescent="0.5">
      <c r="A94" s="366"/>
      <c r="B94" s="366"/>
      <c r="C94" s="366"/>
      <c r="D94" s="366"/>
      <c r="E94" s="366"/>
      <c r="F94" s="366"/>
      <c r="G94" s="366"/>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c r="AH94" s="366"/>
    </row>
    <row r="95" spans="1:34" ht="27" customHeight="1" x14ac:dyDescent="0.5">
      <c r="A95" s="366"/>
      <c r="B95" s="366"/>
      <c r="C95" s="366"/>
      <c r="D95" s="366"/>
      <c r="E95" s="366"/>
      <c r="F95" s="366"/>
      <c r="G95" s="366"/>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c r="AH95" s="366"/>
    </row>
    <row r="96" spans="1:34" ht="27" customHeight="1" x14ac:dyDescent="0.5">
      <c r="A96" s="366"/>
      <c r="B96" s="366"/>
      <c r="C96" s="366"/>
      <c r="D96" s="366"/>
      <c r="E96" s="366"/>
      <c r="F96" s="366"/>
      <c r="G96" s="366"/>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row>
    <row r="97" spans="1:34" ht="27" customHeight="1" x14ac:dyDescent="0.5">
      <c r="A97" s="366"/>
      <c r="B97" s="366"/>
      <c r="C97" s="366"/>
      <c r="D97" s="366"/>
      <c r="E97" s="366"/>
      <c r="F97" s="366"/>
      <c r="G97" s="366"/>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c r="AH97" s="366"/>
    </row>
    <row r="98" spans="1:34" ht="27" customHeight="1" x14ac:dyDescent="0.5">
      <c r="A98" s="366"/>
      <c r="B98" s="366"/>
      <c r="C98" s="366"/>
      <c r="D98" s="366"/>
      <c r="E98" s="366"/>
      <c r="F98" s="366"/>
      <c r="G98" s="366"/>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c r="AH98" s="366"/>
    </row>
    <row r="99" spans="1:34" ht="27" customHeight="1" x14ac:dyDescent="0.5">
      <c r="A99" s="366"/>
      <c r="B99" s="366"/>
      <c r="C99" s="366"/>
      <c r="D99" s="366"/>
      <c r="E99" s="366"/>
      <c r="F99" s="366"/>
      <c r="G99" s="366"/>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c r="AH99" s="366"/>
    </row>
    <row r="100" spans="1:34" ht="27" customHeight="1" x14ac:dyDescent="0.5">
      <c r="A100" s="366"/>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row>
    <row r="101" spans="1:34" ht="27" customHeight="1" x14ac:dyDescent="0.5">
      <c r="A101" s="366"/>
      <c r="B101" s="366"/>
      <c r="C101" s="366"/>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c r="AH101" s="366"/>
    </row>
    <row r="102" spans="1:34" ht="27" customHeight="1" x14ac:dyDescent="0.5">
      <c r="A102" s="366"/>
      <c r="B102" s="366"/>
      <c r="C102" s="366"/>
      <c r="D102" s="366"/>
      <c r="E102" s="366"/>
      <c r="F102" s="366"/>
      <c r="G102" s="366"/>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c r="AH102" s="366"/>
    </row>
    <row r="103" spans="1:34" ht="27" customHeight="1" x14ac:dyDescent="0.5">
      <c r="A103" s="366"/>
      <c r="B103" s="366"/>
      <c r="C103" s="366"/>
      <c r="D103" s="366"/>
      <c r="E103" s="366"/>
      <c r="F103" s="366"/>
      <c r="G103" s="366"/>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c r="AH103" s="366"/>
    </row>
    <row r="104" spans="1:34" ht="27" customHeight="1" x14ac:dyDescent="0.5">
      <c r="A104" s="366"/>
      <c r="B104" s="366"/>
      <c r="C104" s="366"/>
      <c r="D104" s="366"/>
      <c r="E104" s="366"/>
      <c r="F104" s="366"/>
      <c r="G104" s="366"/>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c r="AH104" s="366"/>
    </row>
    <row r="105" spans="1:34" ht="27" customHeight="1" x14ac:dyDescent="0.5">
      <c r="A105" s="366"/>
      <c r="B105" s="366"/>
      <c r="C105" s="366"/>
      <c r="D105" s="366"/>
      <c r="E105" s="366"/>
      <c r="F105" s="366"/>
      <c r="G105" s="366"/>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c r="AH105" s="366"/>
    </row>
    <row r="106" spans="1:34" ht="27" customHeight="1" x14ac:dyDescent="0.5">
      <c r="A106" s="366"/>
      <c r="B106" s="366"/>
      <c r="C106" s="366"/>
      <c r="D106" s="366"/>
      <c r="E106" s="366"/>
      <c r="F106" s="366"/>
      <c r="G106" s="366"/>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c r="AH106" s="366"/>
    </row>
    <row r="107" spans="1:34" ht="27" customHeight="1" x14ac:dyDescent="0.5">
      <c r="A107" s="366"/>
      <c r="B107" s="366"/>
      <c r="C107" s="366"/>
      <c r="D107" s="366"/>
      <c r="E107" s="366"/>
      <c r="F107" s="366"/>
      <c r="G107" s="366"/>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c r="AH107" s="366"/>
    </row>
    <row r="108" spans="1:34" ht="27" customHeight="1" x14ac:dyDescent="0.5">
      <c r="A108" s="366"/>
      <c r="B108" s="366"/>
      <c r="C108" s="366"/>
      <c r="D108" s="366"/>
      <c r="E108" s="366"/>
      <c r="F108" s="366"/>
      <c r="G108" s="366"/>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c r="AH108" s="366"/>
    </row>
    <row r="109" spans="1:34" ht="27" customHeight="1" x14ac:dyDescent="0.5">
      <c r="A109" s="366"/>
      <c r="B109" s="366"/>
      <c r="C109" s="366"/>
      <c r="D109" s="366"/>
      <c r="E109" s="366"/>
      <c r="F109" s="366"/>
      <c r="G109" s="366"/>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c r="AH109" s="366"/>
    </row>
    <row r="110" spans="1:34" ht="27" customHeight="1" x14ac:dyDescent="0.5">
      <c r="A110" s="366"/>
      <c r="B110" s="366"/>
      <c r="C110" s="366"/>
      <c r="D110" s="366"/>
      <c r="E110" s="366"/>
      <c r="F110" s="366"/>
      <c r="G110" s="366"/>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c r="AH110" s="366"/>
    </row>
    <row r="111" spans="1:34" ht="27" customHeight="1" x14ac:dyDescent="0.5">
      <c r="A111" s="366"/>
      <c r="B111" s="366"/>
      <c r="C111" s="366"/>
      <c r="D111" s="366"/>
      <c r="E111" s="366"/>
      <c r="F111" s="366"/>
      <c r="G111" s="366"/>
      <c r="H111" s="366"/>
      <c r="I111" s="366"/>
      <c r="J111" s="366"/>
      <c r="K111" s="366"/>
      <c r="L111" s="366"/>
      <c r="M111" s="366"/>
      <c r="N111" s="366"/>
      <c r="O111" s="366"/>
      <c r="P111" s="366"/>
      <c r="Q111" s="366"/>
      <c r="R111" s="366"/>
      <c r="S111" s="366"/>
      <c r="T111" s="366"/>
      <c r="U111" s="366"/>
      <c r="V111" s="366"/>
      <c r="W111" s="366"/>
      <c r="X111" s="366"/>
      <c r="Y111" s="366"/>
      <c r="Z111" s="366"/>
      <c r="AA111" s="366"/>
      <c r="AB111" s="366"/>
      <c r="AC111" s="366"/>
      <c r="AD111" s="366"/>
      <c r="AE111" s="366"/>
      <c r="AF111" s="366"/>
      <c r="AG111" s="366"/>
      <c r="AH111" s="366"/>
    </row>
    <row r="112" spans="1:34" ht="27" customHeight="1" x14ac:dyDescent="0.5">
      <c r="A112" s="366"/>
      <c r="B112" s="366"/>
      <c r="C112" s="366"/>
      <c r="D112" s="366"/>
      <c r="E112" s="366"/>
      <c r="F112" s="366"/>
      <c r="G112" s="366"/>
      <c r="H112" s="366"/>
      <c r="I112" s="366"/>
      <c r="J112" s="366"/>
      <c r="K112" s="366"/>
      <c r="L112" s="366"/>
      <c r="M112" s="366"/>
      <c r="N112" s="366"/>
      <c r="O112" s="366"/>
      <c r="P112" s="366"/>
      <c r="Q112" s="366"/>
      <c r="R112" s="366"/>
      <c r="S112" s="366"/>
      <c r="T112" s="366"/>
      <c r="U112" s="366"/>
      <c r="V112" s="366"/>
      <c r="W112" s="366"/>
      <c r="X112" s="366"/>
      <c r="Y112" s="366"/>
      <c r="Z112" s="366"/>
      <c r="AA112" s="366"/>
      <c r="AB112" s="366"/>
      <c r="AC112" s="366"/>
      <c r="AD112" s="366"/>
      <c r="AE112" s="366"/>
      <c r="AF112" s="366"/>
      <c r="AG112" s="366"/>
      <c r="AH112" s="366"/>
    </row>
    <row r="113" spans="1:34" ht="27" customHeight="1" x14ac:dyDescent="0.5">
      <c r="A113" s="366"/>
      <c r="B113" s="366"/>
      <c r="C113" s="366"/>
      <c r="D113" s="366"/>
      <c r="E113" s="366"/>
      <c r="F113" s="366"/>
      <c r="G113" s="366"/>
      <c r="H113" s="366"/>
      <c r="I113" s="366"/>
      <c r="J113" s="366"/>
      <c r="K113" s="366"/>
      <c r="L113" s="366"/>
      <c r="M113" s="366"/>
      <c r="N113" s="366"/>
      <c r="O113" s="366"/>
      <c r="P113" s="366"/>
      <c r="Q113" s="366"/>
      <c r="R113" s="366"/>
      <c r="S113" s="366"/>
      <c r="T113" s="366"/>
      <c r="U113" s="366"/>
      <c r="V113" s="366"/>
      <c r="W113" s="366"/>
      <c r="X113" s="366"/>
      <c r="Y113" s="366"/>
      <c r="Z113" s="366"/>
      <c r="AA113" s="366"/>
      <c r="AB113" s="366"/>
      <c r="AC113" s="366"/>
      <c r="AD113" s="366"/>
      <c r="AE113" s="366"/>
      <c r="AF113" s="366"/>
      <c r="AG113" s="366"/>
      <c r="AH113" s="366"/>
    </row>
    <row r="114" spans="1:34" ht="27" customHeight="1" x14ac:dyDescent="0.5">
      <c r="A114" s="366"/>
      <c r="B114" s="366"/>
      <c r="C114" s="366"/>
      <c r="D114" s="366"/>
      <c r="E114" s="366"/>
      <c r="F114" s="366"/>
      <c r="G114" s="366"/>
      <c r="H114" s="366"/>
      <c r="I114" s="366"/>
      <c r="J114" s="366"/>
      <c r="K114" s="366"/>
      <c r="L114" s="366"/>
      <c r="M114" s="366"/>
      <c r="N114" s="366"/>
      <c r="O114" s="366"/>
      <c r="P114" s="366"/>
      <c r="Q114" s="366"/>
      <c r="R114" s="366"/>
      <c r="S114" s="366"/>
      <c r="T114" s="366"/>
      <c r="U114" s="366"/>
      <c r="V114" s="366"/>
      <c r="W114" s="366"/>
      <c r="X114" s="366"/>
      <c r="Y114" s="366"/>
      <c r="Z114" s="366"/>
      <c r="AA114" s="366"/>
      <c r="AB114" s="366"/>
      <c r="AC114" s="366"/>
      <c r="AD114" s="366"/>
      <c r="AE114" s="366"/>
      <c r="AF114" s="366"/>
      <c r="AG114" s="366"/>
      <c r="AH114" s="366"/>
    </row>
    <row r="115" spans="1:34" ht="27" customHeight="1" x14ac:dyDescent="0.5">
      <c r="A115" s="366"/>
      <c r="B115" s="366"/>
      <c r="C115" s="366"/>
      <c r="D115" s="366"/>
      <c r="E115" s="366"/>
      <c r="F115" s="366"/>
      <c r="G115" s="366"/>
      <c r="H115" s="366"/>
      <c r="I115" s="366"/>
      <c r="J115" s="366"/>
      <c r="K115" s="366"/>
      <c r="L115" s="366"/>
      <c r="M115" s="366"/>
      <c r="N115" s="366"/>
      <c r="O115" s="366"/>
      <c r="P115" s="366"/>
      <c r="Q115" s="366"/>
      <c r="R115" s="366"/>
      <c r="S115" s="366"/>
      <c r="T115" s="366"/>
      <c r="U115" s="366"/>
      <c r="V115" s="366"/>
      <c r="W115" s="366"/>
      <c r="X115" s="366"/>
      <c r="Y115" s="366"/>
      <c r="Z115" s="366"/>
      <c r="AA115" s="366"/>
      <c r="AB115" s="366"/>
      <c r="AC115" s="366"/>
      <c r="AD115" s="366"/>
      <c r="AE115" s="366"/>
      <c r="AF115" s="366"/>
      <c r="AG115" s="366"/>
      <c r="AH115" s="366"/>
    </row>
    <row r="116" spans="1:34" ht="27" customHeight="1" x14ac:dyDescent="0.5">
      <c r="A116" s="366"/>
      <c r="B116" s="366"/>
      <c r="C116" s="366"/>
      <c r="D116" s="366"/>
      <c r="E116" s="366"/>
      <c r="F116" s="366"/>
      <c r="G116" s="366"/>
      <c r="H116" s="366"/>
      <c r="I116" s="366"/>
      <c r="J116" s="366"/>
      <c r="K116" s="366"/>
      <c r="L116" s="366"/>
      <c r="M116" s="366"/>
      <c r="N116" s="366"/>
      <c r="O116" s="366"/>
      <c r="P116" s="366"/>
      <c r="Q116" s="366"/>
      <c r="R116" s="366"/>
      <c r="S116" s="366"/>
      <c r="T116" s="366"/>
      <c r="U116" s="366"/>
      <c r="V116" s="366"/>
      <c r="W116" s="366"/>
      <c r="X116" s="366"/>
      <c r="Y116" s="366"/>
      <c r="Z116" s="366"/>
      <c r="AA116" s="366"/>
      <c r="AB116" s="366"/>
      <c r="AC116" s="366"/>
      <c r="AD116" s="366"/>
      <c r="AE116" s="366"/>
      <c r="AF116" s="366"/>
      <c r="AG116" s="366"/>
      <c r="AH116" s="366"/>
    </row>
    <row r="117" spans="1:34" ht="27" customHeight="1" x14ac:dyDescent="0.5">
      <c r="A117" s="366"/>
      <c r="B117" s="366"/>
      <c r="C117" s="366"/>
      <c r="D117" s="366"/>
      <c r="E117" s="366"/>
      <c r="F117" s="366"/>
      <c r="G117" s="366"/>
      <c r="H117" s="366"/>
      <c r="I117" s="366"/>
      <c r="J117" s="366"/>
      <c r="K117" s="366"/>
      <c r="L117" s="366"/>
      <c r="M117" s="366"/>
      <c r="N117" s="366"/>
      <c r="O117" s="366"/>
      <c r="P117" s="366"/>
      <c r="Q117" s="366"/>
      <c r="R117" s="366"/>
      <c r="S117" s="366"/>
      <c r="T117" s="366"/>
      <c r="U117" s="366"/>
      <c r="V117" s="366"/>
      <c r="W117" s="366"/>
      <c r="X117" s="366"/>
      <c r="Y117" s="366"/>
      <c r="Z117" s="366"/>
      <c r="AA117" s="366"/>
      <c r="AB117" s="366"/>
      <c r="AC117" s="366"/>
      <c r="AD117" s="366"/>
      <c r="AE117" s="366"/>
      <c r="AF117" s="366"/>
      <c r="AG117" s="366"/>
      <c r="AH117" s="366"/>
    </row>
    <row r="118" spans="1:34" ht="27" customHeight="1" x14ac:dyDescent="0.5">
      <c r="A118" s="366"/>
      <c r="B118" s="366"/>
      <c r="C118" s="366"/>
      <c r="D118" s="366"/>
      <c r="E118" s="366"/>
      <c r="F118" s="366"/>
      <c r="G118" s="366"/>
      <c r="H118" s="366"/>
      <c r="I118" s="366"/>
      <c r="J118" s="366"/>
      <c r="K118" s="366"/>
      <c r="L118" s="366"/>
      <c r="M118" s="366"/>
      <c r="N118" s="366"/>
      <c r="O118" s="366"/>
      <c r="P118" s="366"/>
      <c r="Q118" s="366"/>
      <c r="R118" s="366"/>
      <c r="S118" s="366"/>
      <c r="T118" s="366"/>
      <c r="U118" s="366"/>
      <c r="V118" s="366"/>
      <c r="W118" s="366"/>
      <c r="X118" s="366"/>
      <c r="Y118" s="366"/>
      <c r="Z118" s="366"/>
      <c r="AA118" s="366"/>
      <c r="AB118" s="366"/>
      <c r="AC118" s="366"/>
      <c r="AD118" s="366"/>
      <c r="AE118" s="366"/>
      <c r="AF118" s="366"/>
      <c r="AG118" s="366"/>
      <c r="AH118" s="366"/>
    </row>
    <row r="119" spans="1:34" ht="27" customHeight="1" x14ac:dyDescent="0.5">
      <c r="A119" s="366"/>
      <c r="B119" s="366"/>
      <c r="C119" s="366"/>
      <c r="D119" s="366"/>
      <c r="E119" s="366"/>
      <c r="F119" s="366"/>
      <c r="G119" s="366"/>
      <c r="H119" s="366"/>
      <c r="I119" s="366"/>
      <c r="J119" s="366"/>
      <c r="K119" s="366"/>
      <c r="L119" s="366"/>
      <c r="M119" s="366"/>
      <c r="N119" s="366"/>
      <c r="O119" s="366"/>
      <c r="P119" s="366"/>
      <c r="Q119" s="366"/>
      <c r="R119" s="366"/>
      <c r="S119" s="366"/>
      <c r="T119" s="366"/>
      <c r="U119" s="366"/>
      <c r="V119" s="366"/>
      <c r="W119" s="366"/>
      <c r="X119" s="366"/>
      <c r="Y119" s="366"/>
      <c r="Z119" s="366"/>
      <c r="AA119" s="366"/>
      <c r="AB119" s="366"/>
      <c r="AC119" s="366"/>
      <c r="AD119" s="366"/>
      <c r="AE119" s="366"/>
      <c r="AF119" s="366"/>
      <c r="AG119" s="366"/>
      <c r="AH119" s="366"/>
    </row>
    <row r="120" spans="1:34" ht="27" customHeight="1" x14ac:dyDescent="0.5">
      <c r="A120" s="366"/>
      <c r="B120" s="366"/>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66"/>
      <c r="AD120" s="366"/>
      <c r="AE120" s="366"/>
      <c r="AF120" s="366"/>
      <c r="AG120" s="366"/>
      <c r="AH120" s="366"/>
    </row>
    <row r="121" spans="1:34" ht="27" customHeight="1" x14ac:dyDescent="0.5">
      <c r="A121" s="366"/>
      <c r="B121" s="366"/>
      <c r="C121" s="366"/>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366"/>
      <c r="AE121" s="366"/>
      <c r="AF121" s="366"/>
      <c r="AG121" s="366"/>
      <c r="AH121" s="366"/>
    </row>
    <row r="122" spans="1:34" ht="27" customHeight="1" x14ac:dyDescent="0.5">
      <c r="A122" s="366"/>
      <c r="B122" s="366"/>
      <c r="C122" s="366"/>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66"/>
      <c r="AE122" s="366"/>
      <c r="AF122" s="366"/>
      <c r="AG122" s="366"/>
      <c r="AH122" s="366"/>
    </row>
    <row r="123" spans="1:34" ht="27" customHeight="1" x14ac:dyDescent="0.5">
      <c r="A123" s="366"/>
      <c r="B123" s="366"/>
      <c r="C123" s="366"/>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row>
    <row r="124" spans="1:34" ht="27" customHeight="1" x14ac:dyDescent="0.5">
      <c r="A124" s="366"/>
      <c r="B124" s="366"/>
      <c r="C124" s="366"/>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66"/>
      <c r="AD124" s="366"/>
      <c r="AE124" s="366"/>
      <c r="AF124" s="366"/>
      <c r="AG124" s="366"/>
      <c r="AH124" s="366"/>
    </row>
    <row r="125" spans="1:34" ht="27" customHeight="1" x14ac:dyDescent="0.5">
      <c r="A125" s="366"/>
      <c r="B125" s="366"/>
      <c r="C125" s="366"/>
      <c r="D125" s="366"/>
      <c r="E125" s="366"/>
      <c r="F125" s="366"/>
      <c r="G125" s="366"/>
      <c r="H125" s="366"/>
      <c r="I125" s="366"/>
      <c r="J125" s="366"/>
      <c r="K125" s="366"/>
      <c r="L125" s="366"/>
      <c r="M125" s="366"/>
      <c r="N125" s="366"/>
      <c r="O125" s="366"/>
      <c r="P125" s="366"/>
      <c r="Q125" s="366"/>
      <c r="R125" s="366"/>
      <c r="S125" s="366"/>
      <c r="T125" s="366"/>
      <c r="U125" s="366"/>
      <c r="V125" s="366"/>
      <c r="W125" s="366"/>
      <c r="X125" s="366"/>
      <c r="Y125" s="366"/>
      <c r="Z125" s="366"/>
      <c r="AA125" s="366"/>
      <c r="AB125" s="366"/>
      <c r="AC125" s="366"/>
      <c r="AD125" s="366"/>
      <c r="AE125" s="366"/>
      <c r="AF125" s="366"/>
      <c r="AG125" s="366"/>
      <c r="AH125" s="366"/>
    </row>
    <row r="126" spans="1:34" ht="27" customHeight="1" x14ac:dyDescent="0.5">
      <c r="A126" s="366"/>
      <c r="B126" s="366"/>
      <c r="C126" s="366"/>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66"/>
      <c r="AE126" s="366"/>
      <c r="AF126" s="366"/>
      <c r="AG126" s="366"/>
      <c r="AH126" s="366"/>
    </row>
    <row r="127" spans="1:34" ht="27" customHeight="1" x14ac:dyDescent="0.5">
      <c r="A127" s="366"/>
      <c r="B127" s="366"/>
      <c r="C127" s="366"/>
      <c r="D127" s="366"/>
      <c r="E127" s="366"/>
      <c r="F127" s="366"/>
      <c r="G127" s="366"/>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row>
    <row r="128" spans="1:34" ht="27" customHeight="1" x14ac:dyDescent="0.5">
      <c r="A128" s="366"/>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66"/>
      <c r="AE128" s="366"/>
      <c r="AF128" s="366"/>
      <c r="AG128" s="366"/>
      <c r="AH128" s="366"/>
    </row>
    <row r="129" spans="1:34" ht="27" customHeight="1" x14ac:dyDescent="0.5">
      <c r="A129" s="366"/>
      <c r="B129" s="366"/>
      <c r="C129" s="366"/>
      <c r="D129" s="366"/>
      <c r="E129" s="366"/>
      <c r="F129" s="366"/>
      <c r="G129" s="366"/>
      <c r="H129" s="366"/>
      <c r="I129" s="366"/>
      <c r="J129" s="366"/>
      <c r="K129" s="366"/>
      <c r="L129" s="366"/>
      <c r="M129" s="366"/>
      <c r="N129" s="366"/>
      <c r="O129" s="366"/>
      <c r="P129" s="366"/>
      <c r="Q129" s="366"/>
      <c r="R129" s="366"/>
      <c r="S129" s="366"/>
      <c r="T129" s="366"/>
      <c r="U129" s="366"/>
      <c r="V129" s="366"/>
      <c r="W129" s="366"/>
      <c r="X129" s="366"/>
      <c r="Y129" s="366"/>
      <c r="Z129" s="366"/>
      <c r="AA129" s="366"/>
      <c r="AB129" s="366"/>
      <c r="AC129" s="366"/>
      <c r="AD129" s="366"/>
      <c r="AE129" s="366"/>
      <c r="AF129" s="366"/>
      <c r="AG129" s="366"/>
      <c r="AH129" s="366"/>
    </row>
    <row r="130" spans="1:34" ht="27" customHeight="1" x14ac:dyDescent="0.5">
      <c r="A130" s="366"/>
      <c r="B130" s="366"/>
      <c r="C130" s="366"/>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66"/>
      <c r="AE130" s="366"/>
      <c r="AF130" s="366"/>
      <c r="AG130" s="366"/>
      <c r="AH130" s="366"/>
    </row>
    <row r="131" spans="1:34" ht="27" customHeight="1" x14ac:dyDescent="0.5">
      <c r="A131" s="366"/>
      <c r="B131" s="366"/>
      <c r="C131" s="366"/>
      <c r="D131" s="366"/>
      <c r="E131" s="366"/>
      <c r="F131" s="366"/>
      <c r="G131" s="366"/>
      <c r="H131" s="366"/>
      <c r="I131" s="366"/>
      <c r="J131" s="366"/>
      <c r="K131" s="366"/>
      <c r="L131" s="366"/>
      <c r="M131" s="366"/>
      <c r="N131" s="366"/>
      <c r="O131" s="366"/>
      <c r="P131" s="366"/>
      <c r="Q131" s="366"/>
      <c r="R131" s="366"/>
      <c r="S131" s="366"/>
      <c r="T131" s="366"/>
      <c r="U131" s="366"/>
      <c r="V131" s="366"/>
      <c r="W131" s="366"/>
      <c r="X131" s="366"/>
      <c r="Y131" s="366"/>
      <c r="Z131" s="366"/>
      <c r="AA131" s="366"/>
      <c r="AB131" s="366"/>
      <c r="AC131" s="366"/>
      <c r="AD131" s="366"/>
      <c r="AE131" s="366"/>
      <c r="AF131" s="366"/>
      <c r="AG131" s="366"/>
      <c r="AH131" s="366"/>
    </row>
    <row r="132" spans="1:34" ht="27" customHeight="1" x14ac:dyDescent="0.5">
      <c r="A132" s="366"/>
      <c r="B132" s="366"/>
      <c r="C132" s="366"/>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row>
    <row r="133" spans="1:34" ht="27" customHeight="1" x14ac:dyDescent="0.5">
      <c r="A133" s="366"/>
      <c r="B133" s="366"/>
      <c r="C133" s="366"/>
      <c r="D133" s="366"/>
      <c r="E133" s="366"/>
      <c r="F133" s="366"/>
      <c r="G133" s="366"/>
      <c r="H133" s="366"/>
      <c r="I133" s="366"/>
      <c r="J133" s="366"/>
      <c r="K133" s="366"/>
      <c r="L133" s="366"/>
      <c r="M133" s="366"/>
      <c r="N133" s="366"/>
      <c r="O133" s="366"/>
      <c r="P133" s="366"/>
      <c r="Q133" s="366"/>
      <c r="R133" s="366"/>
      <c r="S133" s="366"/>
      <c r="T133" s="366"/>
      <c r="U133" s="366"/>
      <c r="V133" s="366"/>
      <c r="W133" s="366"/>
      <c r="X133" s="366"/>
      <c r="Y133" s="366"/>
      <c r="Z133" s="366"/>
      <c r="AA133" s="366"/>
      <c r="AB133" s="366"/>
      <c r="AC133" s="366"/>
      <c r="AD133" s="366"/>
      <c r="AE133" s="366"/>
      <c r="AF133" s="366"/>
      <c r="AG133" s="366"/>
      <c r="AH133" s="366"/>
    </row>
    <row r="134" spans="1:34" ht="27" customHeight="1" x14ac:dyDescent="0.5">
      <c r="A134" s="366"/>
      <c r="B134" s="366"/>
      <c r="C134" s="366"/>
      <c r="D134" s="366"/>
      <c r="E134" s="366"/>
      <c r="F134" s="366"/>
      <c r="G134" s="366"/>
      <c r="H134" s="366"/>
      <c r="I134" s="366"/>
      <c r="J134" s="366"/>
      <c r="K134" s="366"/>
      <c r="L134" s="366"/>
      <c r="M134" s="366"/>
      <c r="N134" s="366"/>
      <c r="O134" s="366"/>
      <c r="P134" s="366"/>
      <c r="Q134" s="366"/>
      <c r="R134" s="366"/>
      <c r="S134" s="366"/>
      <c r="T134" s="366"/>
      <c r="U134" s="366"/>
      <c r="V134" s="366"/>
      <c r="W134" s="366"/>
      <c r="X134" s="366"/>
      <c r="Y134" s="366"/>
      <c r="Z134" s="366"/>
      <c r="AA134" s="366"/>
      <c r="AB134" s="366"/>
      <c r="AC134" s="366"/>
      <c r="AD134" s="366"/>
      <c r="AE134" s="366"/>
      <c r="AF134" s="366"/>
      <c r="AG134" s="366"/>
      <c r="AH134" s="366"/>
    </row>
    <row r="135" spans="1:34" ht="27" customHeight="1" x14ac:dyDescent="0.5">
      <c r="A135" s="366"/>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row>
    <row r="136" spans="1:34" ht="27" customHeight="1" x14ac:dyDescent="0.5">
      <c r="A136" s="366"/>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row>
    <row r="137" spans="1:34" ht="27" customHeight="1" x14ac:dyDescent="0.5">
      <c r="A137" s="366"/>
      <c r="B137" s="366"/>
      <c r="C137" s="366"/>
      <c r="D137" s="366"/>
      <c r="E137" s="366"/>
      <c r="F137" s="366"/>
      <c r="G137" s="366"/>
      <c r="H137" s="366"/>
      <c r="I137" s="366"/>
      <c r="J137" s="366"/>
      <c r="K137" s="366"/>
      <c r="L137" s="366"/>
      <c r="M137" s="366"/>
      <c r="N137" s="366"/>
      <c r="O137" s="366"/>
      <c r="P137" s="366"/>
      <c r="Q137" s="366"/>
      <c r="R137" s="366"/>
      <c r="S137" s="366"/>
      <c r="T137" s="366"/>
      <c r="U137" s="366"/>
      <c r="V137" s="366"/>
      <c r="W137" s="366"/>
      <c r="X137" s="366"/>
      <c r="Y137" s="366"/>
      <c r="Z137" s="366"/>
      <c r="AA137" s="366"/>
      <c r="AB137" s="366"/>
      <c r="AC137" s="366"/>
      <c r="AD137" s="366"/>
      <c r="AE137" s="366"/>
      <c r="AF137" s="366"/>
      <c r="AG137" s="366"/>
      <c r="AH137" s="366"/>
    </row>
    <row r="138" spans="1:34" ht="27" customHeight="1" x14ac:dyDescent="0.5">
      <c r="A138" s="366"/>
      <c r="B138" s="366"/>
      <c r="C138" s="366"/>
      <c r="D138" s="366"/>
      <c r="E138" s="366"/>
      <c r="F138" s="366"/>
      <c r="G138" s="366"/>
      <c r="H138" s="366"/>
      <c r="I138" s="366"/>
      <c r="J138" s="366"/>
      <c r="K138" s="366"/>
      <c r="L138" s="366"/>
      <c r="M138" s="366"/>
      <c r="N138" s="366"/>
      <c r="O138" s="366"/>
      <c r="P138" s="366"/>
      <c r="Q138" s="366"/>
      <c r="R138" s="366"/>
      <c r="S138" s="366"/>
      <c r="T138" s="366"/>
      <c r="U138" s="366"/>
      <c r="V138" s="366"/>
      <c r="W138" s="366"/>
      <c r="X138" s="366"/>
      <c r="Y138" s="366"/>
      <c r="Z138" s="366"/>
      <c r="AA138" s="366"/>
      <c r="AB138" s="366"/>
      <c r="AC138" s="366"/>
      <c r="AD138" s="366"/>
      <c r="AE138" s="366"/>
      <c r="AF138" s="366"/>
      <c r="AG138" s="366"/>
      <c r="AH138" s="366"/>
    </row>
    <row r="139" spans="1:34" ht="27" customHeight="1" x14ac:dyDescent="0.5">
      <c r="A139" s="366"/>
      <c r="B139" s="366"/>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row>
    <row r="140" spans="1:34" ht="27" customHeight="1" x14ac:dyDescent="0.5">
      <c r="A140" s="366"/>
      <c r="B140" s="366"/>
      <c r="C140" s="366"/>
      <c r="D140" s="366"/>
      <c r="E140" s="366"/>
      <c r="F140" s="366"/>
      <c r="G140" s="366"/>
      <c r="H140" s="366"/>
      <c r="I140" s="366"/>
      <c r="J140" s="366"/>
      <c r="K140" s="366"/>
      <c r="L140" s="366"/>
      <c r="M140" s="366"/>
      <c r="N140" s="366"/>
      <c r="O140" s="366"/>
      <c r="P140" s="366"/>
      <c r="Q140" s="366"/>
      <c r="R140" s="366"/>
      <c r="S140" s="366"/>
      <c r="T140" s="366"/>
      <c r="U140" s="366"/>
      <c r="V140" s="366"/>
      <c r="W140" s="366"/>
      <c r="X140" s="366"/>
      <c r="Y140" s="366"/>
      <c r="Z140" s="366"/>
      <c r="AA140" s="366"/>
      <c r="AB140" s="366"/>
      <c r="AC140" s="366"/>
      <c r="AD140" s="366"/>
      <c r="AE140" s="366"/>
      <c r="AF140" s="366"/>
      <c r="AG140" s="366"/>
      <c r="AH140" s="366"/>
    </row>
    <row r="141" spans="1:34" ht="27" customHeight="1" x14ac:dyDescent="0.5">
      <c r="C141" s="366"/>
      <c r="D141" s="366"/>
      <c r="E141" s="366"/>
      <c r="F141" s="366"/>
      <c r="G141" s="366"/>
    </row>
  </sheetData>
  <sheetProtection algorithmName="SHA-512" hashValue="LI5V3YHSQiDj/tw/kgsuaX+3MDFY1OCK1dvqlfj8NGNu3NuDmxtzPJBRFnVVbaxUt4EoHiArNI83HoyOVFkY9g==" saltValue="WmnHgNK2iCj6QbACn3fa5Q=="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customProperties>
    <customPr name="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CEACF"/>
  </sheetPr>
  <dimension ref="A1:N146"/>
  <sheetViews>
    <sheetView topLeftCell="A7" zoomScale="80" zoomScaleNormal="80" workbookViewId="0">
      <selection activeCell="B23" sqref="B23"/>
    </sheetView>
  </sheetViews>
  <sheetFormatPr defaultColWidth="9.1796875" defaultRowHeight="13" x14ac:dyDescent="0.3"/>
  <cols>
    <col min="1" max="1" width="27.1796875" style="17" customWidth="1"/>
    <col min="2" max="3" width="27.81640625" style="24" customWidth="1"/>
    <col min="4" max="4" width="22.1796875" style="17" bestFit="1" customWidth="1"/>
    <col min="5" max="5" width="29.81640625" style="24" bestFit="1" customWidth="1"/>
    <col min="6" max="6" width="30.453125" style="24" bestFit="1" customWidth="1"/>
    <col min="7" max="7" width="43.1796875" style="24" customWidth="1"/>
    <col min="8" max="8" width="22.453125" style="24" customWidth="1"/>
    <col min="9" max="9" width="48" style="24" bestFit="1" customWidth="1"/>
    <col min="10" max="10" width="41.453125" style="24" bestFit="1" customWidth="1"/>
    <col min="11" max="11" width="17.453125" style="24" bestFit="1" customWidth="1"/>
    <col min="12" max="12" width="43.81640625" style="24" bestFit="1" customWidth="1"/>
    <col min="13" max="13" width="32.81640625" style="57" bestFit="1" customWidth="1"/>
    <col min="14" max="14" width="31.54296875" style="24" bestFit="1" customWidth="1"/>
    <col min="15" max="15" width="32.1796875" style="24" bestFit="1" customWidth="1"/>
    <col min="16" max="16" width="22.453125" style="24" bestFit="1" customWidth="1"/>
    <col min="17" max="17" width="24.1796875" style="24" bestFit="1" customWidth="1"/>
    <col min="18" max="18" width="24.453125" style="24" customWidth="1"/>
    <col min="19" max="19" width="31.453125" style="24" customWidth="1"/>
    <col min="20" max="16384" width="9.1796875" style="24"/>
  </cols>
  <sheetData>
    <row r="1" spans="1:14" x14ac:dyDescent="0.3">
      <c r="A1" s="56"/>
      <c r="B1" s="56"/>
    </row>
    <row r="2" spans="1:14" s="25" customFormat="1" ht="21" customHeight="1" x14ac:dyDescent="0.25">
      <c r="A2" s="58" t="s">
        <v>477</v>
      </c>
      <c r="B2" s="58" t="s">
        <v>478</v>
      </c>
      <c r="D2" s="59"/>
      <c r="E2" s="60"/>
      <c r="F2" s="60"/>
      <c r="G2" s="60"/>
      <c r="H2" s="60"/>
      <c r="K2" s="60" t="s">
        <v>479</v>
      </c>
      <c r="L2" s="60" t="s">
        <v>480</v>
      </c>
      <c r="M2" s="61" t="s">
        <v>481</v>
      </c>
      <c r="N2" s="60" t="s">
        <v>482</v>
      </c>
    </row>
    <row r="3" spans="1:14" ht="18.75" customHeight="1" x14ac:dyDescent="0.3">
      <c r="A3" s="24" t="s">
        <v>483</v>
      </c>
      <c r="B3" s="56" t="s">
        <v>484</v>
      </c>
      <c r="E3" s="57"/>
      <c r="K3" s="24" t="s">
        <v>71</v>
      </c>
      <c r="L3" s="24" t="s">
        <v>485</v>
      </c>
      <c r="M3" s="57">
        <f>'Project Compliance Tool'!D5</f>
        <v>0</v>
      </c>
      <c r="N3" s="24" t="str">
        <f>IF(ISERROR(VLOOKUP(M3,$K$3:$L$9,2,FALSE)),"",VLOOKUP(M3,$K$3:$L$9,2,FALSE))</f>
        <v/>
      </c>
    </row>
    <row r="4" spans="1:14" ht="18.75" customHeight="1" x14ac:dyDescent="0.3">
      <c r="A4" s="818" t="s">
        <v>396</v>
      </c>
      <c r="B4" s="56" t="s">
        <v>486</v>
      </c>
      <c r="E4" s="57"/>
      <c r="K4" s="24" t="s">
        <v>487</v>
      </c>
      <c r="L4" s="24" t="s">
        <v>488</v>
      </c>
    </row>
    <row r="5" spans="1:14" ht="18.75" customHeight="1" x14ac:dyDescent="0.3">
      <c r="A5" s="24" t="s">
        <v>489</v>
      </c>
      <c r="B5" s="56" t="s">
        <v>490</v>
      </c>
      <c r="D5" s="59" t="s">
        <v>491</v>
      </c>
      <c r="E5" s="60" t="s">
        <v>492</v>
      </c>
      <c r="F5" s="60" t="s">
        <v>478</v>
      </c>
      <c r="G5" s="60" t="s">
        <v>493</v>
      </c>
      <c r="H5" s="60" t="s">
        <v>494</v>
      </c>
      <c r="I5" s="25" t="s">
        <v>495</v>
      </c>
      <c r="K5" s="24" t="s">
        <v>496</v>
      </c>
      <c r="L5" s="24" t="s">
        <v>497</v>
      </c>
    </row>
    <row r="6" spans="1:14" ht="18.75" customHeight="1" x14ac:dyDescent="0.3">
      <c r="A6" s="24" t="s">
        <v>498</v>
      </c>
      <c r="B6" s="56" t="s">
        <v>499</v>
      </c>
      <c r="D6" s="17">
        <f>'Project Compliance Tool'!A12</f>
        <v>1</v>
      </c>
      <c r="E6" s="57">
        <f>'Project Compliance Tool'!H12</f>
        <v>0</v>
      </c>
      <c r="F6" s="24" t="str">
        <f t="shared" ref="F6:F37" si="0">IF(ISERROR(VLOOKUP(E6,$A$3:$B$20,2,FALSE)),"",VLOOKUP(E6,$A$3:$B$20,2,FALSE))</f>
        <v/>
      </c>
      <c r="G6" s="24">
        <f>'Project Compliance Tool'!I12</f>
        <v>0</v>
      </c>
      <c r="H6" s="24" t="str">
        <f t="shared" ref="H6:H12" ca="1" si="1">IF(AND(F6&lt;&gt;0,G6=0),"OK",IF(ISERROR(VLOOKUP(G6,INDIRECT(F6),1,FALSE)),"Work Type","OK"))</f>
        <v>OK</v>
      </c>
      <c r="I6" s="24">
        <f ca="1">IF(H6="OK",1,0)</f>
        <v>1</v>
      </c>
      <c r="K6" s="24" t="s">
        <v>74</v>
      </c>
      <c r="L6" s="24" t="s">
        <v>500</v>
      </c>
    </row>
    <row r="7" spans="1:14" ht="18.75" customHeight="1" x14ac:dyDescent="0.3">
      <c r="A7" s="818" t="s">
        <v>432</v>
      </c>
      <c r="B7" s="56" t="s">
        <v>501</v>
      </c>
      <c r="D7" s="17">
        <f>'Project Compliance Tool'!A13</f>
        <v>2</v>
      </c>
      <c r="E7" s="57">
        <f>'Project Compliance Tool'!H13</f>
        <v>0</v>
      </c>
      <c r="F7" s="24" t="str">
        <f t="shared" si="0"/>
        <v/>
      </c>
      <c r="G7" s="24">
        <f>'Project Compliance Tool'!I13</f>
        <v>0</v>
      </c>
      <c r="H7" s="24" t="str">
        <f t="shared" ca="1" si="1"/>
        <v>OK</v>
      </c>
      <c r="I7" s="24">
        <f t="shared" ref="I7:I55" ca="1" si="2">IF(H7="OK",1,0)</f>
        <v>1</v>
      </c>
      <c r="K7" s="24" t="s">
        <v>75</v>
      </c>
      <c r="L7" s="24" t="s">
        <v>75</v>
      </c>
    </row>
    <row r="8" spans="1:14" ht="18.75" customHeight="1" x14ac:dyDescent="0.3">
      <c r="A8" s="818" t="s">
        <v>502</v>
      </c>
      <c r="B8" s="56" t="s">
        <v>503</v>
      </c>
      <c r="D8" s="17">
        <f>'Project Compliance Tool'!A14</f>
        <v>3</v>
      </c>
      <c r="E8" s="57">
        <f>'Project Compliance Tool'!H14</f>
        <v>0</v>
      </c>
      <c r="F8" s="24" t="str">
        <f t="shared" si="0"/>
        <v/>
      </c>
      <c r="G8" s="24">
        <f>'Project Compliance Tool'!I14</f>
        <v>0</v>
      </c>
      <c r="H8" s="24" t="str">
        <f t="shared" ca="1" si="1"/>
        <v>OK</v>
      </c>
      <c r="I8" s="24">
        <f t="shared" ca="1" si="2"/>
        <v>1</v>
      </c>
      <c r="K8" s="24" t="s">
        <v>76</v>
      </c>
      <c r="L8" s="24" t="s">
        <v>504</v>
      </c>
    </row>
    <row r="9" spans="1:14" ht="18.75" customHeight="1" x14ac:dyDescent="0.3">
      <c r="A9" s="818" t="s">
        <v>505</v>
      </c>
      <c r="B9" s="56" t="s">
        <v>506</v>
      </c>
      <c r="D9" s="17">
        <f>'Project Compliance Tool'!A15</f>
        <v>4</v>
      </c>
      <c r="E9" s="57">
        <f>'Project Compliance Tool'!H15</f>
        <v>0</v>
      </c>
      <c r="F9" s="24" t="str">
        <f t="shared" si="0"/>
        <v/>
      </c>
      <c r="G9" s="24">
        <f>'Project Compliance Tool'!I15</f>
        <v>0</v>
      </c>
      <c r="H9" s="24" t="str">
        <f t="shared" ca="1" si="1"/>
        <v>OK</v>
      </c>
      <c r="I9" s="24">
        <f t="shared" ca="1" si="2"/>
        <v>1</v>
      </c>
      <c r="K9" s="24" t="s">
        <v>77</v>
      </c>
      <c r="L9" s="24" t="s">
        <v>507</v>
      </c>
    </row>
    <row r="10" spans="1:14" ht="18.75" customHeight="1" x14ac:dyDescent="0.3">
      <c r="A10" s="24" t="s">
        <v>446</v>
      </c>
      <c r="B10" s="56" t="s">
        <v>508</v>
      </c>
      <c r="D10" s="17">
        <f>'Project Compliance Tool'!A16</f>
        <v>5</v>
      </c>
      <c r="E10" s="57">
        <f>'Project Compliance Tool'!H16</f>
        <v>0</v>
      </c>
      <c r="F10" s="24" t="str">
        <f t="shared" si="0"/>
        <v/>
      </c>
      <c r="G10" s="24">
        <f>'Project Compliance Tool'!I16</f>
        <v>0</v>
      </c>
      <c r="H10" s="24" t="str">
        <f t="shared" ca="1" si="1"/>
        <v>OK</v>
      </c>
      <c r="I10" s="24">
        <f t="shared" ca="1" si="2"/>
        <v>1</v>
      </c>
    </row>
    <row r="11" spans="1:14" ht="18.75" customHeight="1" x14ac:dyDescent="0.3">
      <c r="A11" s="24" t="s">
        <v>452</v>
      </c>
      <c r="B11" s="56" t="s">
        <v>509</v>
      </c>
      <c r="D11" s="17">
        <f>'Project Compliance Tool'!A17</f>
        <v>6</v>
      </c>
      <c r="E11" s="57">
        <f>'Project Compliance Tool'!H17</f>
        <v>0</v>
      </c>
      <c r="F11" s="24" t="str">
        <f t="shared" si="0"/>
        <v/>
      </c>
      <c r="G11" s="24">
        <f>'Project Compliance Tool'!I17</f>
        <v>0</v>
      </c>
      <c r="H11" s="24" t="str">
        <f t="shared" ca="1" si="1"/>
        <v>OK</v>
      </c>
      <c r="I11" s="24">
        <f t="shared" ca="1" si="2"/>
        <v>1</v>
      </c>
    </row>
    <row r="12" spans="1:14" ht="18.75" customHeight="1" x14ac:dyDescent="0.3">
      <c r="A12" s="24" t="s">
        <v>370</v>
      </c>
      <c r="B12" s="24" t="s">
        <v>510</v>
      </c>
      <c r="D12" s="17">
        <f>'Project Compliance Tool'!A18</f>
        <v>7</v>
      </c>
      <c r="E12" s="57">
        <f>'Project Compliance Tool'!H18</f>
        <v>0</v>
      </c>
      <c r="F12" s="24" t="str">
        <f t="shared" si="0"/>
        <v/>
      </c>
      <c r="G12" s="24">
        <f>'Project Compliance Tool'!I18</f>
        <v>0</v>
      </c>
      <c r="H12" s="24" t="str">
        <f t="shared" ca="1" si="1"/>
        <v>OK</v>
      </c>
      <c r="I12" s="24">
        <f t="shared" ca="1" si="2"/>
        <v>1</v>
      </c>
    </row>
    <row r="13" spans="1:14" ht="18.75" customHeight="1" x14ac:dyDescent="0.3">
      <c r="A13" s="24" t="s">
        <v>66</v>
      </c>
      <c r="B13" s="56" t="s">
        <v>511</v>
      </c>
      <c r="D13" s="17">
        <f>'Project Compliance Tool'!A19</f>
        <v>8</v>
      </c>
      <c r="E13" s="57">
        <f>'Project Compliance Tool'!H19</f>
        <v>0</v>
      </c>
      <c r="F13" s="24" t="str">
        <f t="shared" si="0"/>
        <v/>
      </c>
      <c r="G13" s="24">
        <f>'Project Compliance Tool'!I19</f>
        <v>0</v>
      </c>
      <c r="H13" s="24" t="str">
        <f ca="1">IF(AND(F13&lt;&gt;0,G13=0),"OK",IF(ISERROR(VLOOKUP(G13,INDIRECT(F13),1,FALSE)),"Work Type","OK"))</f>
        <v>OK</v>
      </c>
      <c r="I13" s="24">
        <f t="shared" ca="1" si="2"/>
        <v>1</v>
      </c>
    </row>
    <row r="14" spans="1:14" ht="18.75" customHeight="1" x14ac:dyDescent="0.3">
      <c r="A14" s="24" t="s">
        <v>512</v>
      </c>
      <c r="B14" s="56" t="s">
        <v>513</v>
      </c>
      <c r="D14" s="17">
        <f>'Project Compliance Tool'!A20</f>
        <v>9</v>
      </c>
      <c r="E14" s="57">
        <f>'Project Compliance Tool'!H20</f>
        <v>0</v>
      </c>
      <c r="F14" s="24" t="str">
        <f t="shared" si="0"/>
        <v/>
      </c>
      <c r="G14" s="24">
        <f>'Project Compliance Tool'!I20</f>
        <v>0</v>
      </c>
      <c r="H14" s="24" t="str">
        <f t="shared" ref="H14:H55" ca="1" si="3">IF(AND(F14&lt;&gt;0,G14=0),"OK",IF(ISERROR(VLOOKUP(G14,INDIRECT(F14),1,FALSE)),"Work Type","OK"))</f>
        <v>OK</v>
      </c>
      <c r="I14" s="24">
        <f t="shared" ca="1" si="2"/>
        <v>1</v>
      </c>
    </row>
    <row r="15" spans="1:14" ht="18.75" customHeight="1" x14ac:dyDescent="0.3">
      <c r="A15" s="818" t="s">
        <v>514</v>
      </c>
      <c r="B15" s="56" t="s">
        <v>515</v>
      </c>
      <c r="D15" s="17">
        <f>'Project Compliance Tool'!A21</f>
        <v>10</v>
      </c>
      <c r="E15" s="57">
        <f>'Project Compliance Tool'!H21</f>
        <v>0</v>
      </c>
      <c r="F15" s="24" t="str">
        <f t="shared" si="0"/>
        <v/>
      </c>
      <c r="G15" s="24">
        <f>'Project Compliance Tool'!I21</f>
        <v>0</v>
      </c>
      <c r="H15" s="24" t="str">
        <f t="shared" ca="1" si="3"/>
        <v>OK</v>
      </c>
      <c r="I15" s="24">
        <f t="shared" ca="1" si="2"/>
        <v>1</v>
      </c>
    </row>
    <row r="16" spans="1:14" ht="18.75" customHeight="1" x14ac:dyDescent="0.3">
      <c r="A16" s="24" t="s">
        <v>516</v>
      </c>
      <c r="B16" s="56" t="s">
        <v>517</v>
      </c>
      <c r="D16" s="17">
        <f>'Project Compliance Tool'!A22</f>
        <v>11</v>
      </c>
      <c r="E16" s="57">
        <f>'Project Compliance Tool'!H22</f>
        <v>0</v>
      </c>
      <c r="F16" s="24" t="str">
        <f t="shared" si="0"/>
        <v/>
      </c>
      <c r="G16" s="24">
        <f>'Project Compliance Tool'!I22</f>
        <v>0</v>
      </c>
      <c r="H16" s="24" t="str">
        <f t="shared" ca="1" si="3"/>
        <v>OK</v>
      </c>
      <c r="I16" s="24">
        <f t="shared" ca="1" si="2"/>
        <v>1</v>
      </c>
    </row>
    <row r="17" spans="1:9" ht="18.75" customHeight="1" x14ac:dyDescent="0.3">
      <c r="A17" s="24" t="s">
        <v>518</v>
      </c>
      <c r="B17" s="56" t="s">
        <v>519</v>
      </c>
      <c r="D17" s="17">
        <f>'Project Compliance Tool'!A23</f>
        <v>12</v>
      </c>
      <c r="E17" s="57">
        <f>'Project Compliance Tool'!H23</f>
        <v>0</v>
      </c>
      <c r="F17" s="24" t="str">
        <f t="shared" si="0"/>
        <v/>
      </c>
      <c r="G17" s="24">
        <f>'Project Compliance Tool'!I23</f>
        <v>0</v>
      </c>
      <c r="H17" s="24" t="str">
        <f t="shared" ca="1" si="3"/>
        <v>OK</v>
      </c>
      <c r="I17" s="24">
        <f t="shared" ca="1" si="2"/>
        <v>1</v>
      </c>
    </row>
    <row r="18" spans="1:9" ht="18.75" customHeight="1" x14ac:dyDescent="0.3">
      <c r="A18" s="818" t="s">
        <v>520</v>
      </c>
      <c r="B18" s="56" t="s">
        <v>521</v>
      </c>
      <c r="D18" s="17">
        <f>'Project Compliance Tool'!A24</f>
        <v>13</v>
      </c>
      <c r="E18" s="57">
        <f>'Project Compliance Tool'!H24</f>
        <v>0</v>
      </c>
      <c r="F18" s="24" t="str">
        <f t="shared" si="0"/>
        <v/>
      </c>
      <c r="G18" s="24">
        <f>'Project Compliance Tool'!I24</f>
        <v>0</v>
      </c>
      <c r="H18" s="24" t="str">
        <f t="shared" ca="1" si="3"/>
        <v>OK</v>
      </c>
      <c r="I18" s="24">
        <f t="shared" ca="1" si="2"/>
        <v>1</v>
      </c>
    </row>
    <row r="19" spans="1:9" ht="18.75" customHeight="1" x14ac:dyDescent="0.3">
      <c r="A19" s="24" t="s">
        <v>522</v>
      </c>
      <c r="B19" s="56" t="s">
        <v>523</v>
      </c>
      <c r="D19" s="17">
        <f>'Project Compliance Tool'!A25</f>
        <v>14</v>
      </c>
      <c r="E19" s="57">
        <f>'Project Compliance Tool'!H25</f>
        <v>0</v>
      </c>
      <c r="F19" s="24" t="str">
        <f t="shared" si="0"/>
        <v/>
      </c>
      <c r="G19" s="24">
        <f>'Project Compliance Tool'!I25</f>
        <v>0</v>
      </c>
      <c r="H19" s="24" t="str">
        <f t="shared" ca="1" si="3"/>
        <v>OK</v>
      </c>
      <c r="I19" s="24">
        <f t="shared" ca="1" si="2"/>
        <v>1</v>
      </c>
    </row>
    <row r="20" spans="1:9" ht="18.75" customHeight="1" x14ac:dyDescent="0.3">
      <c r="A20" s="818" t="s">
        <v>470</v>
      </c>
      <c r="B20" s="56" t="s">
        <v>524</v>
      </c>
      <c r="D20" s="17">
        <f>'Project Compliance Tool'!A26</f>
        <v>15</v>
      </c>
      <c r="E20" s="57">
        <f>'Project Compliance Tool'!H26</f>
        <v>0</v>
      </c>
      <c r="F20" s="24" t="str">
        <f t="shared" si="0"/>
        <v/>
      </c>
      <c r="G20" s="24">
        <f>'Project Compliance Tool'!I26</f>
        <v>0</v>
      </c>
      <c r="H20" s="24" t="str">
        <f t="shared" ca="1" si="3"/>
        <v>OK</v>
      </c>
      <c r="I20" s="24">
        <f t="shared" ca="1" si="2"/>
        <v>1</v>
      </c>
    </row>
    <row r="21" spans="1:9" ht="18.75" customHeight="1" x14ac:dyDescent="0.3">
      <c r="A21" s="62"/>
      <c r="B21" s="56"/>
      <c r="D21" s="17">
        <f>'Project Compliance Tool'!A27</f>
        <v>16</v>
      </c>
      <c r="E21" s="57">
        <f>'Project Compliance Tool'!H27</f>
        <v>0</v>
      </c>
      <c r="F21" s="24" t="str">
        <f t="shared" si="0"/>
        <v/>
      </c>
      <c r="G21" s="24">
        <f>'Project Compliance Tool'!I27</f>
        <v>0</v>
      </c>
      <c r="H21" s="24" t="str">
        <f t="shared" ca="1" si="3"/>
        <v>OK</v>
      </c>
      <c r="I21" s="24">
        <f t="shared" ca="1" si="2"/>
        <v>1</v>
      </c>
    </row>
    <row r="22" spans="1:9" ht="18.75" customHeight="1" x14ac:dyDescent="0.3">
      <c r="A22" s="62"/>
      <c r="B22" s="56"/>
      <c r="D22" s="17">
        <f>'Project Compliance Tool'!A28</f>
        <v>17</v>
      </c>
      <c r="E22" s="57">
        <f>'Project Compliance Tool'!H28</f>
        <v>0</v>
      </c>
      <c r="F22" s="24" t="str">
        <f t="shared" si="0"/>
        <v/>
      </c>
      <c r="G22" s="24">
        <f>'Project Compliance Tool'!I28</f>
        <v>0</v>
      </c>
      <c r="H22" s="24" t="str">
        <f t="shared" ca="1" si="3"/>
        <v>OK</v>
      </c>
      <c r="I22" s="24">
        <f t="shared" ca="1" si="2"/>
        <v>1</v>
      </c>
    </row>
    <row r="23" spans="1:9" ht="18.75" customHeight="1" x14ac:dyDescent="0.3">
      <c r="A23" s="62"/>
      <c r="B23" s="56"/>
      <c r="D23" s="17">
        <f>'Project Compliance Tool'!A29</f>
        <v>18</v>
      </c>
      <c r="E23" s="57">
        <f>'Project Compliance Tool'!H29</f>
        <v>0</v>
      </c>
      <c r="F23" s="24" t="str">
        <f t="shared" si="0"/>
        <v/>
      </c>
      <c r="G23" s="24">
        <f>'Project Compliance Tool'!I29</f>
        <v>0</v>
      </c>
      <c r="H23" s="24" t="str">
        <f t="shared" ca="1" si="3"/>
        <v>OK</v>
      </c>
      <c r="I23" s="24">
        <f t="shared" ca="1" si="2"/>
        <v>1</v>
      </c>
    </row>
    <row r="24" spans="1:9" ht="18.75" customHeight="1" x14ac:dyDescent="0.3">
      <c r="A24" s="62"/>
      <c r="B24" s="62"/>
      <c r="D24" s="17">
        <f>'Project Compliance Tool'!A30</f>
        <v>19</v>
      </c>
      <c r="E24" s="57">
        <f>'Project Compliance Tool'!H30</f>
        <v>0</v>
      </c>
      <c r="F24" s="24" t="str">
        <f t="shared" si="0"/>
        <v/>
      </c>
      <c r="G24" s="24">
        <f>'Project Compliance Tool'!I30</f>
        <v>0</v>
      </c>
      <c r="H24" s="24" t="str">
        <f t="shared" ca="1" si="3"/>
        <v>OK</v>
      </c>
      <c r="I24" s="24">
        <f t="shared" ca="1" si="2"/>
        <v>1</v>
      </c>
    </row>
    <row r="25" spans="1:9" ht="18.75" customHeight="1" x14ac:dyDescent="0.3">
      <c r="A25" s="62"/>
      <c r="B25" s="56"/>
      <c r="D25" s="17">
        <f>'Project Compliance Tool'!A31</f>
        <v>20</v>
      </c>
      <c r="E25" s="57">
        <f>'Project Compliance Tool'!H31</f>
        <v>0</v>
      </c>
      <c r="F25" s="24" t="str">
        <f t="shared" si="0"/>
        <v/>
      </c>
      <c r="G25" s="24">
        <f>'Project Compliance Tool'!I31</f>
        <v>0</v>
      </c>
      <c r="H25" s="24" t="str">
        <f t="shared" ca="1" si="3"/>
        <v>OK</v>
      </c>
      <c r="I25" s="24">
        <f t="shared" ca="1" si="2"/>
        <v>1</v>
      </c>
    </row>
    <row r="26" spans="1:9" ht="18.75" customHeight="1" x14ac:dyDescent="0.3">
      <c r="A26" s="62"/>
      <c r="B26" s="56"/>
      <c r="D26" s="17">
        <f>'Project Compliance Tool'!A32</f>
        <v>21</v>
      </c>
      <c r="E26" s="57">
        <f>'Project Compliance Tool'!H32</f>
        <v>0</v>
      </c>
      <c r="F26" s="24" t="str">
        <f t="shared" si="0"/>
        <v/>
      </c>
      <c r="G26" s="24">
        <f>'Project Compliance Tool'!I32</f>
        <v>0</v>
      </c>
      <c r="H26" s="24" t="str">
        <f t="shared" ca="1" si="3"/>
        <v>OK</v>
      </c>
      <c r="I26" s="24">
        <f t="shared" ca="1" si="2"/>
        <v>1</v>
      </c>
    </row>
    <row r="27" spans="1:9" ht="18.75" customHeight="1" x14ac:dyDescent="0.3">
      <c r="A27" s="56"/>
      <c r="B27" s="56"/>
      <c r="D27" s="17">
        <f>'Project Compliance Tool'!A33</f>
        <v>22</v>
      </c>
      <c r="E27" s="57">
        <f>'Project Compliance Tool'!H33</f>
        <v>0</v>
      </c>
      <c r="F27" s="24" t="str">
        <f t="shared" si="0"/>
        <v/>
      </c>
      <c r="G27" s="24">
        <f>'Project Compliance Tool'!I33</f>
        <v>0</v>
      </c>
      <c r="H27" s="24" t="str">
        <f t="shared" ca="1" si="3"/>
        <v>OK</v>
      </c>
      <c r="I27" s="24">
        <f t="shared" ca="1" si="2"/>
        <v>1</v>
      </c>
    </row>
    <row r="28" spans="1:9" ht="18.75" customHeight="1" x14ac:dyDescent="0.3">
      <c r="A28" s="56"/>
      <c r="B28" s="56"/>
      <c r="D28" s="17">
        <f>'Project Compliance Tool'!A34</f>
        <v>23</v>
      </c>
      <c r="E28" s="57">
        <f>'Project Compliance Tool'!H34</f>
        <v>0</v>
      </c>
      <c r="F28" s="24" t="str">
        <f t="shared" si="0"/>
        <v/>
      </c>
      <c r="G28" s="24">
        <f>'Project Compliance Tool'!I34</f>
        <v>0</v>
      </c>
      <c r="H28" s="24" t="str">
        <f t="shared" ca="1" si="3"/>
        <v>OK</v>
      </c>
      <c r="I28" s="24">
        <f t="shared" ca="1" si="2"/>
        <v>1</v>
      </c>
    </row>
    <row r="29" spans="1:9" ht="18.75" customHeight="1" x14ac:dyDescent="0.3">
      <c r="A29" s="56"/>
      <c r="B29" s="56"/>
      <c r="D29" s="17">
        <f>'Project Compliance Tool'!A35</f>
        <v>24</v>
      </c>
      <c r="E29" s="57">
        <f>'Project Compliance Tool'!H35</f>
        <v>0</v>
      </c>
      <c r="F29" s="24" t="str">
        <f t="shared" si="0"/>
        <v/>
      </c>
      <c r="G29" s="24">
        <f>'Project Compliance Tool'!I35</f>
        <v>0</v>
      </c>
      <c r="H29" s="24" t="str">
        <f t="shared" ca="1" si="3"/>
        <v>OK</v>
      </c>
      <c r="I29" s="24">
        <f t="shared" ca="1" si="2"/>
        <v>1</v>
      </c>
    </row>
    <row r="30" spans="1:9" ht="18.75" customHeight="1" x14ac:dyDescent="0.3">
      <c r="A30" s="56"/>
      <c r="B30" s="56"/>
      <c r="D30" s="17">
        <f>'Project Compliance Tool'!A36</f>
        <v>25</v>
      </c>
      <c r="E30" s="57">
        <f>'Project Compliance Tool'!H36</f>
        <v>0</v>
      </c>
      <c r="F30" s="24" t="str">
        <f t="shared" si="0"/>
        <v/>
      </c>
      <c r="G30" s="24">
        <f>'Project Compliance Tool'!I36</f>
        <v>0</v>
      </c>
      <c r="H30" s="24" t="str">
        <f t="shared" ca="1" si="3"/>
        <v>OK</v>
      </c>
      <c r="I30" s="24">
        <f t="shared" ca="1" si="2"/>
        <v>1</v>
      </c>
    </row>
    <row r="31" spans="1:9" ht="18.75" customHeight="1" x14ac:dyDescent="0.3">
      <c r="A31" s="56"/>
      <c r="B31" s="56"/>
      <c r="D31" s="17">
        <f>'Project Compliance Tool'!A37</f>
        <v>26</v>
      </c>
      <c r="E31" s="57">
        <f>'Project Compliance Tool'!H37</f>
        <v>0</v>
      </c>
      <c r="F31" s="24" t="str">
        <f t="shared" si="0"/>
        <v/>
      </c>
      <c r="G31" s="24">
        <f>'Project Compliance Tool'!I37</f>
        <v>0</v>
      </c>
      <c r="H31" s="24" t="str">
        <f t="shared" ca="1" si="3"/>
        <v>OK</v>
      </c>
      <c r="I31" s="24">
        <f t="shared" ca="1" si="2"/>
        <v>1</v>
      </c>
    </row>
    <row r="32" spans="1:9" ht="18.75" customHeight="1" x14ac:dyDescent="0.3">
      <c r="A32" s="56"/>
      <c r="B32" s="56"/>
      <c r="D32" s="17">
        <f>'Project Compliance Tool'!A38</f>
        <v>27</v>
      </c>
      <c r="E32" s="57">
        <f>'Project Compliance Tool'!H38</f>
        <v>0</v>
      </c>
      <c r="F32" s="24" t="str">
        <f t="shared" si="0"/>
        <v/>
      </c>
      <c r="G32" s="24">
        <f>'Project Compliance Tool'!I38</f>
        <v>0</v>
      </c>
      <c r="H32" s="24" t="str">
        <f t="shared" ca="1" si="3"/>
        <v>OK</v>
      </c>
      <c r="I32" s="24">
        <f t="shared" ca="1" si="2"/>
        <v>1</v>
      </c>
    </row>
    <row r="33" spans="1:14" ht="18.75" customHeight="1" x14ac:dyDescent="0.3">
      <c r="A33" s="56"/>
      <c r="B33" s="56" t="s">
        <v>525</v>
      </c>
      <c r="D33" s="17">
        <f>'Project Compliance Tool'!A39</f>
        <v>28</v>
      </c>
      <c r="E33" s="57">
        <f>'Project Compliance Tool'!H39</f>
        <v>0</v>
      </c>
      <c r="F33" s="24" t="str">
        <f t="shared" si="0"/>
        <v/>
      </c>
      <c r="G33" s="24">
        <f>'Project Compliance Tool'!I39</f>
        <v>0</v>
      </c>
      <c r="H33" s="24" t="str">
        <f t="shared" ca="1" si="3"/>
        <v>OK</v>
      </c>
      <c r="I33" s="24">
        <f t="shared" ca="1" si="2"/>
        <v>1</v>
      </c>
    </row>
    <row r="34" spans="1:14" ht="18.75" customHeight="1" x14ac:dyDescent="0.3">
      <c r="D34" s="17">
        <f>'Project Compliance Tool'!A40</f>
        <v>29</v>
      </c>
      <c r="E34" s="57">
        <f>'Project Compliance Tool'!H40</f>
        <v>0</v>
      </c>
      <c r="F34" s="24" t="str">
        <f t="shared" si="0"/>
        <v/>
      </c>
      <c r="G34" s="24">
        <f>'Project Compliance Tool'!I40</f>
        <v>0</v>
      </c>
      <c r="H34" s="24" t="str">
        <f t="shared" ca="1" si="3"/>
        <v>OK</v>
      </c>
      <c r="I34" s="24">
        <f t="shared" ca="1" si="2"/>
        <v>1</v>
      </c>
      <c r="M34" s="24"/>
      <c r="N34" s="57"/>
    </row>
    <row r="35" spans="1:14" ht="18.75" customHeight="1" x14ac:dyDescent="0.3">
      <c r="D35" s="17">
        <f>'Project Compliance Tool'!A41</f>
        <v>30</v>
      </c>
      <c r="E35" s="57">
        <f>'Project Compliance Tool'!H41</f>
        <v>0</v>
      </c>
      <c r="F35" s="24" t="str">
        <f t="shared" si="0"/>
        <v/>
      </c>
      <c r="G35" s="24">
        <f>'Project Compliance Tool'!I41</f>
        <v>0</v>
      </c>
      <c r="H35" s="24" t="str">
        <f t="shared" ca="1" si="3"/>
        <v>OK</v>
      </c>
      <c r="I35" s="24">
        <f t="shared" ca="1" si="2"/>
        <v>1</v>
      </c>
      <c r="M35" s="24"/>
      <c r="N35" s="57"/>
    </row>
    <row r="36" spans="1:14" ht="18.75" customHeight="1" x14ac:dyDescent="0.3">
      <c r="D36" s="17">
        <f>'Project Compliance Tool'!A42</f>
        <v>31</v>
      </c>
      <c r="E36" s="57">
        <f>'Project Compliance Tool'!H42</f>
        <v>0</v>
      </c>
      <c r="F36" s="24" t="str">
        <f t="shared" si="0"/>
        <v/>
      </c>
      <c r="G36" s="24">
        <f>'Project Compliance Tool'!I42</f>
        <v>0</v>
      </c>
      <c r="H36" s="24" t="str">
        <f t="shared" ca="1" si="3"/>
        <v>OK</v>
      </c>
      <c r="I36" s="24">
        <f t="shared" ca="1" si="2"/>
        <v>1</v>
      </c>
      <c r="M36" s="24"/>
      <c r="N36" s="57"/>
    </row>
    <row r="37" spans="1:14" ht="18.75" customHeight="1" x14ac:dyDescent="0.3">
      <c r="D37" s="17">
        <f>'Project Compliance Tool'!A43</f>
        <v>32</v>
      </c>
      <c r="E37" s="57">
        <f>'Project Compliance Tool'!H43</f>
        <v>0</v>
      </c>
      <c r="F37" s="24" t="str">
        <f t="shared" si="0"/>
        <v/>
      </c>
      <c r="G37" s="24">
        <f>'Project Compliance Tool'!I43</f>
        <v>0</v>
      </c>
      <c r="H37" s="24" t="str">
        <f t="shared" ca="1" si="3"/>
        <v>OK</v>
      </c>
      <c r="I37" s="24">
        <f t="shared" ca="1" si="2"/>
        <v>1</v>
      </c>
      <c r="M37" s="24"/>
      <c r="N37" s="57"/>
    </row>
    <row r="38" spans="1:14" ht="18.75" customHeight="1" x14ac:dyDescent="0.3">
      <c r="D38" s="17">
        <f>'Project Compliance Tool'!A44</f>
        <v>33</v>
      </c>
      <c r="E38" s="57">
        <f>'Project Compliance Tool'!H44</f>
        <v>0</v>
      </c>
      <c r="F38" s="24" t="str">
        <f t="shared" ref="F38:F55" si="4">IF(ISERROR(VLOOKUP(E38,$A$3:$B$20,2,FALSE)),"",VLOOKUP(E38,$A$3:$B$20,2,FALSE))</f>
        <v/>
      </c>
      <c r="G38" s="24">
        <f>'Project Compliance Tool'!I44</f>
        <v>0</v>
      </c>
      <c r="H38" s="24" t="str">
        <f t="shared" ca="1" si="3"/>
        <v>OK</v>
      </c>
      <c r="I38" s="24">
        <f t="shared" ca="1" si="2"/>
        <v>1</v>
      </c>
      <c r="M38" s="24"/>
      <c r="N38" s="57"/>
    </row>
    <row r="39" spans="1:14" ht="18.75" customHeight="1" x14ac:dyDescent="0.3">
      <c r="D39" s="17">
        <f>'Project Compliance Tool'!A45</f>
        <v>34</v>
      </c>
      <c r="E39" s="57">
        <f>'Project Compliance Tool'!H45</f>
        <v>0</v>
      </c>
      <c r="F39" s="24" t="str">
        <f t="shared" si="4"/>
        <v/>
      </c>
      <c r="G39" s="24">
        <f>'Project Compliance Tool'!I45</f>
        <v>0</v>
      </c>
      <c r="H39" s="24" t="str">
        <f t="shared" ca="1" si="3"/>
        <v>OK</v>
      </c>
      <c r="I39" s="24">
        <f t="shared" ca="1" si="2"/>
        <v>1</v>
      </c>
      <c r="M39" s="24"/>
      <c r="N39" s="57"/>
    </row>
    <row r="40" spans="1:14" ht="18.75" customHeight="1" x14ac:dyDescent="0.3">
      <c r="D40" s="17">
        <f>'Project Compliance Tool'!A46</f>
        <v>35</v>
      </c>
      <c r="E40" s="57">
        <f>'Project Compliance Tool'!H46</f>
        <v>0</v>
      </c>
      <c r="F40" s="24" t="str">
        <f t="shared" si="4"/>
        <v/>
      </c>
      <c r="G40" s="24">
        <f>'Project Compliance Tool'!I46</f>
        <v>0</v>
      </c>
      <c r="H40" s="24" t="str">
        <f t="shared" ca="1" si="3"/>
        <v>OK</v>
      </c>
      <c r="I40" s="24">
        <f t="shared" ca="1" si="2"/>
        <v>1</v>
      </c>
      <c r="M40" s="24"/>
      <c r="N40" s="57"/>
    </row>
    <row r="41" spans="1:14" ht="18.75" customHeight="1" x14ac:dyDescent="0.3">
      <c r="D41" s="17">
        <f>'Project Compliance Tool'!A47</f>
        <v>36</v>
      </c>
      <c r="E41" s="57">
        <f>'Project Compliance Tool'!H47</f>
        <v>0</v>
      </c>
      <c r="F41" s="24" t="str">
        <f t="shared" si="4"/>
        <v/>
      </c>
      <c r="G41" s="24">
        <f>'Project Compliance Tool'!I47</f>
        <v>0</v>
      </c>
      <c r="H41" s="24" t="str">
        <f t="shared" ca="1" si="3"/>
        <v>OK</v>
      </c>
      <c r="I41" s="24">
        <f t="shared" ca="1" si="2"/>
        <v>1</v>
      </c>
      <c r="M41" s="24"/>
      <c r="N41" s="57"/>
    </row>
    <row r="42" spans="1:14" ht="18.75" customHeight="1" x14ac:dyDescent="0.3">
      <c r="D42" s="17">
        <f>'Project Compliance Tool'!A48</f>
        <v>37</v>
      </c>
      <c r="E42" s="57">
        <f>'Project Compliance Tool'!H48</f>
        <v>0</v>
      </c>
      <c r="F42" s="24" t="str">
        <f t="shared" si="4"/>
        <v/>
      </c>
      <c r="G42" s="24">
        <f>'Project Compliance Tool'!I48</f>
        <v>0</v>
      </c>
      <c r="H42" s="24" t="str">
        <f t="shared" ca="1" si="3"/>
        <v>OK</v>
      </c>
      <c r="I42" s="24">
        <f t="shared" ca="1" si="2"/>
        <v>1</v>
      </c>
      <c r="M42" s="24"/>
      <c r="N42" s="57"/>
    </row>
    <row r="43" spans="1:14" ht="18.75" customHeight="1" x14ac:dyDescent="0.3">
      <c r="D43" s="17">
        <f>'Project Compliance Tool'!A49</f>
        <v>38</v>
      </c>
      <c r="E43" s="57">
        <f>'Project Compliance Tool'!H49</f>
        <v>0</v>
      </c>
      <c r="F43" s="24" t="str">
        <f t="shared" si="4"/>
        <v/>
      </c>
      <c r="G43" s="24">
        <f>'Project Compliance Tool'!I49</f>
        <v>0</v>
      </c>
      <c r="H43" s="24" t="str">
        <f t="shared" ca="1" si="3"/>
        <v>OK</v>
      </c>
      <c r="I43" s="24">
        <f t="shared" ca="1" si="2"/>
        <v>1</v>
      </c>
      <c r="M43" s="24"/>
      <c r="N43" s="57"/>
    </row>
    <row r="44" spans="1:14" ht="18.75" customHeight="1" x14ac:dyDescent="0.3">
      <c r="D44" s="17">
        <f>'Project Compliance Tool'!A50</f>
        <v>39</v>
      </c>
      <c r="E44" s="57">
        <f>'Project Compliance Tool'!H50</f>
        <v>0</v>
      </c>
      <c r="F44" s="24" t="str">
        <f t="shared" si="4"/>
        <v/>
      </c>
      <c r="G44" s="24">
        <f>'Project Compliance Tool'!I50</f>
        <v>0</v>
      </c>
      <c r="H44" s="24" t="str">
        <f t="shared" ca="1" si="3"/>
        <v>OK</v>
      </c>
      <c r="I44" s="24">
        <f t="shared" ca="1" si="2"/>
        <v>1</v>
      </c>
      <c r="M44" s="24"/>
      <c r="N44" s="57"/>
    </row>
    <row r="45" spans="1:14" ht="18.75" customHeight="1" x14ac:dyDescent="0.3">
      <c r="D45" s="17">
        <f>'Project Compliance Tool'!A51</f>
        <v>40</v>
      </c>
      <c r="E45" s="57">
        <f>'Project Compliance Tool'!H51</f>
        <v>0</v>
      </c>
      <c r="F45" s="24" t="str">
        <f t="shared" si="4"/>
        <v/>
      </c>
      <c r="G45" s="24">
        <f>'Project Compliance Tool'!I51</f>
        <v>0</v>
      </c>
      <c r="H45" s="24" t="str">
        <f t="shared" ca="1" si="3"/>
        <v>OK</v>
      </c>
      <c r="I45" s="24">
        <f t="shared" ca="1" si="2"/>
        <v>1</v>
      </c>
      <c r="M45" s="24"/>
      <c r="N45" s="57"/>
    </row>
    <row r="46" spans="1:14" ht="18.75" customHeight="1" x14ac:dyDescent="0.3">
      <c r="D46" s="17">
        <f>'Project Compliance Tool'!A52</f>
        <v>41</v>
      </c>
      <c r="E46" s="57">
        <f>'Project Compliance Tool'!H52</f>
        <v>0</v>
      </c>
      <c r="F46" s="24" t="str">
        <f t="shared" si="4"/>
        <v/>
      </c>
      <c r="G46" s="24">
        <f>'Project Compliance Tool'!I52</f>
        <v>0</v>
      </c>
      <c r="H46" s="24" t="str">
        <f t="shared" ca="1" si="3"/>
        <v>OK</v>
      </c>
      <c r="I46" s="24">
        <f t="shared" ca="1" si="2"/>
        <v>1</v>
      </c>
      <c r="M46" s="24"/>
      <c r="N46" s="57"/>
    </row>
    <row r="47" spans="1:14" ht="18.75" customHeight="1" x14ac:dyDescent="0.3">
      <c r="D47" s="17">
        <f>'Project Compliance Tool'!A53</f>
        <v>42</v>
      </c>
      <c r="E47" s="57">
        <f>'Project Compliance Tool'!H53</f>
        <v>0</v>
      </c>
      <c r="F47" s="24" t="str">
        <f t="shared" si="4"/>
        <v/>
      </c>
      <c r="G47" s="24">
        <f>'Project Compliance Tool'!I53</f>
        <v>0</v>
      </c>
      <c r="H47" s="24" t="str">
        <f t="shared" ca="1" si="3"/>
        <v>OK</v>
      </c>
      <c r="I47" s="24">
        <f t="shared" ca="1" si="2"/>
        <v>1</v>
      </c>
      <c r="M47" s="24"/>
      <c r="N47" s="57"/>
    </row>
    <row r="48" spans="1:14" ht="18.75" customHeight="1" x14ac:dyDescent="0.3">
      <c r="D48" s="17">
        <f>'Project Compliance Tool'!A54</f>
        <v>43</v>
      </c>
      <c r="E48" s="57">
        <f>'Project Compliance Tool'!H54</f>
        <v>0</v>
      </c>
      <c r="F48" s="24" t="str">
        <f t="shared" si="4"/>
        <v/>
      </c>
      <c r="G48" s="24">
        <f>'Project Compliance Tool'!I54</f>
        <v>0</v>
      </c>
      <c r="H48" s="24" t="str">
        <f t="shared" ca="1" si="3"/>
        <v>OK</v>
      </c>
      <c r="I48" s="24">
        <f t="shared" ca="1" si="2"/>
        <v>1</v>
      </c>
      <c r="M48" s="24"/>
      <c r="N48" s="57"/>
    </row>
    <row r="49" spans="4:14" ht="18.75" customHeight="1" x14ac:dyDescent="0.3">
      <c r="D49" s="17">
        <f>'Project Compliance Tool'!A55</f>
        <v>44</v>
      </c>
      <c r="E49" s="57">
        <f>'Project Compliance Tool'!H55</f>
        <v>0</v>
      </c>
      <c r="F49" s="24" t="str">
        <f t="shared" si="4"/>
        <v/>
      </c>
      <c r="G49" s="24">
        <f>'Project Compliance Tool'!I55</f>
        <v>0</v>
      </c>
      <c r="H49" s="24" t="str">
        <f t="shared" ca="1" si="3"/>
        <v>OK</v>
      </c>
      <c r="I49" s="24">
        <f t="shared" ca="1" si="2"/>
        <v>1</v>
      </c>
      <c r="M49" s="24"/>
      <c r="N49" s="57"/>
    </row>
    <row r="50" spans="4:14" ht="18.75" customHeight="1" x14ac:dyDescent="0.3">
      <c r="D50" s="17">
        <f>'Project Compliance Tool'!A56</f>
        <v>45</v>
      </c>
      <c r="E50" s="57">
        <f>'Project Compliance Tool'!H56</f>
        <v>0</v>
      </c>
      <c r="F50" s="24" t="str">
        <f t="shared" si="4"/>
        <v/>
      </c>
      <c r="G50" s="24">
        <f>'Project Compliance Tool'!I56</f>
        <v>0</v>
      </c>
      <c r="H50" s="24" t="str">
        <f t="shared" ca="1" si="3"/>
        <v>OK</v>
      </c>
      <c r="I50" s="24">
        <f t="shared" ca="1" si="2"/>
        <v>1</v>
      </c>
      <c r="M50" s="24"/>
      <c r="N50" s="57"/>
    </row>
    <row r="51" spans="4:14" ht="18.75" customHeight="1" x14ac:dyDescent="0.3">
      <c r="D51" s="17">
        <f>'Project Compliance Tool'!A57</f>
        <v>46</v>
      </c>
      <c r="E51" s="57">
        <f>'Project Compliance Tool'!H57</f>
        <v>0</v>
      </c>
      <c r="F51" s="24" t="str">
        <f t="shared" si="4"/>
        <v/>
      </c>
      <c r="G51" s="24">
        <f>'Project Compliance Tool'!I57</f>
        <v>0</v>
      </c>
      <c r="H51" s="24" t="str">
        <f t="shared" ca="1" si="3"/>
        <v>OK</v>
      </c>
      <c r="I51" s="24">
        <f t="shared" ca="1" si="2"/>
        <v>1</v>
      </c>
      <c r="M51" s="24"/>
      <c r="N51" s="57"/>
    </row>
    <row r="52" spans="4:14" ht="18.75" customHeight="1" x14ac:dyDescent="0.3">
      <c r="D52" s="17">
        <f>'Project Compliance Tool'!A58</f>
        <v>47</v>
      </c>
      <c r="E52" s="57">
        <f>'Project Compliance Tool'!H58</f>
        <v>0</v>
      </c>
      <c r="F52" s="24" t="str">
        <f t="shared" si="4"/>
        <v/>
      </c>
      <c r="G52" s="24">
        <f>'Project Compliance Tool'!I58</f>
        <v>0</v>
      </c>
      <c r="H52" s="24" t="str">
        <f t="shared" ca="1" si="3"/>
        <v>OK</v>
      </c>
      <c r="I52" s="24">
        <f t="shared" ca="1" si="2"/>
        <v>1</v>
      </c>
      <c r="M52" s="24"/>
      <c r="N52" s="57"/>
    </row>
    <row r="53" spans="4:14" ht="18.75" customHeight="1" x14ac:dyDescent="0.3">
      <c r="D53" s="17">
        <f>'Project Compliance Tool'!A59</f>
        <v>48</v>
      </c>
      <c r="E53" s="57">
        <f>'Project Compliance Tool'!H59</f>
        <v>0</v>
      </c>
      <c r="F53" s="24" t="str">
        <f t="shared" si="4"/>
        <v/>
      </c>
      <c r="G53" s="24">
        <f>'Project Compliance Tool'!I59</f>
        <v>0</v>
      </c>
      <c r="H53" s="24" t="str">
        <f t="shared" ca="1" si="3"/>
        <v>OK</v>
      </c>
      <c r="I53" s="24">
        <f t="shared" ca="1" si="2"/>
        <v>1</v>
      </c>
      <c r="M53" s="24"/>
      <c r="N53" s="57"/>
    </row>
    <row r="54" spans="4:14" ht="18.75" customHeight="1" x14ac:dyDescent="0.3">
      <c r="D54" s="17">
        <f>'Project Compliance Tool'!A60</f>
        <v>49</v>
      </c>
      <c r="E54" s="57">
        <f>'Project Compliance Tool'!H60</f>
        <v>0</v>
      </c>
      <c r="F54" s="24" t="str">
        <f t="shared" si="4"/>
        <v/>
      </c>
      <c r="G54" s="24">
        <f>'Project Compliance Tool'!I60</f>
        <v>0</v>
      </c>
      <c r="H54" s="24" t="str">
        <f t="shared" ca="1" si="3"/>
        <v>OK</v>
      </c>
      <c r="I54" s="24">
        <f t="shared" ca="1" si="2"/>
        <v>1</v>
      </c>
      <c r="M54" s="24"/>
      <c r="N54" s="57"/>
    </row>
    <row r="55" spans="4:14" ht="18.75" customHeight="1" x14ac:dyDescent="0.3">
      <c r="D55" s="17">
        <f>'Project Compliance Tool'!A61</f>
        <v>50</v>
      </c>
      <c r="E55" s="57">
        <f>'Project Compliance Tool'!H61</f>
        <v>0</v>
      </c>
      <c r="F55" s="24" t="str">
        <f t="shared" si="4"/>
        <v/>
      </c>
      <c r="G55" s="24">
        <f>'Project Compliance Tool'!I61</f>
        <v>0</v>
      </c>
      <c r="H55" s="24" t="str">
        <f t="shared" ca="1" si="3"/>
        <v>OK</v>
      </c>
      <c r="I55" s="24">
        <f t="shared" ca="1" si="2"/>
        <v>1</v>
      </c>
      <c r="M55" s="24"/>
      <c r="N55" s="57"/>
    </row>
    <row r="56" spans="4:14" ht="18.75" customHeight="1" x14ac:dyDescent="0.3">
      <c r="E56" s="57"/>
      <c r="M56" s="24"/>
      <c r="N56" s="57"/>
    </row>
    <row r="57" spans="4:14" ht="18.75" customHeight="1" x14ac:dyDescent="0.3">
      <c r="E57" s="57"/>
      <c r="M57" s="24"/>
      <c r="N57" s="57"/>
    </row>
    <row r="58" spans="4:14" ht="18.75" customHeight="1" x14ac:dyDescent="0.3">
      <c r="E58" s="57"/>
      <c r="M58" s="24"/>
      <c r="N58" s="57"/>
    </row>
    <row r="59" spans="4:14" ht="18.75" customHeight="1" x14ac:dyDescent="0.3">
      <c r="E59" s="57"/>
      <c r="M59" s="24"/>
      <c r="N59" s="57"/>
    </row>
    <row r="60" spans="4:14" ht="18.75" customHeight="1" x14ac:dyDescent="0.3">
      <c r="E60" s="57"/>
      <c r="M60" s="24"/>
      <c r="N60" s="57"/>
    </row>
    <row r="61" spans="4:14" ht="18.75" customHeight="1" x14ac:dyDescent="0.3">
      <c r="E61" s="57"/>
      <c r="M61" s="24"/>
      <c r="N61" s="57"/>
    </row>
    <row r="62" spans="4:14" ht="18.75" customHeight="1" x14ac:dyDescent="0.3">
      <c r="E62" s="57"/>
      <c r="M62" s="24"/>
      <c r="N62" s="57"/>
    </row>
    <row r="63" spans="4:14" ht="18.75" customHeight="1" x14ac:dyDescent="0.3">
      <c r="E63" s="57"/>
      <c r="M63" s="24"/>
      <c r="N63" s="57"/>
    </row>
    <row r="64" spans="4:14" ht="18.75" customHeight="1" x14ac:dyDescent="0.3">
      <c r="E64" s="57"/>
      <c r="M64" s="24"/>
      <c r="N64" s="57"/>
    </row>
    <row r="65" spans="4:14" ht="18.75" customHeight="1" x14ac:dyDescent="0.3">
      <c r="E65" s="57"/>
      <c r="M65" s="24"/>
      <c r="N65" s="57"/>
    </row>
    <row r="66" spans="4:14" ht="18.75" customHeight="1" x14ac:dyDescent="0.3">
      <c r="E66" s="57"/>
      <c r="M66" s="24"/>
      <c r="N66" s="57"/>
    </row>
    <row r="67" spans="4:14" ht="18.75" customHeight="1" x14ac:dyDescent="0.3">
      <c r="E67" s="57"/>
      <c r="M67" s="24"/>
      <c r="N67" s="57"/>
    </row>
    <row r="68" spans="4:14" ht="18.75" customHeight="1" x14ac:dyDescent="0.3">
      <c r="E68" s="57"/>
      <c r="M68" s="24"/>
      <c r="N68" s="57"/>
    </row>
    <row r="69" spans="4:14" ht="18.75" customHeight="1" x14ac:dyDescent="0.3">
      <c r="E69" s="57"/>
      <c r="M69" s="24"/>
      <c r="N69" s="57"/>
    </row>
    <row r="70" spans="4:14" ht="18.75" customHeight="1" x14ac:dyDescent="0.3">
      <c r="E70" s="57"/>
      <c r="M70" s="24"/>
      <c r="N70" s="57"/>
    </row>
    <row r="71" spans="4:14" ht="18.75" customHeight="1" x14ac:dyDescent="0.35">
      <c r="D71" s="24"/>
      <c r="E71" s="541" t="s">
        <v>526</v>
      </c>
      <c r="F71" s="542" t="s">
        <v>527</v>
      </c>
      <c r="G71" s="542" t="s">
        <v>528</v>
      </c>
      <c r="M71" s="24"/>
      <c r="N71" s="57"/>
    </row>
    <row r="72" spans="4:14" ht="18.75" customHeight="1" x14ac:dyDescent="0.3">
      <c r="D72" s="24"/>
      <c r="E72" s="64" t="s">
        <v>27</v>
      </c>
      <c r="F72" s="64">
        <v>10</v>
      </c>
      <c r="G72" s="64">
        <v>350</v>
      </c>
      <c r="M72" s="24"/>
      <c r="N72" s="57"/>
    </row>
    <row r="73" spans="4:14" ht="18.75" customHeight="1" x14ac:dyDescent="0.3">
      <c r="D73" s="24"/>
      <c r="E73" s="64" t="s">
        <v>529</v>
      </c>
      <c r="F73" s="64">
        <v>10</v>
      </c>
      <c r="G73" s="64">
        <v>350</v>
      </c>
      <c r="M73" s="24"/>
      <c r="N73" s="57"/>
    </row>
    <row r="74" spans="4:14" ht="18.75" customHeight="1" x14ac:dyDescent="0.3">
      <c r="D74" s="24"/>
      <c r="E74" s="63"/>
      <c r="F74" s="63"/>
      <c r="G74" s="63"/>
      <c r="M74" s="24"/>
      <c r="N74" s="57"/>
    </row>
    <row r="75" spans="4:14" ht="18.75" customHeight="1" x14ac:dyDescent="0.3">
      <c r="D75" s="24"/>
      <c r="E75" s="63" t="s">
        <v>530</v>
      </c>
      <c r="F75" s="65" t="str">
        <f>'Project Compliance Tool'!Q65</f>
        <v/>
      </c>
      <c r="G75" s="66" t="str">
        <f>'Project Compliance Tool'!U65</f>
        <v/>
      </c>
      <c r="M75" s="24"/>
      <c r="N75" s="57"/>
    </row>
    <row r="76" spans="4:14" ht="18.75" customHeight="1" x14ac:dyDescent="0.3">
      <c r="D76" s="24"/>
      <c r="E76" s="63" t="s">
        <v>531</v>
      </c>
      <c r="F76" s="63" t="str">
        <f>IFERROR(VLOOKUP('Project Compliance Tool'!D4,E71:G73,2,FALSE),"")</f>
        <v/>
      </c>
      <c r="G76" s="63" t="str">
        <f>IFERROR(VLOOKUP('Project Compliance Tool'!D4,E71:G73,3,FALSE),"")</f>
        <v/>
      </c>
      <c r="M76" s="24"/>
      <c r="N76" s="57"/>
    </row>
    <row r="77" spans="4:14" ht="18.75" customHeight="1" x14ac:dyDescent="0.3">
      <c r="D77" s="63"/>
      <c r="E77" s="63" t="s">
        <v>532</v>
      </c>
      <c r="F77" s="63" t="str">
        <f>IF(F75&lt;=F76,"Compliant","Non-compliant")</f>
        <v>Compliant</v>
      </c>
      <c r="G77" s="63" t="str">
        <f>IF(G75&lt;=G76,"Compliant","Non-compliant")</f>
        <v>Compliant</v>
      </c>
      <c r="H77" s="63" t="str">
        <f>IF('Project Compliance Tool'!D4="","Select Programme",IF(AND(F77="Compliant",G77="Compliant"),"Compliant","Non-compliant"))</f>
        <v>Select Programme</v>
      </c>
      <c r="M77" s="24"/>
      <c r="N77" s="57"/>
    </row>
    <row r="78" spans="4:14" ht="18.75" customHeight="1" x14ac:dyDescent="0.3">
      <c r="D78" s="63"/>
      <c r="H78" s="63"/>
      <c r="M78" s="24"/>
      <c r="N78" s="57"/>
    </row>
    <row r="79" spans="4:14" ht="18.75" customHeight="1" x14ac:dyDescent="0.3">
      <c r="D79" s="63"/>
      <c r="H79" s="63"/>
      <c r="M79" s="24"/>
      <c r="N79" s="57"/>
    </row>
    <row r="80" spans="4:14" ht="18.75" customHeight="1" x14ac:dyDescent="0.3">
      <c r="D80" s="64" t="s">
        <v>27</v>
      </c>
      <c r="E80" s="24" t="s">
        <v>533</v>
      </c>
      <c r="F80" s="24" t="str">
        <f>IFERROR(VLOOKUP('Project Compliance Tool'!D4,'Extra look-up'!D80:E81,2,FALSE),"")</f>
        <v/>
      </c>
      <c r="G80" s="67" t="s">
        <v>73</v>
      </c>
      <c r="H80" s="67" t="s">
        <v>534</v>
      </c>
      <c r="I80" s="68" t="s">
        <v>535</v>
      </c>
      <c r="M80" s="24"/>
      <c r="N80" s="57"/>
    </row>
    <row r="81" spans="4:14" ht="18.75" customHeight="1" x14ac:dyDescent="0.3">
      <c r="D81" s="64" t="s">
        <v>529</v>
      </c>
      <c r="E81" s="17" t="s">
        <v>536</v>
      </c>
      <c r="G81" s="69" t="s">
        <v>72</v>
      </c>
      <c r="H81" s="69" t="s">
        <v>537</v>
      </c>
      <c r="I81" s="69" t="s">
        <v>538</v>
      </c>
      <c r="M81" s="24"/>
      <c r="N81" s="57"/>
    </row>
    <row r="82" spans="4:14" ht="18.75" customHeight="1" x14ac:dyDescent="0.3">
      <c r="G82" s="69" t="s">
        <v>74</v>
      </c>
      <c r="H82" s="69" t="s">
        <v>500</v>
      </c>
      <c r="I82" s="69"/>
      <c r="M82" s="24"/>
      <c r="N82" s="57"/>
    </row>
    <row r="83" spans="4:14" ht="18.75" customHeight="1" x14ac:dyDescent="0.3">
      <c r="G83" s="69" t="s">
        <v>75</v>
      </c>
      <c r="H83" s="69" t="s">
        <v>75</v>
      </c>
      <c r="I83" s="69"/>
    </row>
    <row r="84" spans="4:14" ht="18.75" customHeight="1" x14ac:dyDescent="0.3">
      <c r="E84" s="17"/>
      <c r="G84" s="69" t="s">
        <v>539</v>
      </c>
      <c r="H84" s="69" t="s">
        <v>540</v>
      </c>
      <c r="I84" s="69"/>
      <c r="M84" s="24"/>
      <c r="N84" s="57"/>
    </row>
    <row r="85" spans="4:14" ht="18.75" customHeight="1" x14ac:dyDescent="0.3">
      <c r="E85" s="17"/>
      <c r="G85" s="69" t="s">
        <v>541</v>
      </c>
      <c r="H85" s="69" t="s">
        <v>542</v>
      </c>
      <c r="I85" s="69"/>
      <c r="M85" s="24"/>
      <c r="N85" s="57"/>
    </row>
    <row r="86" spans="4:14" ht="18.75" customHeight="1" x14ac:dyDescent="0.3">
      <c r="G86" s="69" t="s">
        <v>77</v>
      </c>
      <c r="H86" s="69" t="s">
        <v>507</v>
      </c>
      <c r="I86" s="69"/>
    </row>
    <row r="87" spans="4:14" ht="18.75" customHeight="1" x14ac:dyDescent="0.3">
      <c r="G87" s="70" t="s">
        <v>73</v>
      </c>
      <c r="H87" s="70" t="s">
        <v>534</v>
      </c>
      <c r="I87" s="71" t="s">
        <v>543</v>
      </c>
    </row>
    <row r="88" spans="4:14" ht="18.75" customHeight="1" x14ac:dyDescent="0.3">
      <c r="G88" s="71" t="s">
        <v>72</v>
      </c>
      <c r="H88" s="71" t="s">
        <v>537</v>
      </c>
      <c r="I88" s="71"/>
    </row>
    <row r="89" spans="4:14" ht="18.75" customHeight="1" x14ac:dyDescent="0.3">
      <c r="E89" s="17"/>
      <c r="G89" s="71" t="s">
        <v>74</v>
      </c>
      <c r="H89" s="71" t="s">
        <v>500</v>
      </c>
      <c r="I89" s="71"/>
    </row>
    <row r="90" spans="4:14" ht="18.75" customHeight="1" x14ac:dyDescent="0.3">
      <c r="E90" s="17"/>
      <c r="G90" s="71" t="s">
        <v>75</v>
      </c>
      <c r="H90" s="71" t="s">
        <v>75</v>
      </c>
      <c r="I90" s="71"/>
    </row>
    <row r="91" spans="4:14" ht="18.75" customHeight="1" x14ac:dyDescent="0.3">
      <c r="E91" s="17"/>
      <c r="G91" s="71" t="s">
        <v>539</v>
      </c>
      <c r="H91" s="71" t="s">
        <v>540</v>
      </c>
      <c r="I91" s="71"/>
    </row>
    <row r="92" spans="4:14" ht="18.75" customHeight="1" x14ac:dyDescent="0.3">
      <c r="E92" s="17"/>
      <c r="G92" s="72" t="s">
        <v>541</v>
      </c>
      <c r="H92" s="72" t="s">
        <v>542</v>
      </c>
      <c r="I92" s="72" t="s">
        <v>544</v>
      </c>
    </row>
    <row r="93" spans="4:14" ht="18.75" customHeight="1" x14ac:dyDescent="0.3">
      <c r="G93" s="72" t="s">
        <v>77</v>
      </c>
      <c r="H93" s="72" t="s">
        <v>507</v>
      </c>
      <c r="I93" s="72"/>
    </row>
    <row r="94" spans="4:14" ht="18.75" customHeight="1" x14ac:dyDescent="0.3">
      <c r="G94" s="73" t="s">
        <v>73</v>
      </c>
      <c r="H94" s="73" t="s">
        <v>534</v>
      </c>
      <c r="I94" s="74" t="s">
        <v>545</v>
      </c>
    </row>
    <row r="95" spans="4:14" ht="18.75" customHeight="1" x14ac:dyDescent="0.3">
      <c r="G95" s="74" t="s">
        <v>74</v>
      </c>
      <c r="H95" s="74" t="s">
        <v>500</v>
      </c>
    </row>
    <row r="96" spans="4:14" ht="18.75" customHeight="1" x14ac:dyDescent="0.3">
      <c r="G96" s="74" t="s">
        <v>546</v>
      </c>
      <c r="H96" s="74" t="s">
        <v>542</v>
      </c>
    </row>
    <row r="97" spans="5:9" ht="18.75" customHeight="1" x14ac:dyDescent="0.3">
      <c r="G97" s="74" t="s">
        <v>547</v>
      </c>
      <c r="H97" s="74" t="s">
        <v>507</v>
      </c>
    </row>
    <row r="98" spans="5:9" ht="18.75" customHeight="1" x14ac:dyDescent="0.3">
      <c r="G98" s="75" t="s">
        <v>74</v>
      </c>
      <c r="H98" s="75" t="s">
        <v>500</v>
      </c>
      <c r="I98" s="75" t="s">
        <v>548</v>
      </c>
    </row>
    <row r="99" spans="5:9" ht="18.75" customHeight="1" x14ac:dyDescent="0.3">
      <c r="G99" s="75" t="s">
        <v>541</v>
      </c>
      <c r="H99" s="75" t="s">
        <v>542</v>
      </c>
      <c r="I99" s="75"/>
    </row>
    <row r="100" spans="5:9" ht="18.75" customHeight="1" x14ac:dyDescent="0.3">
      <c r="G100" s="75" t="s">
        <v>77</v>
      </c>
      <c r="H100" s="75" t="s">
        <v>507</v>
      </c>
      <c r="I100" s="76"/>
    </row>
    <row r="101" spans="5:9" ht="18.75" customHeight="1" x14ac:dyDescent="0.3">
      <c r="E101" s="17"/>
      <c r="G101" s="75" t="s">
        <v>539</v>
      </c>
      <c r="H101" s="75" t="s">
        <v>540</v>
      </c>
      <c r="I101" s="76"/>
    </row>
    <row r="102" spans="5:9" ht="18.75" customHeight="1" x14ac:dyDescent="0.3">
      <c r="E102" s="17"/>
      <c r="G102" s="75" t="s">
        <v>73</v>
      </c>
      <c r="H102" s="75" t="s">
        <v>534</v>
      </c>
      <c r="I102" s="75"/>
    </row>
    <row r="103" spans="5:9" ht="18.75" customHeight="1" x14ac:dyDescent="0.3">
      <c r="G103" s="77" t="s">
        <v>74</v>
      </c>
      <c r="H103" s="77" t="s">
        <v>500</v>
      </c>
      <c r="I103" s="77" t="s">
        <v>536</v>
      </c>
    </row>
    <row r="104" spans="5:9" ht="18.75" customHeight="1" x14ac:dyDescent="0.3">
      <c r="G104" s="77" t="s">
        <v>546</v>
      </c>
      <c r="H104" s="77" t="s">
        <v>542</v>
      </c>
      <c r="I104" s="77"/>
    </row>
    <row r="105" spans="5:9" ht="18.75" customHeight="1" x14ac:dyDescent="0.3">
      <c r="G105" s="77" t="s">
        <v>547</v>
      </c>
      <c r="H105" s="77" t="s">
        <v>507</v>
      </c>
      <c r="I105" s="77"/>
    </row>
    <row r="106" spans="5:9" ht="18.75" customHeight="1" x14ac:dyDescent="0.3">
      <c r="G106" s="77" t="s">
        <v>73</v>
      </c>
      <c r="H106" s="77" t="s">
        <v>534</v>
      </c>
      <c r="I106" s="77"/>
    </row>
    <row r="107" spans="5:9" ht="18.75" customHeight="1" x14ac:dyDescent="0.3">
      <c r="G107" s="78" t="s">
        <v>72</v>
      </c>
      <c r="H107" s="78" t="s">
        <v>537</v>
      </c>
      <c r="I107" s="78" t="s">
        <v>533</v>
      </c>
    </row>
    <row r="108" spans="5:9" ht="18.75" customHeight="1" x14ac:dyDescent="0.3">
      <c r="G108" s="78" t="s">
        <v>73</v>
      </c>
      <c r="H108" s="78" t="s">
        <v>534</v>
      </c>
      <c r="I108" s="78"/>
    </row>
    <row r="109" spans="5:9" ht="18.75" customHeight="1" x14ac:dyDescent="0.3">
      <c r="G109" s="78" t="s">
        <v>539</v>
      </c>
      <c r="H109" s="78" t="s">
        <v>540</v>
      </c>
      <c r="I109" s="78"/>
    </row>
    <row r="110" spans="5:9" ht="18.75" customHeight="1" x14ac:dyDescent="0.3">
      <c r="G110" s="78" t="s">
        <v>74</v>
      </c>
      <c r="H110" s="78" t="s">
        <v>500</v>
      </c>
      <c r="I110" s="78"/>
    </row>
    <row r="111" spans="5:9" ht="18.75" customHeight="1" x14ac:dyDescent="0.3">
      <c r="G111" s="78" t="s">
        <v>541</v>
      </c>
      <c r="H111" s="78" t="s">
        <v>542</v>
      </c>
      <c r="I111" s="78"/>
    </row>
    <row r="112" spans="5:9" ht="18.75" customHeight="1" x14ac:dyDescent="0.3">
      <c r="G112" s="78" t="s">
        <v>77</v>
      </c>
      <c r="H112" s="78" t="s">
        <v>507</v>
      </c>
      <c r="I112" s="78"/>
    </row>
    <row r="113" spans="4:9" ht="18.75" customHeight="1" x14ac:dyDescent="0.3">
      <c r="G113" s="78" t="s">
        <v>75</v>
      </c>
      <c r="H113" s="78" t="s">
        <v>75</v>
      </c>
      <c r="I113" s="78"/>
    </row>
    <row r="114" spans="4:9" ht="18.75" customHeight="1" x14ac:dyDescent="0.3">
      <c r="G114" s="331" t="s">
        <v>72</v>
      </c>
      <c r="H114" s="331" t="s">
        <v>537</v>
      </c>
      <c r="I114" s="331" t="s">
        <v>549</v>
      </c>
    </row>
    <row r="115" spans="4:9" ht="18.75" customHeight="1" x14ac:dyDescent="0.3">
      <c r="G115" s="331" t="s">
        <v>74</v>
      </c>
      <c r="H115" s="331" t="s">
        <v>500</v>
      </c>
      <c r="I115" s="331"/>
    </row>
    <row r="116" spans="4:9" ht="18.75" customHeight="1" x14ac:dyDescent="0.3">
      <c r="G116" s="331" t="s">
        <v>75</v>
      </c>
      <c r="H116" s="331" t="s">
        <v>75</v>
      </c>
      <c r="I116" s="331"/>
    </row>
    <row r="117" spans="4:9" ht="18.75" customHeight="1" x14ac:dyDescent="0.3">
      <c r="G117" s="331" t="s">
        <v>539</v>
      </c>
      <c r="H117" s="331" t="s">
        <v>540</v>
      </c>
      <c r="I117" s="331"/>
    </row>
    <row r="118" spans="4:9" ht="18.75" customHeight="1" x14ac:dyDescent="0.3">
      <c r="G118" s="331" t="s">
        <v>541</v>
      </c>
      <c r="H118" s="331" t="s">
        <v>542</v>
      </c>
      <c r="I118" s="331"/>
    </row>
    <row r="119" spans="4:9" ht="18.75" customHeight="1" x14ac:dyDescent="0.3">
      <c r="G119" s="331" t="s">
        <v>77</v>
      </c>
      <c r="H119" s="331" t="s">
        <v>507</v>
      </c>
      <c r="I119" s="331"/>
    </row>
    <row r="120" spans="4:9" ht="18.75" customHeight="1" x14ac:dyDescent="0.3"/>
    <row r="121" spans="4:9" ht="18.75" customHeight="1" x14ac:dyDescent="0.3">
      <c r="D121" s="17" t="s">
        <v>550</v>
      </c>
      <c r="E121" s="17" t="s">
        <v>551</v>
      </c>
      <c r="F121" s="24" t="s">
        <v>481</v>
      </c>
      <c r="G121" s="24" t="s">
        <v>481</v>
      </c>
      <c r="H121" s="60" t="s">
        <v>494</v>
      </c>
    </row>
    <row r="122" spans="4:9" ht="18.75" customHeight="1" x14ac:dyDescent="0.3">
      <c r="D122" s="17">
        <f>'Project Compliance Tool'!$D$4</f>
        <v>0</v>
      </c>
      <c r="E122" s="17" t="str">
        <f>IFERROR(VLOOKUP(D122,D80:E81,2,FALSE),"")</f>
        <v/>
      </c>
      <c r="F122" s="24">
        <f>'Project Compliance Tool'!$D$5</f>
        <v>0</v>
      </c>
      <c r="G122" s="24" t="e">
        <f>VLOOKUP(F122,G83:H116,2,FALSE)</f>
        <v>#N/A</v>
      </c>
      <c r="H122" s="24" t="str">
        <f ca="1">IF(OR(AND(E102=0,F102=0),AND(E102&lt;&gt;0,F102=0)),"OK",IF(ISERROR(VLOOKUP(F102,INDIRECT(E102),1,FALSE)),"Client Type","OK"))</f>
        <v>OK</v>
      </c>
    </row>
    <row r="123" spans="4:9" ht="18.75" customHeight="1" x14ac:dyDescent="0.3"/>
    <row r="124" spans="4:9" ht="18.75" customHeight="1" x14ac:dyDescent="0.3"/>
    <row r="125" spans="4:9" ht="18.75" customHeight="1" x14ac:dyDescent="0.3"/>
    <row r="126" spans="4:9" ht="18.75" customHeight="1" x14ac:dyDescent="0.3"/>
    <row r="127" spans="4:9" ht="18.75" customHeight="1" x14ac:dyDescent="0.3"/>
    <row r="128" spans="4:9" ht="18.75" customHeight="1" x14ac:dyDescent="0.3"/>
    <row r="129" ht="18.75" customHeight="1" x14ac:dyDescent="0.3"/>
    <row r="130" ht="18.75" customHeight="1" x14ac:dyDescent="0.3"/>
    <row r="131" ht="18.75" customHeight="1" x14ac:dyDescent="0.3"/>
    <row r="132" ht="18.75" customHeight="1" x14ac:dyDescent="0.3"/>
    <row r="133" ht="18.75" customHeight="1" x14ac:dyDescent="0.3"/>
    <row r="134" ht="18.75" customHeight="1" x14ac:dyDescent="0.3"/>
    <row r="135" ht="18.75" customHeight="1" x14ac:dyDescent="0.3"/>
    <row r="136" ht="18.75" customHeight="1" x14ac:dyDescent="0.3"/>
    <row r="137" ht="18.75" customHeight="1" x14ac:dyDescent="0.3"/>
    <row r="138" ht="18.75" customHeight="1" x14ac:dyDescent="0.3"/>
    <row r="139" ht="18.75" customHeight="1" x14ac:dyDescent="0.3"/>
    <row r="140" ht="18.75" customHeight="1" x14ac:dyDescent="0.3"/>
    <row r="141" ht="18.75" customHeight="1" x14ac:dyDescent="0.3"/>
    <row r="142" ht="18.75" customHeight="1" x14ac:dyDescent="0.3"/>
    <row r="143" ht="18.75" customHeight="1" x14ac:dyDescent="0.3"/>
    <row r="144" ht="18.75" customHeight="1" x14ac:dyDescent="0.3"/>
    <row r="145" ht="18.75" customHeight="1" x14ac:dyDescent="0.3"/>
    <row r="146" ht="18.75" customHeight="1" x14ac:dyDescent="0.3"/>
  </sheetData>
  <sheetProtection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ACEACF"/>
  </sheetPr>
  <dimension ref="B1:N91"/>
  <sheetViews>
    <sheetView showGridLines="0" topLeftCell="A12" zoomScale="80" zoomScaleNormal="80" workbookViewId="0">
      <selection activeCell="I57" sqref="I57"/>
    </sheetView>
  </sheetViews>
  <sheetFormatPr defaultColWidth="9.1796875" defaultRowHeight="15.5" x14ac:dyDescent="0.25"/>
  <cols>
    <col min="1" max="1" width="3.54296875" style="257" customWidth="1"/>
    <col min="2" max="2" width="34.81640625" style="258" customWidth="1"/>
    <col min="3" max="3" width="14.453125" style="257" customWidth="1"/>
    <col min="4" max="8" width="22.1796875" style="257" customWidth="1"/>
    <col min="9" max="9" width="122.54296875" style="259" customWidth="1"/>
    <col min="10" max="16384" width="9.1796875" style="257"/>
  </cols>
  <sheetData>
    <row r="1" spans="2:11" ht="16" thickBot="1" x14ac:dyDescent="0.3"/>
    <row r="2" spans="2:11" x14ac:dyDescent="0.25">
      <c r="B2" s="260"/>
      <c r="C2" s="261"/>
      <c r="D2" s="261"/>
      <c r="E2" s="261"/>
      <c r="F2" s="261"/>
      <c r="G2" s="261"/>
      <c r="H2" s="262"/>
    </row>
    <row r="3" spans="2:11" x14ac:dyDescent="0.25">
      <c r="B3" s="263"/>
      <c r="H3" s="264"/>
    </row>
    <row r="4" spans="2:11" x14ac:dyDescent="0.25">
      <c r="B4" s="265"/>
      <c r="C4" s="266"/>
      <c r="D4" s="266"/>
      <c r="E4" s="266"/>
      <c r="F4" s="266"/>
      <c r="G4" s="266"/>
      <c r="H4" s="267"/>
    </row>
    <row r="5" spans="2:11" ht="23.25" customHeight="1" x14ac:dyDescent="0.25">
      <c r="B5" s="964" t="s">
        <v>552</v>
      </c>
      <c r="C5" s="965"/>
      <c r="D5" s="965"/>
      <c r="E5" s="965"/>
      <c r="F5" s="965"/>
      <c r="G5" s="965"/>
      <c r="H5" s="966"/>
    </row>
    <row r="6" spans="2:11" x14ac:dyDescent="0.25">
      <c r="B6" s="268" t="s">
        <v>553</v>
      </c>
      <c r="H6" s="264"/>
    </row>
    <row r="7" spans="2:11" x14ac:dyDescent="0.25">
      <c r="B7" s="269"/>
      <c r="H7" s="264"/>
      <c r="I7" s="270" t="s">
        <v>554</v>
      </c>
    </row>
    <row r="8" spans="2:11" ht="18.75" customHeight="1" x14ac:dyDescent="0.25">
      <c r="B8" s="271" t="s">
        <v>555</v>
      </c>
      <c r="C8" s="967" t="str">
        <f>IF('Business Case'!D9="","",'Business Case'!D9)</f>
        <v/>
      </c>
      <c r="D8" s="967"/>
      <c r="E8" s="967"/>
      <c r="F8" s="967"/>
      <c r="G8" s="967"/>
      <c r="H8" s="968"/>
      <c r="I8" s="962" t="s">
        <v>556</v>
      </c>
    </row>
    <row r="9" spans="2:11" x14ac:dyDescent="0.25">
      <c r="B9" s="272"/>
      <c r="H9" s="264"/>
      <c r="I9" s="962"/>
    </row>
    <row r="10" spans="2:11" x14ac:dyDescent="0.25">
      <c r="B10" s="271" t="s">
        <v>557</v>
      </c>
      <c r="C10" s="967" t="str">
        <f>IF('Project Compliance Tool'!D3="","",'Project Compliance Tool'!D3)</f>
        <v/>
      </c>
      <c r="D10" s="967"/>
      <c r="E10" s="967"/>
      <c r="F10" s="967"/>
      <c r="G10" s="967"/>
      <c r="H10" s="968"/>
      <c r="I10" s="962"/>
    </row>
    <row r="11" spans="2:11" x14ac:dyDescent="0.25">
      <c r="B11" s="269"/>
      <c r="H11" s="264"/>
      <c r="I11" s="273"/>
    </row>
    <row r="12" spans="2:11" x14ac:dyDescent="0.25">
      <c r="B12" s="268" t="s">
        <v>558</v>
      </c>
      <c r="D12" s="257" t="s">
        <v>559</v>
      </c>
      <c r="H12" s="264"/>
      <c r="I12" s="273"/>
    </row>
    <row r="13" spans="2:11" ht="15.75" customHeight="1" x14ac:dyDescent="0.25">
      <c r="B13" s="263"/>
      <c r="H13" s="264"/>
      <c r="I13" s="972" t="s">
        <v>560</v>
      </c>
    </row>
    <row r="14" spans="2:11" ht="61.4" customHeight="1" x14ac:dyDescent="0.25">
      <c r="B14" s="455" t="s">
        <v>561</v>
      </c>
      <c r="C14" s="456"/>
      <c r="D14" s="969"/>
      <c r="E14" s="970"/>
      <c r="F14" s="970"/>
      <c r="G14" s="970"/>
      <c r="H14" s="971"/>
      <c r="I14" s="972"/>
      <c r="J14" s="274"/>
      <c r="K14" s="274"/>
    </row>
    <row r="15" spans="2:11" x14ac:dyDescent="0.25">
      <c r="B15" s="275"/>
      <c r="C15" s="276"/>
      <c r="D15" s="277"/>
      <c r="E15" s="277"/>
      <c r="F15" s="278"/>
      <c r="G15" s="278"/>
      <c r="H15" s="279"/>
      <c r="I15" s="329"/>
      <c r="J15" s="274"/>
      <c r="K15" s="274"/>
    </row>
    <row r="16" spans="2:11" ht="61.4" customHeight="1" x14ac:dyDescent="0.25">
      <c r="B16" s="455" t="s">
        <v>562</v>
      </c>
      <c r="C16" s="456"/>
      <c r="D16" s="969"/>
      <c r="E16" s="970"/>
      <c r="F16" s="970"/>
      <c r="G16" s="970"/>
      <c r="H16" s="971"/>
      <c r="I16" s="453" t="s">
        <v>563</v>
      </c>
      <c r="J16" s="274"/>
      <c r="K16" s="274"/>
    </row>
    <row r="17" spans="2:11" x14ac:dyDescent="0.25">
      <c r="B17" s="275"/>
      <c r="C17" s="276"/>
      <c r="D17" s="277"/>
      <c r="E17" s="277"/>
      <c r="F17" s="278"/>
      <c r="G17" s="278"/>
      <c r="H17" s="279"/>
      <c r="I17" s="329"/>
      <c r="J17" s="274"/>
      <c r="K17" s="274"/>
    </row>
    <row r="18" spans="2:11" ht="61.4" customHeight="1" x14ac:dyDescent="0.25">
      <c r="B18" s="455" t="s">
        <v>564</v>
      </c>
      <c r="C18" s="456"/>
      <c r="D18" s="969"/>
      <c r="E18" s="970"/>
      <c r="F18" s="970"/>
      <c r="G18" s="970"/>
      <c r="H18" s="971"/>
      <c r="I18" s="329" t="s">
        <v>565</v>
      </c>
      <c r="J18" s="274"/>
      <c r="K18" s="274"/>
    </row>
    <row r="19" spans="2:11" x14ac:dyDescent="0.25">
      <c r="B19" s="275"/>
      <c r="C19" s="276"/>
      <c r="D19" s="281"/>
      <c r="E19" s="281"/>
      <c r="F19" s="273"/>
      <c r="G19" s="273"/>
      <c r="H19" s="282"/>
      <c r="I19" s="280"/>
      <c r="J19" s="274"/>
      <c r="K19" s="274"/>
    </row>
    <row r="20" spans="2:11" ht="38.25" customHeight="1" x14ac:dyDescent="0.25">
      <c r="B20" s="455" t="s">
        <v>566</v>
      </c>
      <c r="C20" s="456"/>
      <c r="D20" s="969"/>
      <c r="E20" s="970"/>
      <c r="F20" s="970"/>
      <c r="G20" s="970"/>
      <c r="H20" s="971"/>
      <c r="I20" s="963" t="s">
        <v>567</v>
      </c>
      <c r="J20" s="274"/>
      <c r="K20" s="274"/>
    </row>
    <row r="21" spans="2:11" x14ac:dyDescent="0.25">
      <c r="B21" s="275"/>
      <c r="C21" s="276"/>
      <c r="D21" s="283"/>
      <c r="E21" s="283"/>
      <c r="F21" s="284"/>
      <c r="G21" s="284"/>
      <c r="H21" s="285"/>
      <c r="I21" s="963"/>
      <c r="J21" s="274"/>
      <c r="K21" s="274"/>
    </row>
    <row r="22" spans="2:11" ht="38.25" customHeight="1" x14ac:dyDescent="0.25">
      <c r="B22" s="455" t="s">
        <v>568</v>
      </c>
      <c r="C22" s="456"/>
      <c r="D22" s="969"/>
      <c r="E22" s="970"/>
      <c r="F22" s="970"/>
      <c r="G22" s="970"/>
      <c r="H22" s="971"/>
      <c r="I22" s="453" t="s">
        <v>569</v>
      </c>
      <c r="J22" s="274"/>
      <c r="K22" s="274"/>
    </row>
    <row r="23" spans="2:11" x14ac:dyDescent="0.25">
      <c r="B23" s="263"/>
      <c r="D23" s="286"/>
      <c r="E23" s="286"/>
      <c r="F23" s="286"/>
      <c r="G23" s="286"/>
      <c r="H23" s="287"/>
      <c r="I23" s="273"/>
    </row>
    <row r="24" spans="2:11" x14ac:dyDescent="0.25">
      <c r="B24" s="268" t="s">
        <v>570</v>
      </c>
      <c r="D24" s="286"/>
      <c r="E24" s="286"/>
      <c r="F24" s="286"/>
      <c r="G24" s="286"/>
      <c r="H24" s="287"/>
      <c r="I24" s="273"/>
    </row>
    <row r="25" spans="2:11" x14ac:dyDescent="0.25">
      <c r="B25" s="263"/>
      <c r="D25" s="286"/>
      <c r="E25" s="286"/>
      <c r="F25" s="286"/>
      <c r="G25" s="286"/>
      <c r="H25" s="287"/>
      <c r="I25" s="273"/>
    </row>
    <row r="26" spans="2:11" ht="30" customHeight="1" x14ac:dyDescent="0.25">
      <c r="B26" s="288" t="s">
        <v>571</v>
      </c>
      <c r="C26" s="466"/>
      <c r="D26" s="973" t="s">
        <v>559</v>
      </c>
      <c r="E26" s="974"/>
      <c r="F26" s="974"/>
      <c r="G26" s="974"/>
      <c r="H26" s="975"/>
      <c r="I26" s="329" t="s">
        <v>572</v>
      </c>
      <c r="J26" s="274"/>
      <c r="K26" s="274"/>
    </row>
    <row r="27" spans="2:11" ht="30" customHeight="1" x14ac:dyDescent="0.25">
      <c r="B27" s="288" t="s">
        <v>573</v>
      </c>
      <c r="C27" s="466"/>
      <c r="D27" s="973"/>
      <c r="E27" s="974"/>
      <c r="F27" s="974"/>
      <c r="G27" s="974"/>
      <c r="H27" s="975"/>
      <c r="I27" s="329" t="s">
        <v>574</v>
      </c>
      <c r="J27" s="274"/>
      <c r="K27" s="274"/>
    </row>
    <row r="28" spans="2:11" ht="30" customHeight="1" x14ac:dyDescent="0.25">
      <c r="B28" s="288" t="s">
        <v>575</v>
      </c>
      <c r="C28" s="466"/>
      <c r="D28" s="973"/>
      <c r="E28" s="974"/>
      <c r="F28" s="974"/>
      <c r="G28" s="974"/>
      <c r="H28" s="975"/>
      <c r="I28" s="329" t="s">
        <v>576</v>
      </c>
      <c r="J28" s="274"/>
      <c r="K28" s="274"/>
    </row>
    <row r="29" spans="2:11" ht="30" customHeight="1" x14ac:dyDescent="0.25">
      <c r="B29" s="288" t="s">
        <v>577</v>
      </c>
      <c r="C29" s="466"/>
      <c r="D29" s="973"/>
      <c r="E29" s="974"/>
      <c r="F29" s="974"/>
      <c r="G29" s="974"/>
      <c r="H29" s="975"/>
      <c r="I29" s="962" t="s">
        <v>578</v>
      </c>
      <c r="J29" s="274"/>
      <c r="K29" s="274"/>
    </row>
    <row r="30" spans="2:11" ht="75" customHeight="1" x14ac:dyDescent="0.25">
      <c r="B30" s="979" t="s">
        <v>579</v>
      </c>
      <c r="C30" s="980"/>
      <c r="D30" s="976"/>
      <c r="E30" s="977"/>
      <c r="F30" s="977"/>
      <c r="G30" s="977"/>
      <c r="H30" s="978"/>
      <c r="I30" s="962"/>
      <c r="J30" s="274"/>
      <c r="K30" s="274"/>
    </row>
    <row r="31" spans="2:11" x14ac:dyDescent="0.25">
      <c r="B31" s="981"/>
      <c r="C31" s="982"/>
      <c r="D31" s="982"/>
      <c r="E31" s="982"/>
      <c r="F31" s="982"/>
      <c r="G31" s="982"/>
      <c r="H31" s="983"/>
      <c r="I31" s="329"/>
      <c r="J31" s="274"/>
      <c r="K31" s="274"/>
    </row>
    <row r="32" spans="2:11" ht="38.25" customHeight="1" x14ac:dyDescent="0.25">
      <c r="B32" s="454" t="s">
        <v>580</v>
      </c>
      <c r="C32" s="456"/>
      <c r="D32" s="969"/>
      <c r="E32" s="970"/>
      <c r="F32" s="970"/>
      <c r="G32" s="970"/>
      <c r="H32" s="971"/>
      <c r="I32" s="329" t="s">
        <v>581</v>
      </c>
      <c r="J32" s="274"/>
      <c r="K32" s="274"/>
    </row>
    <row r="33" spans="2:14" x14ac:dyDescent="0.25">
      <c r="B33" s="984"/>
      <c r="C33" s="985"/>
      <c r="D33" s="985"/>
      <c r="E33" s="985"/>
      <c r="F33" s="985"/>
      <c r="G33" s="985"/>
      <c r="H33" s="986"/>
      <c r="I33" s="329"/>
      <c r="J33" s="274"/>
      <c r="K33" s="274"/>
    </row>
    <row r="34" spans="2:14" ht="52.5" customHeight="1" x14ac:dyDescent="0.25">
      <c r="B34" s="454" t="s">
        <v>582</v>
      </c>
      <c r="C34" s="456"/>
      <c r="D34" s="969"/>
      <c r="E34" s="970"/>
      <c r="F34" s="970"/>
      <c r="G34" s="970"/>
      <c r="H34" s="971"/>
      <c r="I34" s="329" t="s">
        <v>583</v>
      </c>
      <c r="J34" s="274"/>
      <c r="K34" s="274"/>
    </row>
    <row r="35" spans="2:14" x14ac:dyDescent="0.25">
      <c r="B35" s="984"/>
      <c r="C35" s="985"/>
      <c r="D35" s="985"/>
      <c r="E35" s="985"/>
      <c r="F35" s="985"/>
      <c r="G35" s="985"/>
      <c r="H35" s="986"/>
      <c r="I35" s="329"/>
      <c r="J35" s="274"/>
      <c r="K35" s="274"/>
    </row>
    <row r="36" spans="2:14" ht="38.25" customHeight="1" x14ac:dyDescent="0.25">
      <c r="B36" s="454" t="s">
        <v>584</v>
      </c>
      <c r="C36" s="456"/>
      <c r="D36" s="987"/>
      <c r="E36" s="987"/>
      <c r="F36" s="987"/>
      <c r="G36" s="987"/>
      <c r="H36" s="988"/>
      <c r="I36" s="329" t="s">
        <v>585</v>
      </c>
      <c r="J36" s="274"/>
      <c r="K36" s="274"/>
    </row>
    <row r="37" spans="2:14" ht="15.75" customHeight="1" x14ac:dyDescent="0.25">
      <c r="B37" s="289"/>
      <c r="C37" s="290"/>
      <c r="D37" s="290"/>
      <c r="E37" s="290"/>
      <c r="F37" s="290"/>
      <c r="G37" s="290"/>
      <c r="H37" s="291"/>
      <c r="I37" s="273"/>
    </row>
    <row r="38" spans="2:14" ht="15.75" customHeight="1" x14ac:dyDescent="0.25">
      <c r="B38" s="293" t="s">
        <v>586</v>
      </c>
      <c r="C38" s="292"/>
      <c r="D38" s="292"/>
      <c r="E38" s="294"/>
      <c r="F38" s="294"/>
      <c r="G38" s="294"/>
      <c r="H38" s="295"/>
      <c r="I38" s="273"/>
    </row>
    <row r="39" spans="2:14" x14ac:dyDescent="0.25">
      <c r="B39" s="989"/>
      <c r="C39" s="990"/>
      <c r="D39" s="990"/>
      <c r="E39" s="990"/>
      <c r="F39" s="990"/>
      <c r="G39" s="990"/>
      <c r="H39" s="991"/>
      <c r="I39" s="329"/>
      <c r="J39" s="274"/>
      <c r="K39" s="274"/>
    </row>
    <row r="40" spans="2:14" ht="38.25" customHeight="1" x14ac:dyDescent="0.25">
      <c r="B40" s="452" t="s">
        <v>587</v>
      </c>
      <c r="C40" s="456"/>
      <c r="D40" s="969"/>
      <c r="E40" s="970"/>
      <c r="F40" s="970"/>
      <c r="G40" s="970"/>
      <c r="H40" s="971"/>
      <c r="I40" s="467" t="s">
        <v>588</v>
      </c>
      <c r="J40" s="274"/>
      <c r="K40" s="274"/>
    </row>
    <row r="41" spans="2:14" x14ac:dyDescent="0.25">
      <c r="B41" s="984"/>
      <c r="C41" s="985"/>
      <c r="D41" s="985"/>
      <c r="E41" s="985"/>
      <c r="F41" s="985"/>
      <c r="G41" s="985"/>
      <c r="H41" s="986"/>
      <c r="I41" s="329"/>
      <c r="J41" s="274"/>
      <c r="K41" s="274"/>
    </row>
    <row r="42" spans="2:14" ht="57.75" customHeight="1" x14ac:dyDescent="0.25">
      <c r="B42" s="452" t="s">
        <v>589</v>
      </c>
      <c r="C42" s="456"/>
      <c r="D42" s="969"/>
      <c r="E42" s="970"/>
      <c r="F42" s="970"/>
      <c r="G42" s="970"/>
      <c r="H42" s="971"/>
      <c r="I42" s="329" t="s">
        <v>590</v>
      </c>
      <c r="J42" s="274"/>
      <c r="K42" s="274"/>
    </row>
    <row r="43" spans="2:14" x14ac:dyDescent="0.25">
      <c r="B43" s="984"/>
      <c r="C43" s="985"/>
      <c r="D43" s="985"/>
      <c r="E43" s="985"/>
      <c r="F43" s="985"/>
      <c r="G43" s="985"/>
      <c r="H43" s="986"/>
      <c r="I43" s="329"/>
      <c r="J43" s="274"/>
      <c r="K43" s="274"/>
    </row>
    <row r="44" spans="2:14" ht="38.25" customHeight="1" x14ac:dyDescent="0.25">
      <c r="B44" s="452" t="s">
        <v>591</v>
      </c>
      <c r="C44" s="456"/>
      <c r="D44" s="969"/>
      <c r="E44" s="970"/>
      <c r="F44" s="970"/>
      <c r="G44" s="970"/>
      <c r="H44" s="971"/>
      <c r="I44" s="329" t="s">
        <v>592</v>
      </c>
      <c r="J44" s="274"/>
      <c r="K44" s="274"/>
    </row>
    <row r="45" spans="2:14" x14ac:dyDescent="0.25">
      <c r="B45" s="1001"/>
      <c r="C45" s="1002"/>
      <c r="D45" s="1002"/>
      <c r="E45" s="1002"/>
      <c r="F45" s="1002"/>
      <c r="G45" s="1002"/>
      <c r="H45" s="1003"/>
      <c r="I45" s="273"/>
    </row>
    <row r="46" spans="2:14" ht="54" customHeight="1" x14ac:dyDescent="0.25">
      <c r="B46" s="452" t="s">
        <v>593</v>
      </c>
      <c r="C46" s="456"/>
      <c r="D46" s="969"/>
      <c r="E46" s="970"/>
      <c r="F46" s="970"/>
      <c r="G46" s="970"/>
      <c r="H46" s="971"/>
      <c r="I46" s="273"/>
    </row>
    <row r="47" spans="2:14" ht="18.5" x14ac:dyDescent="0.25">
      <c r="B47" s="263"/>
      <c r="E47" s="297"/>
      <c r="F47" s="297"/>
      <c r="G47" s="298"/>
      <c r="H47" s="299"/>
      <c r="I47" s="273"/>
      <c r="J47" s="296"/>
      <c r="K47" s="300">
        <v>2.2999999999999998</v>
      </c>
      <c r="L47" s="301" t="e">
        <f>#REF!</f>
        <v>#REF!</v>
      </c>
      <c r="M47" s="300"/>
      <c r="N47" s="296"/>
    </row>
    <row r="48" spans="2:14" ht="18.5" x14ac:dyDescent="0.25">
      <c r="B48" s="302"/>
      <c r="C48" s="303"/>
      <c r="D48" s="303"/>
      <c r="E48" s="304"/>
      <c r="F48" s="304"/>
      <c r="G48" s="305"/>
      <c r="H48" s="306"/>
      <c r="I48" s="273"/>
      <c r="J48" s="296"/>
      <c r="K48" s="300">
        <v>2.4</v>
      </c>
      <c r="L48" s="301" t="e">
        <f>#REF!</f>
        <v>#REF!</v>
      </c>
      <c r="M48" s="300"/>
      <c r="N48" s="296"/>
    </row>
    <row r="49" spans="2:14" x14ac:dyDescent="0.25">
      <c r="B49" s="1004" t="s">
        <v>594</v>
      </c>
      <c r="C49" s="1005"/>
      <c r="D49" s="1006"/>
      <c r="E49" s="1007"/>
      <c r="F49" s="1007"/>
      <c r="G49" s="1007"/>
      <c r="H49" s="1008"/>
      <c r="I49" s="1000" t="s">
        <v>595</v>
      </c>
      <c r="J49" s="296"/>
      <c r="K49" s="300">
        <v>2.5</v>
      </c>
      <c r="L49" s="301" t="e">
        <f>#REF!</f>
        <v>#REF!</v>
      </c>
      <c r="M49" s="300"/>
      <c r="N49" s="296"/>
    </row>
    <row r="50" spans="2:14" x14ac:dyDescent="0.25">
      <c r="B50" s="992"/>
      <c r="C50" s="993"/>
      <c r="D50" s="997"/>
      <c r="E50" s="998"/>
      <c r="F50" s="998"/>
      <c r="G50" s="998"/>
      <c r="H50" s="999"/>
      <c r="I50" s="1000"/>
      <c r="J50" s="296"/>
      <c r="K50" s="300">
        <v>2.6</v>
      </c>
      <c r="L50" s="301" t="e">
        <f>#REF!</f>
        <v>#REF!</v>
      </c>
      <c r="M50" s="300"/>
      <c r="N50" s="296"/>
    </row>
    <row r="51" spans="2:14" ht="15.75" customHeight="1" x14ac:dyDescent="0.25">
      <c r="B51" s="307"/>
      <c r="C51" s="273"/>
      <c r="E51" s="297"/>
      <c r="F51" s="297"/>
      <c r="G51" s="298"/>
      <c r="H51" s="299"/>
      <c r="I51" s="273"/>
      <c r="J51" s="296"/>
      <c r="K51" s="300">
        <v>2.7</v>
      </c>
      <c r="L51" s="301" t="e">
        <f>#REF!</f>
        <v>#REF!</v>
      </c>
      <c r="M51" s="300"/>
      <c r="N51" s="296"/>
    </row>
    <row r="52" spans="2:14" x14ac:dyDescent="0.25">
      <c r="B52" s="992" t="s">
        <v>596</v>
      </c>
      <c r="C52" s="993"/>
      <c r="D52" s="994"/>
      <c r="E52" s="995"/>
      <c r="F52" s="995"/>
      <c r="G52" s="995"/>
      <c r="H52" s="996"/>
      <c r="I52" s="1009" t="s">
        <v>597</v>
      </c>
      <c r="J52" s="296"/>
      <c r="K52" s="300">
        <v>3.1</v>
      </c>
      <c r="L52" s="301" t="e">
        <f>#REF!</f>
        <v>#REF!</v>
      </c>
      <c r="M52" s="300"/>
      <c r="N52" s="296"/>
    </row>
    <row r="53" spans="2:14" x14ac:dyDescent="0.25">
      <c r="B53" s="992"/>
      <c r="C53" s="993"/>
      <c r="D53" s="997"/>
      <c r="E53" s="998"/>
      <c r="F53" s="998"/>
      <c r="G53" s="998"/>
      <c r="H53" s="999"/>
      <c r="I53" s="1009"/>
      <c r="J53" s="296"/>
      <c r="K53" s="300">
        <v>3.2</v>
      </c>
      <c r="L53" s="301" t="e">
        <f>#REF!</f>
        <v>#REF!</v>
      </c>
      <c r="M53" s="300"/>
      <c r="N53" s="296"/>
    </row>
    <row r="54" spans="2:14" x14ac:dyDescent="0.25">
      <c r="B54" s="308"/>
      <c r="C54" s="309"/>
      <c r="D54" s="310"/>
      <c r="E54" s="310"/>
      <c r="F54" s="310"/>
      <c r="G54" s="310"/>
      <c r="H54" s="311"/>
      <c r="I54" s="330"/>
      <c r="J54" s="296"/>
      <c r="K54" s="300">
        <v>3.3</v>
      </c>
      <c r="L54" s="301" t="e">
        <f>#REF!</f>
        <v>#REF!</v>
      </c>
      <c r="M54" s="300"/>
      <c r="N54" s="296"/>
    </row>
    <row r="55" spans="2:14" ht="31.5" customHeight="1" x14ac:dyDescent="0.25">
      <c r="B55" s="312" t="s">
        <v>598</v>
      </c>
      <c r="C55" s="313">
        <f>'Business Case'!H76</f>
        <v>0</v>
      </c>
      <c r="D55" s="1010"/>
      <c r="E55" s="1011"/>
      <c r="F55" s="1011"/>
      <c r="G55" s="1011"/>
      <c r="H55" s="1012"/>
      <c r="I55" s="330" t="s">
        <v>599</v>
      </c>
      <c r="J55" s="296"/>
      <c r="K55" s="300">
        <v>3.4</v>
      </c>
      <c r="L55" s="301" t="e">
        <f>#REF!</f>
        <v>#REF!</v>
      </c>
      <c r="M55" s="300"/>
      <c r="N55" s="296"/>
    </row>
    <row r="56" spans="2:14" x14ac:dyDescent="0.25">
      <c r="B56" s="308"/>
      <c r="C56" s="309"/>
      <c r="D56" s="310"/>
      <c r="E56" s="310"/>
      <c r="F56" s="310"/>
      <c r="G56" s="310"/>
      <c r="H56" s="311"/>
      <c r="I56" s="330"/>
      <c r="J56" s="296"/>
      <c r="K56" s="296"/>
      <c r="L56" s="296"/>
      <c r="M56" s="296"/>
      <c r="N56" s="296"/>
    </row>
    <row r="57" spans="2:14" ht="31.5" customHeight="1" x14ac:dyDescent="0.25">
      <c r="B57" s="312" t="s">
        <v>600</v>
      </c>
      <c r="C57" s="313">
        <f>'Business Case'!H79</f>
        <v>0</v>
      </c>
      <c r="D57" s="1010"/>
      <c r="E57" s="1011"/>
      <c r="F57" s="1011"/>
      <c r="G57" s="1011"/>
      <c r="H57" s="1012"/>
      <c r="I57" s="330" t="s">
        <v>601</v>
      </c>
      <c r="J57" s="296"/>
      <c r="M57" s="296"/>
      <c r="N57" s="296"/>
    </row>
    <row r="58" spans="2:14" ht="18.5" x14ac:dyDescent="0.25">
      <c r="B58" s="263"/>
      <c r="E58" s="297"/>
      <c r="F58" s="297"/>
      <c r="G58" s="298"/>
      <c r="H58" s="299"/>
      <c r="I58" s="273"/>
      <c r="J58" s="296"/>
      <c r="M58" s="296"/>
      <c r="N58" s="296"/>
    </row>
    <row r="59" spans="2:14" x14ac:dyDescent="0.25">
      <c r="B59" s="268" t="s">
        <v>602</v>
      </c>
      <c r="C59" s="314"/>
      <c r="D59" s="314"/>
      <c r="E59" s="314"/>
      <c r="F59" s="314"/>
      <c r="G59" s="314"/>
      <c r="H59" s="315"/>
      <c r="I59" s="273"/>
      <c r="K59" s="274"/>
    </row>
    <row r="60" spans="2:14" x14ac:dyDescent="0.25">
      <c r="B60" s="269"/>
      <c r="C60" s="314"/>
      <c r="D60" s="314"/>
      <c r="E60" s="314"/>
      <c r="F60" s="314"/>
      <c r="G60" s="314"/>
      <c r="H60" s="315"/>
      <c r="I60" s="273"/>
      <c r="K60" s="274"/>
    </row>
    <row r="61" spans="2:14" ht="45" customHeight="1" x14ac:dyDescent="0.25">
      <c r="B61" s="275" t="s">
        <v>603</v>
      </c>
      <c r="C61" s="465" t="str">
        <f>IF(E91=0,"",IF(E88&gt;0,"Red",IF(E89&gt;0,"Amber","Green")))</f>
        <v/>
      </c>
      <c r="D61" s="1019" t="s">
        <v>604</v>
      </c>
      <c r="E61" s="1019"/>
      <c r="F61" s="1019"/>
      <c r="G61" s="1019"/>
      <c r="H61" s="1020"/>
      <c r="I61" s="329"/>
      <c r="J61" s="274"/>
    </row>
    <row r="62" spans="2:14" x14ac:dyDescent="0.25">
      <c r="B62" s="316"/>
      <c r="C62" s="317"/>
      <c r="D62" s="318"/>
      <c r="E62" s="318"/>
      <c r="F62" s="314"/>
      <c r="G62" s="314"/>
      <c r="H62" s="315"/>
      <c r="I62" s="329"/>
      <c r="J62" s="274"/>
    </row>
    <row r="63" spans="2:14" x14ac:dyDescent="0.25">
      <c r="B63" s="269"/>
      <c r="C63" s="314"/>
      <c r="D63" s="314"/>
      <c r="E63" s="314"/>
      <c r="F63" s="314"/>
      <c r="G63" s="314"/>
      <c r="H63" s="315"/>
      <c r="I63" s="273"/>
    </row>
    <row r="64" spans="2:14" x14ac:dyDescent="0.25">
      <c r="B64" s="268" t="s">
        <v>605</v>
      </c>
      <c r="C64" s="314"/>
      <c r="D64" s="314"/>
      <c r="E64" s="314"/>
      <c r="F64" s="314"/>
      <c r="G64" s="314"/>
      <c r="H64" s="315"/>
      <c r="I64" s="273"/>
    </row>
    <row r="65" spans="2:9" ht="157.5" customHeight="1" x14ac:dyDescent="0.25">
      <c r="B65" s="1021"/>
      <c r="C65" s="1022"/>
      <c r="D65" s="1022"/>
      <c r="E65" s="1022"/>
      <c r="F65" s="1022"/>
      <c r="G65" s="1022"/>
      <c r="H65" s="1023"/>
      <c r="I65" s="329" t="s">
        <v>606</v>
      </c>
    </row>
    <row r="66" spans="2:9" x14ac:dyDescent="0.25">
      <c r="B66" s="263"/>
      <c r="H66" s="264"/>
      <c r="I66" s="273"/>
    </row>
    <row r="67" spans="2:9" x14ac:dyDescent="0.25">
      <c r="B67" s="268" t="s">
        <v>607</v>
      </c>
      <c r="C67" s="273"/>
      <c r="D67" s="273"/>
      <c r="E67" s="273"/>
      <c r="F67" s="273"/>
      <c r="G67" s="273"/>
      <c r="H67" s="282"/>
      <c r="I67" s="273"/>
    </row>
    <row r="68" spans="2:9" ht="157.5" customHeight="1" x14ac:dyDescent="0.25">
      <c r="B68" s="1024"/>
      <c r="C68" s="1025"/>
      <c r="D68" s="1025"/>
      <c r="E68" s="1025"/>
      <c r="F68" s="1025"/>
      <c r="G68" s="1025"/>
      <c r="H68" s="1026"/>
      <c r="I68" s="329" t="s">
        <v>608</v>
      </c>
    </row>
    <row r="69" spans="2:9" x14ac:dyDescent="0.25">
      <c r="B69" s="272"/>
      <c r="C69" s="273"/>
      <c r="D69" s="273"/>
      <c r="E69" s="273"/>
      <c r="F69" s="273"/>
      <c r="G69" s="273"/>
      <c r="H69" s="282"/>
      <c r="I69" s="319"/>
    </row>
    <row r="70" spans="2:9" x14ac:dyDescent="0.25">
      <c r="B70" s="268" t="s">
        <v>609</v>
      </c>
      <c r="C70" s="273"/>
      <c r="D70" s="273"/>
      <c r="E70" s="273"/>
      <c r="F70" s="273"/>
      <c r="G70" s="273"/>
      <c r="H70" s="282"/>
      <c r="I70" s="319"/>
    </row>
    <row r="71" spans="2:9" ht="51" customHeight="1" x14ac:dyDescent="0.25">
      <c r="B71" s="1027" t="s">
        <v>610</v>
      </c>
      <c r="C71" s="1028"/>
      <c r="D71" s="1028"/>
      <c r="E71" s="1028"/>
      <c r="F71" s="1028"/>
      <c r="G71" s="1028"/>
      <c r="H71" s="1029"/>
      <c r="I71" s="319"/>
    </row>
    <row r="72" spans="2:9" x14ac:dyDescent="0.25">
      <c r="B72" s="272"/>
      <c r="C72" s="273"/>
      <c r="D72" s="273"/>
      <c r="E72" s="273"/>
      <c r="F72" s="273"/>
      <c r="G72" s="273"/>
      <c r="H72" s="282"/>
      <c r="I72" s="320"/>
    </row>
    <row r="73" spans="2:9" x14ac:dyDescent="0.25">
      <c r="B73" s="268" t="s">
        <v>611</v>
      </c>
      <c r="C73" s="273"/>
      <c r="D73" s="273"/>
      <c r="E73" s="273"/>
      <c r="F73" s="273"/>
      <c r="G73" s="273"/>
      <c r="H73" s="282"/>
      <c r="I73" s="320"/>
    </row>
    <row r="74" spans="2:9" x14ac:dyDescent="0.25">
      <c r="B74" s="272"/>
      <c r="C74" s="273"/>
      <c r="D74" s="273"/>
      <c r="E74" s="273"/>
      <c r="F74" s="273"/>
      <c r="G74" s="273"/>
      <c r="H74" s="282"/>
      <c r="I74" s="320"/>
    </row>
    <row r="75" spans="2:9" x14ac:dyDescent="0.25">
      <c r="B75" s="272" t="s">
        <v>612</v>
      </c>
      <c r="C75" s="1014"/>
      <c r="D75" s="1016"/>
      <c r="E75" s="321"/>
      <c r="F75" s="321"/>
      <c r="G75" s="273"/>
      <c r="H75" s="282"/>
      <c r="I75" s="320"/>
    </row>
    <row r="76" spans="2:9" x14ac:dyDescent="0.25">
      <c r="B76" s="272" t="s">
        <v>613</v>
      </c>
      <c r="C76" s="1013"/>
      <c r="D76" s="1013"/>
      <c r="E76" s="322" t="s">
        <v>614</v>
      </c>
      <c r="F76" s="323"/>
      <c r="G76" s="273"/>
      <c r="H76" s="282"/>
      <c r="I76" s="320"/>
    </row>
    <row r="77" spans="2:9" x14ac:dyDescent="0.25">
      <c r="B77" s="272" t="s">
        <v>615</v>
      </c>
      <c r="C77" s="1014"/>
      <c r="D77" s="1015"/>
      <c r="E77" s="1015"/>
      <c r="F77" s="1016"/>
      <c r="G77" s="273"/>
      <c r="H77" s="282"/>
      <c r="I77" s="320"/>
    </row>
    <row r="78" spans="2:9" x14ac:dyDescent="0.25">
      <c r="B78" s="272"/>
      <c r="C78" s="273"/>
      <c r="D78" s="273"/>
      <c r="E78" s="273"/>
      <c r="F78" s="273"/>
      <c r="G78" s="273"/>
      <c r="H78" s="282"/>
      <c r="I78" s="320"/>
    </row>
    <row r="79" spans="2:9" x14ac:dyDescent="0.25">
      <c r="B79" s="272" t="s">
        <v>616</v>
      </c>
      <c r="C79" s="273"/>
      <c r="D79" s="273"/>
      <c r="E79" s="273"/>
      <c r="F79" s="273"/>
      <c r="G79" s="273"/>
      <c r="H79" s="282"/>
      <c r="I79" s="320"/>
    </row>
    <row r="80" spans="2:9" x14ac:dyDescent="0.25">
      <c r="B80" s="272"/>
      <c r="C80" s="273"/>
      <c r="D80" s="273"/>
      <c r="E80" s="273"/>
      <c r="F80" s="273"/>
      <c r="G80" s="273"/>
      <c r="H80" s="282"/>
      <c r="I80" s="320"/>
    </row>
    <row r="81" spans="2:9" x14ac:dyDescent="0.25">
      <c r="B81" s="272" t="s">
        <v>617</v>
      </c>
      <c r="C81" s="1014"/>
      <c r="D81" s="1015"/>
      <c r="E81" s="1015"/>
      <c r="F81" s="1016"/>
      <c r="G81" s="273"/>
      <c r="H81" s="282"/>
      <c r="I81" s="320"/>
    </row>
    <row r="82" spans="2:9" x14ac:dyDescent="0.25">
      <c r="B82" s="272" t="s">
        <v>225</v>
      </c>
      <c r="C82" s="1017"/>
      <c r="D82" s="1018"/>
      <c r="E82" s="273"/>
      <c r="F82" s="273"/>
      <c r="G82" s="273"/>
      <c r="H82" s="282"/>
      <c r="I82" s="320"/>
    </row>
    <row r="83" spans="2:9" ht="16" thickBot="1" x14ac:dyDescent="0.3">
      <c r="B83" s="263"/>
      <c r="H83" s="324" t="str">
        <f ca="1">"© Salix "&amp;YEAR(NOW())</f>
        <v>© Salix 2024</v>
      </c>
    </row>
    <row r="84" spans="2:9" ht="16" thickBot="1" x14ac:dyDescent="0.3">
      <c r="B84" s="325"/>
      <c r="C84" s="326"/>
      <c r="D84" s="326"/>
      <c r="E84" s="326"/>
      <c r="F84" s="326"/>
      <c r="G84" s="326"/>
      <c r="H84" s="327"/>
    </row>
    <row r="86" spans="2:9" ht="16" hidden="1" thickBot="1" x14ac:dyDescent="0.3"/>
    <row r="87" spans="2:9" ht="16" hidden="1" thickBot="1" x14ac:dyDescent="0.35">
      <c r="B87" s="457"/>
      <c r="C87" s="457" t="s">
        <v>618</v>
      </c>
      <c r="D87" s="457" t="s">
        <v>619</v>
      </c>
      <c r="E87" s="458" t="s">
        <v>620</v>
      </c>
    </row>
    <row r="88" spans="2:9" hidden="1" x14ac:dyDescent="0.3">
      <c r="B88" s="459" t="s">
        <v>621</v>
      </c>
      <c r="C88" s="459">
        <v>1</v>
      </c>
      <c r="D88" s="459">
        <f>COUNTIF($B$14:$H$46,"Red")</f>
        <v>0</v>
      </c>
      <c r="E88" s="460">
        <f>C88*D88</f>
        <v>0</v>
      </c>
    </row>
    <row r="89" spans="2:9" hidden="1" x14ac:dyDescent="0.3">
      <c r="B89" s="461" t="s">
        <v>622</v>
      </c>
      <c r="C89" s="461">
        <v>2</v>
      </c>
      <c r="D89" s="461">
        <f>COUNTIF($B$14:$H$46,"Amber")</f>
        <v>0</v>
      </c>
      <c r="E89" s="460">
        <f t="shared" ref="E89:E90" si="0">C89*D89</f>
        <v>0</v>
      </c>
    </row>
    <row r="90" spans="2:9" hidden="1" x14ac:dyDescent="0.3">
      <c r="B90" s="459" t="s">
        <v>623</v>
      </c>
      <c r="C90" s="459">
        <v>3</v>
      </c>
      <c r="D90" s="459">
        <f>COUNTIF($B$14:$H$46,"Green")</f>
        <v>0</v>
      </c>
      <c r="E90" s="460">
        <f t="shared" si="0"/>
        <v>0</v>
      </c>
    </row>
    <row r="91" spans="2:9" ht="16" hidden="1" thickBot="1" x14ac:dyDescent="0.3">
      <c r="B91" s="462"/>
      <c r="C91" s="462"/>
      <c r="D91" s="463" t="s">
        <v>624</v>
      </c>
      <c r="E91" s="464">
        <f>SUM(E88:E90)</f>
        <v>0</v>
      </c>
    </row>
  </sheetData>
  <sheetProtection sheet="1" formatRows="0"/>
  <mergeCells count="51">
    <mergeCell ref="C82:D82"/>
    <mergeCell ref="D61:H61"/>
    <mergeCell ref="B65:H65"/>
    <mergeCell ref="B68:H68"/>
    <mergeCell ref="B71:H71"/>
    <mergeCell ref="C75:D75"/>
    <mergeCell ref="D55:H55"/>
    <mergeCell ref="C76:D76"/>
    <mergeCell ref="C77:F77"/>
    <mergeCell ref="C81:F81"/>
    <mergeCell ref="D57:H57"/>
    <mergeCell ref="B52:B53"/>
    <mergeCell ref="C52:C53"/>
    <mergeCell ref="D52:H53"/>
    <mergeCell ref="I49:I50"/>
    <mergeCell ref="B45:H45"/>
    <mergeCell ref="D46:H46"/>
    <mergeCell ref="B49:B50"/>
    <mergeCell ref="C49:C50"/>
    <mergeCell ref="D49:H50"/>
    <mergeCell ref="I52:I53"/>
    <mergeCell ref="D44:H44"/>
    <mergeCell ref="B39:H39"/>
    <mergeCell ref="B41:H41"/>
    <mergeCell ref="D42:H42"/>
    <mergeCell ref="B43:H43"/>
    <mergeCell ref="D30:H30"/>
    <mergeCell ref="B30:C30"/>
    <mergeCell ref="B31:H31"/>
    <mergeCell ref="D32:H32"/>
    <mergeCell ref="D40:H40"/>
    <mergeCell ref="B33:H33"/>
    <mergeCell ref="D34:H34"/>
    <mergeCell ref="B35:H35"/>
    <mergeCell ref="D36:H36"/>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s>
  <conditionalFormatting sqref="C14">
    <cfRule type="containsText" dxfId="41" priority="14" operator="containsText" text="Amber">
      <formula>NOT(ISERROR(SEARCH("Amber",C14)))</formula>
    </cfRule>
    <cfRule type="containsText" dxfId="40" priority="13" operator="containsText" text="Green">
      <formula>NOT(ISERROR(SEARCH("Green",C14)))</formula>
    </cfRule>
  </conditionalFormatting>
  <conditionalFormatting sqref="C16">
    <cfRule type="containsText" dxfId="38" priority="67" operator="containsText" text="Green">
      <formula>NOT(ISERROR(SEARCH("Green",C16)))</formula>
    </cfRule>
    <cfRule type="containsText" dxfId="36"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2" operator="containsText" text="Amber">
      <formula>NOT(ISERROR(SEARCH("Amber",C20)))</formula>
    </cfRule>
    <cfRule type="containsText" dxfId="31" priority="61" operator="containsText" text="Green">
      <formula>NOT(ISERROR(SEARCH("Green",C20)))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2" operator="containsText" text="Amber">
      <formula>NOT(ISERROR(SEARCH("Amber",C26)))</formula>
    </cfRule>
    <cfRule type="containsText" dxfId="24" priority="1" operator="containsText" text="Green">
      <formula>NOT(ISERROR(SEARCH("Green",C26)))</formula>
    </cfRule>
  </conditionalFormatting>
  <conditionalFormatting sqref="C32">
    <cfRule type="containsText" dxfId="23" priority="44" operator="containsText" text="Amber">
      <formula>NOT(ISERROR(SEARCH("Amber",C32)))</formula>
    </cfRule>
    <cfRule type="containsText" dxfId="22" priority="43" operator="containsText" text="Green">
      <formula>NOT(ISERROR(SEARCH("Green",C32)))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5" operator="containsText" text="Amber">
      <formula>NOT(ISERROR(SEARCH("Amber",C40)))</formula>
    </cfRule>
    <cfRule type="containsText" dxfId="12" priority="34" operator="containsText" text="Green">
      <formula>NOT(ISERROR(SEARCH("Green",C40)))</formula>
    </cfRule>
  </conditionalFormatting>
  <conditionalFormatting sqref="C42">
    <cfRule type="containsText" dxfId="10" priority="32" operator="containsText" text="Amber">
      <formula>NOT(ISERROR(SEARCH("Amber",C42)))</formula>
    </cfRule>
    <cfRule type="containsText" dxfId="9" priority="31" operator="containsText" text="Green">
      <formula>NOT(ISERROR(SEARCH("Green",C42)))</formula>
    </cfRule>
  </conditionalFormatting>
  <conditionalFormatting sqref="C44">
    <cfRule type="containsText" dxfId="8" priority="29" operator="containsText" text="Amber">
      <formula>NOT(ISERROR(SEARCH("Amber",C44)))</formula>
    </cfRule>
    <cfRule type="containsText" dxfId="6" priority="28" operator="containsText" text="Green">
      <formula>NOT(ISERROR(SEARCH("Green",C44)))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382573"/>
    <pageSetUpPr fitToPage="1"/>
  </sheetPr>
  <dimension ref="B1:AR45"/>
  <sheetViews>
    <sheetView showGridLines="0" showRowColHeaders="0" topLeftCell="B1" zoomScale="115" zoomScaleNormal="115" workbookViewId="0">
      <selection activeCell="B3" sqref="B3:L7"/>
    </sheetView>
  </sheetViews>
  <sheetFormatPr defaultColWidth="9.1796875" defaultRowHeight="16" x14ac:dyDescent="0.5"/>
  <cols>
    <col min="1" max="16384" width="9.1796875" style="3"/>
  </cols>
  <sheetData>
    <row r="1" spans="2:12" ht="16.5" thickBot="1" x14ac:dyDescent="0.55000000000000004"/>
    <row r="2" spans="2:12" ht="54.75" customHeight="1" thickBot="1" x14ac:dyDescent="0.55000000000000004">
      <c r="B2" s="253" t="s">
        <v>625</v>
      </c>
      <c r="C2" s="254"/>
      <c r="D2" s="254"/>
      <c r="E2" s="254"/>
      <c r="F2" s="254"/>
      <c r="G2" s="254"/>
      <c r="H2" s="254"/>
      <c r="I2" s="254"/>
      <c r="J2" s="254"/>
      <c r="K2" s="254"/>
      <c r="L2" s="255"/>
    </row>
    <row r="3" spans="2:12" ht="12.75" customHeight="1" x14ac:dyDescent="0.5">
      <c r="B3" s="1030" t="s">
        <v>626</v>
      </c>
      <c r="C3" s="1031"/>
      <c r="D3" s="1031"/>
      <c r="E3" s="1031"/>
      <c r="F3" s="1031"/>
      <c r="G3" s="1031"/>
      <c r="H3" s="1031"/>
      <c r="I3" s="1031"/>
      <c r="J3" s="1031"/>
      <c r="K3" s="1031"/>
      <c r="L3" s="1032"/>
    </row>
    <row r="4" spans="2:12" x14ac:dyDescent="0.5">
      <c r="B4" s="1030"/>
      <c r="C4" s="1031"/>
      <c r="D4" s="1031"/>
      <c r="E4" s="1031"/>
      <c r="F4" s="1031"/>
      <c r="G4" s="1031"/>
      <c r="H4" s="1031"/>
      <c r="I4" s="1031"/>
      <c r="J4" s="1031"/>
      <c r="K4" s="1031"/>
      <c r="L4" s="1032"/>
    </row>
    <row r="5" spans="2:12" x14ac:dyDescent="0.5">
      <c r="B5" s="1030"/>
      <c r="C5" s="1031"/>
      <c r="D5" s="1031"/>
      <c r="E5" s="1031"/>
      <c r="F5" s="1031"/>
      <c r="G5" s="1031"/>
      <c r="H5" s="1031"/>
      <c r="I5" s="1031"/>
      <c r="J5" s="1031"/>
      <c r="K5" s="1031"/>
      <c r="L5" s="1032"/>
    </row>
    <row r="6" spans="2:12" ht="30.75" customHeight="1" x14ac:dyDescent="0.5">
      <c r="B6" s="1030"/>
      <c r="C6" s="1031"/>
      <c r="D6" s="1031"/>
      <c r="E6" s="1031"/>
      <c r="F6" s="1031"/>
      <c r="G6" s="1031"/>
      <c r="H6" s="1031"/>
      <c r="I6" s="1031"/>
      <c r="J6" s="1031"/>
      <c r="K6" s="1031"/>
      <c r="L6" s="1032"/>
    </row>
    <row r="7" spans="2:12" ht="133.5" customHeight="1" thickBot="1" x14ac:dyDescent="0.55000000000000004">
      <c r="B7" s="1033"/>
      <c r="C7" s="1034"/>
      <c r="D7" s="1034"/>
      <c r="E7" s="1034"/>
      <c r="F7" s="1034"/>
      <c r="G7" s="1034"/>
      <c r="H7" s="1034"/>
      <c r="I7" s="1034"/>
      <c r="J7" s="1034"/>
      <c r="K7" s="1034"/>
      <c r="L7" s="1035"/>
    </row>
    <row r="8" spans="2:12" s="4" customFormat="1" ht="13.5" customHeight="1" thickBot="1" x14ac:dyDescent="0.3">
      <c r="B8" s="1036"/>
      <c r="C8" s="1037"/>
      <c r="D8" s="1037"/>
      <c r="E8" s="1037"/>
      <c r="F8" s="1037"/>
      <c r="G8" s="1037"/>
      <c r="H8" s="1037"/>
      <c r="I8" s="1037"/>
      <c r="J8" s="1037"/>
      <c r="K8" s="1037"/>
      <c r="L8" s="1038"/>
    </row>
    <row r="9" spans="2:12" x14ac:dyDescent="0.5">
      <c r="B9" s="199"/>
    </row>
    <row r="10" spans="2:12" s="4" customFormat="1" ht="13.5" customHeight="1" x14ac:dyDescent="0.25"/>
    <row r="11" spans="2:12" s="4" customFormat="1" ht="19.5" customHeight="1" x14ac:dyDescent="0.25">
      <c r="B11" s="195"/>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7M+wdfwsR+ULOVLg/HC/tle3N0gbsymUiPvhts9AyO5BoGDOpEbAVDcT1z0hQ5NChbHJigpavDlU+cs5JOzvFQ==" saltValue="dPe/fts38gN9d5rnTkvsdw=="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customProperties>
    <customPr name="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382573"/>
    <pageSetUpPr fitToPage="1"/>
  </sheetPr>
  <dimension ref="B1:AR45"/>
  <sheetViews>
    <sheetView showGridLines="0" showRowColHeaders="0" zoomScale="115" zoomScaleNormal="115" workbookViewId="0">
      <selection activeCell="D4" sqref="D4:L4"/>
    </sheetView>
  </sheetViews>
  <sheetFormatPr defaultColWidth="9.1796875" defaultRowHeight="16" x14ac:dyDescent="0.5"/>
  <cols>
    <col min="1" max="1" width="3.81640625" style="3" customWidth="1"/>
    <col min="2" max="16384" width="9.1796875" style="3"/>
  </cols>
  <sheetData>
    <row r="1" spans="2:12" ht="16.5" thickBot="1" x14ac:dyDescent="0.55000000000000004"/>
    <row r="2" spans="2:12" ht="54.75" customHeight="1" thickBot="1" x14ac:dyDescent="0.55000000000000004">
      <c r="B2" s="256" t="s">
        <v>627</v>
      </c>
      <c r="C2" s="251"/>
      <c r="D2" s="251"/>
      <c r="E2" s="251"/>
      <c r="F2" s="251"/>
      <c r="G2" s="251"/>
      <c r="H2" s="251"/>
      <c r="I2" s="251"/>
      <c r="J2" s="251"/>
      <c r="K2" s="251"/>
      <c r="L2" s="252"/>
    </row>
    <row r="3" spans="2:12" ht="71.25" customHeight="1" x14ac:dyDescent="0.5">
      <c r="B3" s="1039" t="s">
        <v>628</v>
      </c>
      <c r="C3" s="1040"/>
      <c r="D3" s="1031" t="s">
        <v>629</v>
      </c>
      <c r="E3" s="1031"/>
      <c r="F3" s="1031"/>
      <c r="G3" s="1031"/>
      <c r="H3" s="1031"/>
      <c r="I3" s="1031"/>
      <c r="J3" s="1031"/>
      <c r="K3" s="1031"/>
      <c r="L3" s="1032"/>
    </row>
    <row r="4" spans="2:12" ht="71.25" customHeight="1" x14ac:dyDescent="0.5">
      <c r="B4" s="1041" t="s">
        <v>630</v>
      </c>
      <c r="C4" s="1042"/>
      <c r="D4" s="1043" t="s">
        <v>631</v>
      </c>
      <c r="E4" s="1043"/>
      <c r="F4" s="1043"/>
      <c r="G4" s="1043"/>
      <c r="H4" s="1043"/>
      <c r="I4" s="1043"/>
      <c r="J4" s="1043"/>
      <c r="K4" s="1043"/>
      <c r="L4" s="1044"/>
    </row>
    <row r="5" spans="2:12" ht="71.25" customHeight="1" x14ac:dyDescent="0.5">
      <c r="B5" s="1041" t="s">
        <v>632</v>
      </c>
      <c r="C5" s="1042"/>
      <c r="D5" s="1043" t="s">
        <v>633</v>
      </c>
      <c r="E5" s="1043"/>
      <c r="F5" s="1043"/>
      <c r="G5" s="1043"/>
      <c r="H5" s="1043"/>
      <c r="I5" s="1043"/>
      <c r="J5" s="1043"/>
      <c r="K5" s="1043"/>
      <c r="L5" s="1044"/>
    </row>
    <row r="6" spans="2:12" ht="71.25" customHeight="1" x14ac:dyDescent="0.5">
      <c r="B6" s="1041" t="s">
        <v>634</v>
      </c>
      <c r="C6" s="1042"/>
      <c r="D6" s="1043" t="s">
        <v>635</v>
      </c>
      <c r="E6" s="1043"/>
      <c r="F6" s="1043"/>
      <c r="G6" s="1043"/>
      <c r="H6" s="1043"/>
      <c r="I6" s="1043"/>
      <c r="J6" s="1043"/>
      <c r="K6" s="1043"/>
      <c r="L6" s="1044"/>
    </row>
    <row r="7" spans="2:12" ht="71.25" customHeight="1" thickBot="1" x14ac:dyDescent="0.55000000000000004">
      <c r="B7" s="1045" t="s">
        <v>636</v>
      </c>
      <c r="C7" s="1046"/>
      <c r="D7" s="1034" t="s">
        <v>637</v>
      </c>
      <c r="E7" s="1034"/>
      <c r="F7" s="1034"/>
      <c r="G7" s="1034"/>
      <c r="H7" s="1034"/>
      <c r="I7" s="1034"/>
      <c r="J7" s="1034"/>
      <c r="K7" s="1034"/>
      <c r="L7" s="1035"/>
    </row>
    <row r="8" spans="2:12" s="4" customFormat="1" ht="13.5" customHeight="1" thickBot="1" x14ac:dyDescent="0.3">
      <c r="B8" s="196"/>
      <c r="C8" s="197"/>
      <c r="D8" s="197"/>
      <c r="E8" s="197"/>
      <c r="F8" s="197"/>
      <c r="G8" s="197"/>
      <c r="H8" s="197"/>
      <c r="I8" s="197"/>
      <c r="J8" s="197"/>
      <c r="K8" s="197"/>
      <c r="L8" s="198"/>
    </row>
    <row r="10" spans="2:12" s="4" customFormat="1" ht="13.5" customHeight="1" x14ac:dyDescent="0.25"/>
    <row r="11" spans="2:12" s="4" customFormat="1" ht="19.5" customHeight="1" x14ac:dyDescent="0.25">
      <c r="B11" s="195"/>
    </row>
    <row r="42" spans="18:44" x14ac:dyDescent="0.5">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5">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5">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QXWMMgX7ST3in5EEyGT4NPYyRrhGnU3jx5cQndYPKI18A738rLv/nyfuGWxYDQNq58tjErD4e1qHIRBFflLRw==" saltValue="iYIuBQDcBiW7jQyFSHClcA=="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customProperties>
    <customPr name="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382573"/>
    <pageSetUpPr fitToPage="1"/>
  </sheetPr>
  <dimension ref="A1:BD363"/>
  <sheetViews>
    <sheetView showGridLines="0" zoomScaleNormal="100" workbookViewId="0">
      <selection activeCell="E9" sqref="E9"/>
    </sheetView>
  </sheetViews>
  <sheetFormatPr defaultColWidth="8.81640625" defaultRowHeight="12.5" x14ac:dyDescent="0.25"/>
  <cols>
    <col min="1" max="1" width="8.81640625" customWidth="1"/>
    <col min="2" max="3" width="12.54296875" customWidth="1"/>
    <col min="4" max="4" width="76.54296875" customWidth="1"/>
    <col min="5" max="5" width="10.453125" customWidth="1"/>
  </cols>
  <sheetData>
    <row r="1" spans="1:56" ht="13" thickBot="1"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3">
      <c r="A2" s="2"/>
      <c r="B2" s="169" t="s">
        <v>225</v>
      </c>
      <c r="C2" s="170" t="s">
        <v>638</v>
      </c>
      <c r="D2" s="171" t="s">
        <v>639</v>
      </c>
      <c r="E2" s="172" t="s">
        <v>640</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40.5" x14ac:dyDescent="0.25">
      <c r="A3" s="2"/>
      <c r="B3" s="555" t="s">
        <v>641</v>
      </c>
      <c r="C3" s="556">
        <v>38</v>
      </c>
      <c r="D3" s="554" t="s">
        <v>642</v>
      </c>
      <c r="E3" s="557" t="s">
        <v>643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ht="13.5" x14ac:dyDescent="0.25">
      <c r="A4" s="2"/>
      <c r="B4" s="555" t="s">
        <v>644</v>
      </c>
      <c r="C4" s="556">
        <v>37.200000000000003</v>
      </c>
      <c r="D4" s="554" t="s">
        <v>645</v>
      </c>
      <c r="E4" s="557" t="s">
        <v>643</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81" x14ac:dyDescent="0.25">
      <c r="A5" s="2"/>
      <c r="B5" s="173">
        <v>45170</v>
      </c>
      <c r="C5" s="174">
        <v>37</v>
      </c>
      <c r="D5" s="175" t="s">
        <v>646</v>
      </c>
      <c r="E5" s="176" t="s">
        <v>643</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7" x14ac:dyDescent="0.25">
      <c r="A6" s="2"/>
      <c r="B6" s="173">
        <v>44470</v>
      </c>
      <c r="C6" s="174">
        <v>36.1</v>
      </c>
      <c r="D6" s="175" t="s">
        <v>647</v>
      </c>
      <c r="E6" s="176" t="s">
        <v>648</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27" x14ac:dyDescent="0.25">
      <c r="A7" s="2"/>
      <c r="B7" s="173">
        <v>44378</v>
      </c>
      <c r="C7" s="174">
        <v>36</v>
      </c>
      <c r="D7" s="175" t="s">
        <v>649</v>
      </c>
      <c r="E7" s="176" t="s">
        <v>650</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81" x14ac:dyDescent="0.25">
      <c r="A8" s="2"/>
      <c r="B8" s="173">
        <v>44044</v>
      </c>
      <c r="C8" s="174">
        <v>35.1</v>
      </c>
      <c r="D8" s="175" t="s">
        <v>651</v>
      </c>
      <c r="E8" s="176" t="s">
        <v>650</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270" x14ac:dyDescent="0.25">
      <c r="A9" s="2"/>
      <c r="B9" s="173">
        <v>44013</v>
      </c>
      <c r="C9" s="174">
        <v>35</v>
      </c>
      <c r="D9" s="175" t="s">
        <v>652</v>
      </c>
      <c r="E9" s="176" t="s">
        <v>650</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ht="13.5" hidden="1" x14ac:dyDescent="0.25">
      <c r="A10" s="2"/>
      <c r="B10" s="173">
        <v>43952</v>
      </c>
      <c r="C10" s="174">
        <v>34.1</v>
      </c>
      <c r="D10" s="175" t="s">
        <v>653</v>
      </c>
      <c r="E10" s="176" t="s">
        <v>654</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67.5" hidden="1" x14ac:dyDescent="0.25">
      <c r="A11" s="2"/>
      <c r="B11" s="173">
        <v>43556</v>
      </c>
      <c r="C11" s="174">
        <v>34</v>
      </c>
      <c r="D11" s="175" t="s">
        <v>655</v>
      </c>
      <c r="E11" s="176" t="s">
        <v>656</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ht="13.5" hidden="1" x14ac:dyDescent="0.25">
      <c r="A12" s="2"/>
      <c r="B12" s="173">
        <v>43479</v>
      </c>
      <c r="C12" s="174">
        <v>33.1</v>
      </c>
      <c r="D12" s="175" t="s">
        <v>657</v>
      </c>
      <c r="E12" s="176" t="s">
        <v>658</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162" hidden="1" x14ac:dyDescent="0.25">
      <c r="A13" s="2"/>
      <c r="B13" s="173">
        <v>43221</v>
      </c>
      <c r="C13" s="174">
        <v>33</v>
      </c>
      <c r="D13" s="175" t="s">
        <v>659</v>
      </c>
      <c r="E13" s="176" t="s">
        <v>660</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40.5" hidden="1" x14ac:dyDescent="0.25">
      <c r="A14" s="2"/>
      <c r="B14" s="173">
        <v>43009</v>
      </c>
      <c r="C14" s="174">
        <v>32.1</v>
      </c>
      <c r="D14" s="175" t="s">
        <v>661</v>
      </c>
      <c r="E14" s="176" t="s">
        <v>662</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ht="40.5" hidden="1" x14ac:dyDescent="0.25">
      <c r="A15" s="2"/>
      <c r="B15" s="173">
        <v>42948</v>
      </c>
      <c r="C15" s="174">
        <v>32</v>
      </c>
      <c r="D15" s="175" t="s">
        <v>663</v>
      </c>
      <c r="E15" s="176" t="s">
        <v>664</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ht="13.5" hidden="1" x14ac:dyDescent="0.25">
      <c r="A16" s="2"/>
      <c r="B16" s="177">
        <v>42826</v>
      </c>
      <c r="C16" s="178">
        <v>31.2</v>
      </c>
      <c r="D16" s="179" t="s">
        <v>665</v>
      </c>
      <c r="E16" s="180" t="s">
        <v>664</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40.5" hidden="1" x14ac:dyDescent="0.25">
      <c r="A17" s="2"/>
      <c r="B17" s="177">
        <v>42705</v>
      </c>
      <c r="C17" s="178">
        <v>31.1</v>
      </c>
      <c r="D17" s="179" t="s">
        <v>666</v>
      </c>
      <c r="E17" s="180" t="s">
        <v>664</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216" hidden="1" x14ac:dyDescent="0.25">
      <c r="A18" s="2"/>
      <c r="B18" s="177">
        <v>42552</v>
      </c>
      <c r="C18" s="178">
        <v>31</v>
      </c>
      <c r="D18" s="179" t="s">
        <v>667</v>
      </c>
      <c r="E18" s="180" t="s">
        <v>668</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67.5" hidden="1" x14ac:dyDescent="0.25">
      <c r="A19" s="2"/>
      <c r="B19" s="177">
        <v>42156</v>
      </c>
      <c r="C19" s="178">
        <v>30</v>
      </c>
      <c r="D19" s="179" t="s">
        <v>669</v>
      </c>
      <c r="E19" s="180" t="s">
        <v>616</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42.5" hidden="1" x14ac:dyDescent="0.3">
      <c r="A20" s="2"/>
      <c r="B20" s="177">
        <v>41791</v>
      </c>
      <c r="C20" s="178">
        <v>29</v>
      </c>
      <c r="D20" s="181" t="s">
        <v>670</v>
      </c>
      <c r="E20" s="180" t="s">
        <v>616</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7" hidden="1" x14ac:dyDescent="0.25">
      <c r="A21" s="2"/>
      <c r="B21" s="182">
        <v>41671</v>
      </c>
      <c r="C21" s="174">
        <v>28.2</v>
      </c>
      <c r="D21" s="175" t="s">
        <v>671</v>
      </c>
      <c r="E21" s="176" t="s">
        <v>672</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27" hidden="1" x14ac:dyDescent="0.25">
      <c r="A22" s="2"/>
      <c r="B22" s="182">
        <v>41609</v>
      </c>
      <c r="C22" s="174">
        <v>28.1</v>
      </c>
      <c r="D22" s="175" t="s">
        <v>673</v>
      </c>
      <c r="E22" s="176" t="s">
        <v>672</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56" hidden="1" x14ac:dyDescent="0.25">
      <c r="A23" s="2"/>
      <c r="B23" s="182">
        <v>41456</v>
      </c>
      <c r="C23" s="174">
        <v>28</v>
      </c>
      <c r="D23" s="175" t="s">
        <v>674</v>
      </c>
      <c r="E23" s="176" t="s">
        <v>672</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7" hidden="1" x14ac:dyDescent="0.25">
      <c r="A24" s="2"/>
      <c r="B24" s="182">
        <v>41333</v>
      </c>
      <c r="C24" s="174">
        <v>27.5</v>
      </c>
      <c r="D24" s="175" t="s">
        <v>675</v>
      </c>
      <c r="E24" s="176" t="s">
        <v>672</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7" hidden="1" x14ac:dyDescent="0.25">
      <c r="A25" s="2"/>
      <c r="B25" s="182">
        <v>41275</v>
      </c>
      <c r="C25" s="174">
        <v>27.1</v>
      </c>
      <c r="D25" s="183" t="s">
        <v>676</v>
      </c>
      <c r="E25" s="176" t="s">
        <v>616</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27" hidden="1" x14ac:dyDescent="0.25">
      <c r="A26" s="2"/>
      <c r="B26" s="182">
        <v>41214</v>
      </c>
      <c r="C26" s="174">
        <v>27</v>
      </c>
      <c r="D26" s="183" t="s">
        <v>677</v>
      </c>
      <c r="E26" s="180" t="s">
        <v>672</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67.5" hidden="1" x14ac:dyDescent="0.25">
      <c r="A27" s="2"/>
      <c r="B27" s="182">
        <v>41091</v>
      </c>
      <c r="C27" s="184">
        <v>26.2</v>
      </c>
      <c r="D27" s="185" t="s">
        <v>678</v>
      </c>
      <c r="E27" s="186" t="s">
        <v>679</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ht="13.5" hidden="1" x14ac:dyDescent="0.25">
      <c r="A28" s="2"/>
      <c r="B28" s="187">
        <v>40920</v>
      </c>
      <c r="C28" s="188" t="s">
        <v>680</v>
      </c>
      <c r="D28" s="189" t="s">
        <v>681</v>
      </c>
      <c r="E28" s="190" t="s">
        <v>679</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ht="135.5" hidden="1" thickBot="1" x14ac:dyDescent="0.3">
      <c r="A29" s="2"/>
      <c r="B29" s="191">
        <v>40848</v>
      </c>
      <c r="C29" s="192" t="s">
        <v>682</v>
      </c>
      <c r="D29" s="193" t="s">
        <v>683</v>
      </c>
      <c r="E29" s="194" t="s">
        <v>679</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x14ac:dyDescent="0.25">
      <c r="B351" s="2"/>
      <c r="C351" s="2"/>
      <c r="D351" s="2"/>
      <c r="E351" s="2"/>
    </row>
    <row r="352" spans="1:41" x14ac:dyDescent="0.25">
      <c r="B352" s="2"/>
      <c r="C352" s="2"/>
      <c r="D352" s="2"/>
      <c r="E352" s="2"/>
    </row>
    <row r="353" spans="2:5" x14ac:dyDescent="0.25">
      <c r="B353" s="2"/>
      <c r="C353" s="2"/>
      <c r="D353" s="2"/>
      <c r="E353" s="2"/>
    </row>
    <row r="354" spans="2:5" x14ac:dyDescent="0.25">
      <c r="B354" s="2"/>
      <c r="C354" s="2"/>
      <c r="D354" s="2"/>
      <c r="E354" s="2"/>
    </row>
    <row r="355" spans="2:5" x14ac:dyDescent="0.25">
      <c r="B355" s="2"/>
      <c r="C355" s="2"/>
      <c r="D355" s="2"/>
      <c r="E355" s="2"/>
    </row>
    <row r="356" spans="2:5" x14ac:dyDescent="0.25">
      <c r="B356" s="2"/>
      <c r="C356" s="2"/>
      <c r="D356" s="2"/>
      <c r="E356" s="2"/>
    </row>
    <row r="357" spans="2:5" x14ac:dyDescent="0.25">
      <c r="B357" s="2"/>
      <c r="C357" s="2"/>
      <c r="D357" s="2"/>
      <c r="E357" s="2"/>
    </row>
    <row r="358" spans="2:5" x14ac:dyDescent="0.25">
      <c r="B358" s="2"/>
      <c r="C358" s="2"/>
      <c r="D358" s="2"/>
      <c r="E358" s="2"/>
    </row>
    <row r="359" spans="2:5" x14ac:dyDescent="0.25">
      <c r="B359" s="2"/>
      <c r="C359" s="2"/>
      <c r="D359" s="2"/>
      <c r="E359" s="2"/>
    </row>
    <row r="360" spans="2:5" x14ac:dyDescent="0.25">
      <c r="B360" s="2"/>
      <c r="C360" s="2"/>
      <c r="D360" s="2"/>
      <c r="E360" s="2"/>
    </row>
    <row r="361" spans="2:5" x14ac:dyDescent="0.25">
      <c r="B361" s="2"/>
      <c r="C361" s="2"/>
      <c r="D361" s="2"/>
      <c r="E361" s="2"/>
    </row>
    <row r="362" spans="2:5" x14ac:dyDescent="0.25">
      <c r="B362" s="2"/>
      <c r="C362" s="2"/>
      <c r="D362" s="2"/>
      <c r="E362" s="2"/>
    </row>
    <row r="363" spans="2:5" x14ac:dyDescent="0.25">
      <c r="B363" s="2"/>
      <c r="C363" s="2"/>
      <c r="D363" s="2"/>
      <c r="E363" s="2"/>
    </row>
  </sheetData>
  <pageMargins left="0.70866141732283472" right="0.70866141732283472" top="0.74803149606299213" bottom="0.74803149606299213" header="0.31496062992125984" footer="0.31496062992125984"/>
  <pageSetup paperSize="9" scale="53" orientation="portrait" r:id="rId1"/>
  <customProperties>
    <customPr name="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ACEACF"/>
  </sheetPr>
  <dimension ref="A1:AB23"/>
  <sheetViews>
    <sheetView showGridLines="0" topLeftCell="A6" zoomScale="105" zoomScaleNormal="130" workbookViewId="0">
      <selection activeCell="I13" sqref="I13"/>
    </sheetView>
  </sheetViews>
  <sheetFormatPr defaultColWidth="9.1796875" defaultRowHeight="13" x14ac:dyDescent="0.25"/>
  <cols>
    <col min="1" max="1" width="16.54296875" style="36" customWidth="1"/>
    <col min="2" max="9" width="5.54296875" style="36" customWidth="1"/>
    <col min="10" max="10" width="9.54296875" style="36" bestFit="1" customWidth="1"/>
    <col min="11" max="11" width="8.54296875" style="36" customWidth="1"/>
    <col min="12" max="15" width="5.453125" style="36" customWidth="1"/>
    <col min="16" max="16" width="8" style="36" customWidth="1"/>
    <col min="17" max="22" width="5.453125" style="36" customWidth="1"/>
    <col min="23" max="23" width="5" style="36" customWidth="1"/>
    <col min="24" max="34" width="5.453125" style="36" customWidth="1"/>
    <col min="35" max="35" width="5" style="36" customWidth="1"/>
    <col min="36" max="46" width="5.453125" style="36" customWidth="1"/>
    <col min="47" max="16384" width="9.1796875" style="36"/>
  </cols>
  <sheetData>
    <row r="1" spans="1:28" x14ac:dyDescent="0.25">
      <c r="A1" s="35" t="s">
        <v>684</v>
      </c>
    </row>
    <row r="2" spans="1:28" x14ac:dyDescent="0.25">
      <c r="A2" s="37"/>
      <c r="F2" s="38"/>
      <c r="H2" s="39"/>
      <c r="I2" s="40"/>
      <c r="T2" s="41"/>
      <c r="V2" s="42"/>
      <c r="Y2" s="42"/>
      <c r="Z2" s="42"/>
    </row>
    <row r="4" spans="1:28" x14ac:dyDescent="0.25">
      <c r="A4" s="43" t="s">
        <v>685</v>
      </c>
    </row>
    <row r="6" spans="1:28" ht="48" customHeight="1" x14ac:dyDescent="0.25">
      <c r="A6" s="44" t="s">
        <v>686</v>
      </c>
      <c r="B6" s="44" t="s">
        <v>687</v>
      </c>
      <c r="C6" s="44" t="s">
        <v>688</v>
      </c>
      <c r="D6" s="44" t="s">
        <v>689</v>
      </c>
      <c r="E6" s="44" t="s">
        <v>690</v>
      </c>
      <c r="F6" s="44" t="s">
        <v>691</v>
      </c>
      <c r="G6" s="44" t="s">
        <v>692</v>
      </c>
      <c r="H6" s="44" t="s">
        <v>693</v>
      </c>
      <c r="I6" s="44" t="s">
        <v>694</v>
      </c>
      <c r="J6" s="44" t="s">
        <v>695</v>
      </c>
      <c r="K6" s="44" t="s">
        <v>696</v>
      </c>
      <c r="L6" s="44" t="s">
        <v>697</v>
      </c>
      <c r="M6" s="44" t="s">
        <v>698</v>
      </c>
      <c r="N6" s="44" t="s">
        <v>477</v>
      </c>
      <c r="O6" s="44" t="s">
        <v>699</v>
      </c>
      <c r="P6" s="44" t="s">
        <v>700</v>
      </c>
      <c r="Q6" s="44" t="s">
        <v>701</v>
      </c>
      <c r="R6" s="44" t="s">
        <v>702</v>
      </c>
      <c r="S6" s="44" t="s">
        <v>703</v>
      </c>
      <c r="T6" s="44" t="s">
        <v>704</v>
      </c>
      <c r="U6" s="44" t="s">
        <v>705</v>
      </c>
      <c r="V6" s="44" t="s">
        <v>706</v>
      </c>
      <c r="W6" s="44" t="s">
        <v>707</v>
      </c>
      <c r="X6" s="44" t="s">
        <v>58</v>
      </c>
      <c r="Y6" s="44" t="s">
        <v>708</v>
      </c>
      <c r="Z6" s="44" t="s">
        <v>709</v>
      </c>
      <c r="AA6" s="44" t="s">
        <v>710</v>
      </c>
      <c r="AB6" s="44" t="s">
        <v>532</v>
      </c>
    </row>
    <row r="7" spans="1:28" ht="22.5" customHeight="1" x14ac:dyDescent="0.25">
      <c r="A7" s="37" t="str">
        <f>IF($A$2="","",$A$2)</f>
        <v/>
      </c>
      <c r="B7" s="45">
        <f>'Project Compliance Tool'!C9</f>
        <v>0</v>
      </c>
      <c r="C7" s="45">
        <f>'Project Compliance Tool'!D9</f>
        <v>0</v>
      </c>
      <c r="D7" s="79">
        <f>'Project Compliance Tool'!E9</f>
        <v>0</v>
      </c>
      <c r="E7" s="46">
        <f>'Project Compliance Tool'!F9</f>
        <v>0</v>
      </c>
      <c r="F7" s="46">
        <f>'Project Compliance Tool'!G9</f>
        <v>0</v>
      </c>
      <c r="G7" s="47" t="str">
        <f>'Project Compliance Tool'!O65</f>
        <v/>
      </c>
      <c r="H7" s="47">
        <f>'Project Compliance Tool'!N65</f>
        <v>0</v>
      </c>
      <c r="I7" s="48" t="str">
        <f>IFERROR(H7/G7,"")</f>
        <v/>
      </c>
      <c r="J7" s="49">
        <f>IF(SUM($K$14:$K$22)&gt;0,"MPS",C13)</f>
        <v>0</v>
      </c>
      <c r="K7" s="49">
        <f>IF(SUM($K$14:$K$22)&gt;0,"MPS",D13)</f>
        <v>0</v>
      </c>
      <c r="L7" s="49">
        <f>IF(SUM($K$14:$K$22)&gt;0,"MPS",E13)</f>
        <v>0</v>
      </c>
      <c r="M7" s="49" t="str">
        <f>IF(SUM($K$14:$K$22)&gt;0,"MPS",F13)</f>
        <v/>
      </c>
      <c r="N7" s="49">
        <f>IF(SUM($K$14:$K$22)&gt;0,"Multiple Project Types",G13)</f>
        <v>0</v>
      </c>
      <c r="O7" s="49">
        <f>IF(SUM($K$14:$K$22)&gt;0,"MPS",H13)</f>
        <v>0</v>
      </c>
      <c r="P7" s="49">
        <f>IF(SUM($K$14:$K$22)&gt;0,"MPS",I13)</f>
        <v>0</v>
      </c>
      <c r="Q7" s="49">
        <f>IF(SUM($K$14:$K$22)&gt;0,"MPS",J13)</f>
        <v>0</v>
      </c>
      <c r="R7" s="49" t="str">
        <f>IF(SUM($K$14:$K$22)&gt;0,"MPS",K13)</f>
        <v/>
      </c>
      <c r="S7" s="50" t="e">
        <f>IF(R7="MPS","MPS",R7/P7)</f>
        <v>#VALUE!</v>
      </c>
      <c r="T7" s="47" t="str">
        <f>'Project Compliance Tool'!P65</f>
        <v/>
      </c>
      <c r="U7" s="51" t="str">
        <f>'Project Compliance Tool'!Q65</f>
        <v/>
      </c>
      <c r="V7" s="51" t="str">
        <f>'Project Compliance Tool'!R65</f>
        <v/>
      </c>
      <c r="W7" s="51" t="str">
        <f>'Project Compliance Tool'!S65</f>
        <v/>
      </c>
      <c r="X7" s="49" t="str">
        <f>IF(SUM($M$14:$M$22)&gt;0,"MPS",M13)</f>
        <v/>
      </c>
      <c r="Y7" s="52" t="str">
        <f>'Project Compliance Tool'!T65</f>
        <v/>
      </c>
      <c r="Z7" s="52" t="str">
        <f>'Project Compliance Tool'!U65</f>
        <v/>
      </c>
      <c r="AA7" s="47">
        <f>Q23</f>
        <v>0</v>
      </c>
      <c r="AB7" s="52" t="str">
        <f>'Project Compliance Tool'!V65</f>
        <v>Dewiswch Raglen</v>
      </c>
    </row>
    <row r="10" spans="1:28" x14ac:dyDescent="0.25">
      <c r="A10" s="43" t="s">
        <v>711</v>
      </c>
    </row>
    <row r="12" spans="1:28" ht="78" x14ac:dyDescent="0.25">
      <c r="A12" s="44" t="s">
        <v>686</v>
      </c>
      <c r="B12" s="44" t="s">
        <v>712</v>
      </c>
      <c r="C12" s="44" t="s">
        <v>713</v>
      </c>
      <c r="D12" s="44" t="s">
        <v>714</v>
      </c>
      <c r="E12" s="44" t="s">
        <v>697</v>
      </c>
      <c r="F12" s="44" t="s">
        <v>698</v>
      </c>
      <c r="G12" s="44" t="s">
        <v>477</v>
      </c>
      <c r="H12" s="44" t="s">
        <v>715</v>
      </c>
      <c r="I12" s="44" t="s">
        <v>716</v>
      </c>
      <c r="J12" s="44" t="s">
        <v>717</v>
      </c>
      <c r="K12" s="44" t="s">
        <v>718</v>
      </c>
      <c r="L12" s="44" t="s">
        <v>703</v>
      </c>
      <c r="M12" s="44" t="s">
        <v>58</v>
      </c>
      <c r="N12" s="44" t="s">
        <v>719</v>
      </c>
      <c r="O12" s="44" t="s">
        <v>707</v>
      </c>
      <c r="P12" s="44" t="s">
        <v>720</v>
      </c>
      <c r="Q12" s="44" t="s">
        <v>710</v>
      </c>
      <c r="R12" s="44" t="s">
        <v>721</v>
      </c>
      <c r="T12" s="44" t="s">
        <v>722</v>
      </c>
      <c r="U12" s="44" t="s">
        <v>723</v>
      </c>
    </row>
    <row r="13" spans="1:28" x14ac:dyDescent="0.25">
      <c r="A13" s="37" t="str">
        <f>IF($A$2="","",$A$2)</f>
        <v/>
      </c>
      <c r="B13" s="37" t="e">
        <f>U13&amp;T13&amp;$A$2</f>
        <v>#N/A</v>
      </c>
      <c r="C13" s="37">
        <f>'Project Compliance Tool'!D12</f>
        <v>0</v>
      </c>
      <c r="D13" s="53">
        <f>'Project Compliance Tool'!E12</f>
        <v>0</v>
      </c>
      <c r="E13" s="53">
        <f>'Project Compliance Tool'!F12</f>
        <v>0</v>
      </c>
      <c r="F13" s="53" t="str">
        <f>'Project Compliance Tool'!G12</f>
        <v/>
      </c>
      <c r="G13" s="37">
        <f>'Project Compliance Tool'!H12</f>
        <v>0</v>
      </c>
      <c r="H13" s="37">
        <f>'Project Compliance Tool'!I12</f>
        <v>0</v>
      </c>
      <c r="I13" s="53">
        <f>'Project Compliance Tool'!K12</f>
        <v>0</v>
      </c>
      <c r="J13" s="53">
        <f>'Project Compliance Tool'!L12</f>
        <v>0</v>
      </c>
      <c r="K13" s="53" t="str">
        <f>'Project Compliance Tool'!M12</f>
        <v/>
      </c>
      <c r="L13" s="54">
        <f>'Project Compliance Tool'!N12</f>
        <v>0</v>
      </c>
      <c r="M13" s="53" t="str">
        <f>'Project Compliance Tool'!W12</f>
        <v/>
      </c>
      <c r="N13" s="47" t="str">
        <f>'Project Compliance Tool'!P12</f>
        <v/>
      </c>
      <c r="O13" s="53" t="str">
        <f>'Project Compliance Tool'!S12</f>
        <v/>
      </c>
      <c r="P13" s="53" t="str">
        <f>'Project Compliance Tool'!T12</f>
        <v/>
      </c>
      <c r="Q13" s="47" t="str">
        <f>IFERROR(N13*M13,"")</f>
        <v/>
      </c>
      <c r="R13" s="47">
        <f>'Project Compliance Tool'!O12</f>
        <v>0</v>
      </c>
      <c r="T13" s="37">
        <f>COUNTIF($U$13:U13,U13)</f>
        <v>1</v>
      </c>
      <c r="U13" s="37" t="e">
        <f>VLOOKUP(C13,'Eligible Technologies'!$J$17:$Q$26,7,FALSE)</f>
        <v>#N/A</v>
      </c>
      <c r="V13" s="55">
        <f t="shared" ref="V13:V22" si="0">IF(LEN(TRIM(C13))=0,0,LEN(TRIM(C13))-LEN(SUBSTITUTE(C13," ",""))+1)</f>
        <v>1</v>
      </c>
      <c r="W13" s="55" t="e">
        <f>RIGHT(C13,LEN(C13)-FIND("^^",SUBSTITUTE(C13," ",
"^^",LEN(C13)-LEN(SUBSTITUTE(C13," ","")))))</f>
        <v>#VALUE!</v>
      </c>
    </row>
    <row r="14" spans="1:28" x14ac:dyDescent="0.25">
      <c r="A14" s="37" t="str">
        <f t="shared" ref="A14:A22" si="1">IF($A$2="","",$A$2)</f>
        <v/>
      </c>
      <c r="B14" s="37" t="e">
        <f>U14&amp;T14&amp;$A$2</f>
        <v>#N/A</v>
      </c>
      <c r="C14" s="37">
        <f>'Project Compliance Tool'!D13</f>
        <v>0</v>
      </c>
      <c r="D14" s="53">
        <f>'Project Compliance Tool'!E13</f>
        <v>0</v>
      </c>
      <c r="E14" s="53">
        <f>'Project Compliance Tool'!F13</f>
        <v>0</v>
      </c>
      <c r="F14" s="53" t="str">
        <f>'Project Compliance Tool'!G13</f>
        <v/>
      </c>
      <c r="G14" s="37">
        <f>'Project Compliance Tool'!H13</f>
        <v>0</v>
      </c>
      <c r="H14" s="37">
        <f>'Project Compliance Tool'!I13</f>
        <v>0</v>
      </c>
      <c r="I14" s="53">
        <f>'Project Compliance Tool'!K13</f>
        <v>0</v>
      </c>
      <c r="J14" s="53">
        <f>'Project Compliance Tool'!L13</f>
        <v>0</v>
      </c>
      <c r="K14" s="53" t="str">
        <f>'Project Compliance Tool'!M13</f>
        <v/>
      </c>
      <c r="L14" s="54">
        <f>'Project Compliance Tool'!N13</f>
        <v>0</v>
      </c>
      <c r="M14" s="53" t="str">
        <f>'Project Compliance Tool'!W13</f>
        <v/>
      </c>
      <c r="N14" s="47" t="str">
        <f>'Project Compliance Tool'!P13</f>
        <v/>
      </c>
      <c r="O14" s="53" t="str">
        <f>'Project Compliance Tool'!S13</f>
        <v/>
      </c>
      <c r="P14" s="53" t="str">
        <f>'Project Compliance Tool'!T13</f>
        <v/>
      </c>
      <c r="Q14" s="47" t="str">
        <f t="shared" ref="Q14:Q22" si="2">IFERROR(N14*M14,"")</f>
        <v/>
      </c>
      <c r="R14" s="47">
        <f>'Project Compliance Tool'!O13</f>
        <v>0</v>
      </c>
      <c r="T14" s="37">
        <f>COUNTIF($U$13:U14,U14)</f>
        <v>2</v>
      </c>
      <c r="U14" s="37" t="e">
        <f>VLOOKUP(C14,'Eligible Technologies'!$J$17:$Q$26,7,FALSE)</f>
        <v>#N/A</v>
      </c>
      <c r="V14" s="55">
        <f t="shared" si="0"/>
        <v>1</v>
      </c>
      <c r="W14" s="55" t="e">
        <f>RIGHT(C14,LEN(C14)-FIND("^^",SUBSTITUTE(C14," ",
"^^",LEN(C14)-LEN(SUBSTITUTE(C14," ","")))))</f>
        <v>#VALUE!</v>
      </c>
    </row>
    <row r="15" spans="1:28" x14ac:dyDescent="0.25">
      <c r="A15" s="37" t="str">
        <f t="shared" si="1"/>
        <v/>
      </c>
      <c r="B15" s="37" t="e">
        <f t="shared" ref="B15:B22" si="3">U15&amp;T15&amp;$A$2</f>
        <v>#N/A</v>
      </c>
      <c r="C15" s="37">
        <f>'Project Compliance Tool'!D14</f>
        <v>0</v>
      </c>
      <c r="D15" s="53">
        <f>'Project Compliance Tool'!E14</f>
        <v>0</v>
      </c>
      <c r="E15" s="53">
        <f>'Project Compliance Tool'!F14</f>
        <v>0</v>
      </c>
      <c r="F15" s="53" t="str">
        <f>'Project Compliance Tool'!G14</f>
        <v/>
      </c>
      <c r="G15" s="37">
        <f>'Project Compliance Tool'!H14</f>
        <v>0</v>
      </c>
      <c r="H15" s="37">
        <f>'Project Compliance Tool'!I14</f>
        <v>0</v>
      </c>
      <c r="I15" s="53">
        <f>'Project Compliance Tool'!K14</f>
        <v>0</v>
      </c>
      <c r="J15" s="53">
        <f>'Project Compliance Tool'!L14</f>
        <v>0</v>
      </c>
      <c r="K15" s="53" t="str">
        <f>'Project Compliance Tool'!M14</f>
        <v/>
      </c>
      <c r="L15" s="54">
        <f>'Project Compliance Tool'!N14</f>
        <v>0</v>
      </c>
      <c r="M15" s="53" t="str">
        <f>'Project Compliance Tool'!W14</f>
        <v/>
      </c>
      <c r="N15" s="47" t="str">
        <f>'Project Compliance Tool'!P14</f>
        <v/>
      </c>
      <c r="O15" s="53" t="str">
        <f>'Project Compliance Tool'!S14</f>
        <v/>
      </c>
      <c r="P15" s="53" t="str">
        <f>'Project Compliance Tool'!T14</f>
        <v/>
      </c>
      <c r="Q15" s="47" t="str">
        <f t="shared" si="2"/>
        <v/>
      </c>
      <c r="R15" s="47">
        <f>'Project Compliance Tool'!O14</f>
        <v>0</v>
      </c>
      <c r="T15" s="37">
        <f>COUNTIF($U$13:U15,U15)</f>
        <v>3</v>
      </c>
      <c r="U15" s="37" t="e">
        <f>VLOOKUP(C15,'Eligible Technologies'!$J$17:$Q$26,7,FALSE)</f>
        <v>#N/A</v>
      </c>
      <c r="V15" s="55">
        <f t="shared" si="0"/>
        <v>1</v>
      </c>
      <c r="W15" s="55" t="e">
        <f>RIGHT(C15,LEN(C15)-FIND("^^",SUBSTITUTE(C15," ",
"^^",LEN(C15)-LEN(SUBSTITUTE(C15," ","")))))</f>
        <v>#VALUE!</v>
      </c>
    </row>
    <row r="16" spans="1:28" x14ac:dyDescent="0.25">
      <c r="A16" s="37" t="str">
        <f t="shared" si="1"/>
        <v/>
      </c>
      <c r="B16" s="37" t="e">
        <f t="shared" si="3"/>
        <v>#N/A</v>
      </c>
      <c r="C16" s="37">
        <f>'Project Compliance Tool'!D15</f>
        <v>0</v>
      </c>
      <c r="D16" s="53">
        <f>'Project Compliance Tool'!E15</f>
        <v>0</v>
      </c>
      <c r="E16" s="53">
        <f>'Project Compliance Tool'!F15</f>
        <v>0</v>
      </c>
      <c r="F16" s="53" t="str">
        <f>'Project Compliance Tool'!G15</f>
        <v/>
      </c>
      <c r="G16" s="37">
        <f>'Project Compliance Tool'!H15</f>
        <v>0</v>
      </c>
      <c r="H16" s="37">
        <f>'Project Compliance Tool'!I15</f>
        <v>0</v>
      </c>
      <c r="I16" s="53">
        <f>'Project Compliance Tool'!K15</f>
        <v>0</v>
      </c>
      <c r="J16" s="53">
        <f>'Project Compliance Tool'!L15</f>
        <v>0</v>
      </c>
      <c r="K16" s="53" t="str">
        <f>'Project Compliance Tool'!M15</f>
        <v/>
      </c>
      <c r="L16" s="54">
        <f>'Project Compliance Tool'!N15</f>
        <v>0</v>
      </c>
      <c r="M16" s="53" t="str">
        <f>'Project Compliance Tool'!W15</f>
        <v/>
      </c>
      <c r="N16" s="47" t="str">
        <f>'Project Compliance Tool'!P15</f>
        <v/>
      </c>
      <c r="O16" s="53" t="str">
        <f>'Project Compliance Tool'!S15</f>
        <v/>
      </c>
      <c r="P16" s="53" t="str">
        <f>'Project Compliance Tool'!T15</f>
        <v/>
      </c>
      <c r="Q16" s="47" t="str">
        <f t="shared" si="2"/>
        <v/>
      </c>
      <c r="R16" s="47">
        <f>'Project Compliance Tool'!O15</f>
        <v>0</v>
      </c>
      <c r="T16" s="37">
        <f>COUNTIF($U$13:U16,U16)</f>
        <v>4</v>
      </c>
      <c r="U16" s="37" t="e">
        <f>VLOOKUP(C16,'Eligible Technologies'!$J$17:$Q$26,7,FALSE)</f>
        <v>#N/A</v>
      </c>
      <c r="V16" s="55">
        <f t="shared" si="0"/>
        <v>1</v>
      </c>
      <c r="W16" s="55" t="e">
        <f>RIGHT(C16,LEN(C16)-FIND("^^",SUBSTITUTE(C16," ",
"^^",LEN(C16)-LEN(SUBSTITUTE(C16," ","")))))</f>
        <v>#VALUE!</v>
      </c>
    </row>
    <row r="17" spans="1:23" x14ac:dyDescent="0.25">
      <c r="A17" s="37" t="str">
        <f t="shared" si="1"/>
        <v/>
      </c>
      <c r="B17" s="37" t="e">
        <f t="shared" si="3"/>
        <v>#N/A</v>
      </c>
      <c r="C17" s="37">
        <f>'Project Compliance Tool'!D16</f>
        <v>0</v>
      </c>
      <c r="D17" s="53">
        <f>'Project Compliance Tool'!E16</f>
        <v>0</v>
      </c>
      <c r="E17" s="53">
        <f>'Project Compliance Tool'!F16</f>
        <v>0</v>
      </c>
      <c r="F17" s="53" t="str">
        <f>'Project Compliance Tool'!G16</f>
        <v/>
      </c>
      <c r="G17" s="37">
        <f>'Project Compliance Tool'!H16</f>
        <v>0</v>
      </c>
      <c r="H17" s="37">
        <f>'Project Compliance Tool'!I16</f>
        <v>0</v>
      </c>
      <c r="I17" s="53">
        <f>'Project Compliance Tool'!K16</f>
        <v>0</v>
      </c>
      <c r="J17" s="53">
        <f>'Project Compliance Tool'!L16</f>
        <v>0</v>
      </c>
      <c r="K17" s="53" t="str">
        <f>'Project Compliance Tool'!M16</f>
        <v/>
      </c>
      <c r="L17" s="54">
        <f>'Project Compliance Tool'!N16</f>
        <v>0</v>
      </c>
      <c r="M17" s="53" t="str">
        <f>'Project Compliance Tool'!W16</f>
        <v/>
      </c>
      <c r="N17" s="47" t="str">
        <f>'Project Compliance Tool'!P16</f>
        <v/>
      </c>
      <c r="O17" s="53" t="str">
        <f>'Project Compliance Tool'!S16</f>
        <v/>
      </c>
      <c r="P17" s="53" t="str">
        <f>'Project Compliance Tool'!T16</f>
        <v/>
      </c>
      <c r="Q17" s="47" t="str">
        <f t="shared" si="2"/>
        <v/>
      </c>
      <c r="R17" s="47">
        <f>'Project Compliance Tool'!O16</f>
        <v>0</v>
      </c>
      <c r="T17" s="37">
        <f>COUNTIF($U$13:U17,U17)</f>
        <v>5</v>
      </c>
      <c r="U17" s="37" t="e">
        <f>VLOOKUP(C17,'Eligible Technologies'!$J$17:$Q$26,7,FALSE)</f>
        <v>#N/A</v>
      </c>
      <c r="V17" s="55">
        <f t="shared" si="0"/>
        <v>1</v>
      </c>
      <c r="W17" s="55" t="e">
        <f t="shared" ref="W17:W22" si="4">RIGHT(C17,LEN(C17)-FIND("^^",SUBSTITUTE(C17," ",
"^^",LEN(C17)-LEN(SUBSTITUTE(C17," ","")))))</f>
        <v>#VALUE!</v>
      </c>
    </row>
    <row r="18" spans="1:23" x14ac:dyDescent="0.25">
      <c r="A18" s="37" t="str">
        <f t="shared" si="1"/>
        <v/>
      </c>
      <c r="B18" s="37" t="e">
        <f t="shared" si="3"/>
        <v>#N/A</v>
      </c>
      <c r="C18" s="37">
        <f>'Project Compliance Tool'!D17</f>
        <v>0</v>
      </c>
      <c r="D18" s="53">
        <f>'Project Compliance Tool'!E17</f>
        <v>0</v>
      </c>
      <c r="E18" s="53">
        <f>'Project Compliance Tool'!F17</f>
        <v>0</v>
      </c>
      <c r="F18" s="53" t="str">
        <f>'Project Compliance Tool'!G17</f>
        <v/>
      </c>
      <c r="G18" s="37">
        <f>'Project Compliance Tool'!H17</f>
        <v>0</v>
      </c>
      <c r="H18" s="37">
        <f>'Project Compliance Tool'!I17</f>
        <v>0</v>
      </c>
      <c r="I18" s="53">
        <f>'Project Compliance Tool'!K17</f>
        <v>0</v>
      </c>
      <c r="J18" s="53">
        <f>'Project Compliance Tool'!L17</f>
        <v>0</v>
      </c>
      <c r="K18" s="53" t="str">
        <f>'Project Compliance Tool'!M17</f>
        <v/>
      </c>
      <c r="L18" s="54">
        <f>'Project Compliance Tool'!N17</f>
        <v>0</v>
      </c>
      <c r="M18" s="53" t="str">
        <f>'Project Compliance Tool'!W17</f>
        <v/>
      </c>
      <c r="N18" s="47" t="str">
        <f>'Project Compliance Tool'!P17</f>
        <v/>
      </c>
      <c r="O18" s="53" t="str">
        <f>'Project Compliance Tool'!S17</f>
        <v/>
      </c>
      <c r="P18" s="53" t="str">
        <f>'Project Compliance Tool'!T17</f>
        <v/>
      </c>
      <c r="Q18" s="47" t="str">
        <f t="shared" si="2"/>
        <v/>
      </c>
      <c r="R18" s="47">
        <f>'Project Compliance Tool'!O17</f>
        <v>0</v>
      </c>
      <c r="T18" s="37">
        <f>COUNTIF($U$13:U18,U18)</f>
        <v>6</v>
      </c>
      <c r="U18" s="37" t="e">
        <f>VLOOKUP(C18,'Eligible Technologies'!$J$17:$Q$26,7,FALSE)</f>
        <v>#N/A</v>
      </c>
      <c r="V18" s="55">
        <f t="shared" si="0"/>
        <v>1</v>
      </c>
      <c r="W18" s="55" t="e">
        <f t="shared" si="4"/>
        <v>#VALUE!</v>
      </c>
    </row>
    <row r="19" spans="1:23" x14ac:dyDescent="0.25">
      <c r="A19" s="37" t="str">
        <f t="shared" si="1"/>
        <v/>
      </c>
      <c r="B19" s="37" t="e">
        <f t="shared" si="3"/>
        <v>#N/A</v>
      </c>
      <c r="C19" s="37">
        <f>'Project Compliance Tool'!D18</f>
        <v>0</v>
      </c>
      <c r="D19" s="53">
        <f>'Project Compliance Tool'!E18</f>
        <v>0</v>
      </c>
      <c r="E19" s="53">
        <f>'Project Compliance Tool'!F18</f>
        <v>0</v>
      </c>
      <c r="F19" s="53" t="str">
        <f>'Project Compliance Tool'!G18</f>
        <v/>
      </c>
      <c r="G19" s="37">
        <f>'Project Compliance Tool'!H18</f>
        <v>0</v>
      </c>
      <c r="H19" s="37">
        <f>'Project Compliance Tool'!I18</f>
        <v>0</v>
      </c>
      <c r="I19" s="53">
        <f>'Project Compliance Tool'!K18</f>
        <v>0</v>
      </c>
      <c r="J19" s="53">
        <f>'Project Compliance Tool'!L18</f>
        <v>0</v>
      </c>
      <c r="K19" s="53" t="str">
        <f>'Project Compliance Tool'!M18</f>
        <v/>
      </c>
      <c r="L19" s="54">
        <f>'Project Compliance Tool'!N18</f>
        <v>0</v>
      </c>
      <c r="M19" s="53" t="str">
        <f>'Project Compliance Tool'!W18</f>
        <v/>
      </c>
      <c r="N19" s="47" t="str">
        <f>'Project Compliance Tool'!P18</f>
        <v/>
      </c>
      <c r="O19" s="53" t="str">
        <f>'Project Compliance Tool'!S18</f>
        <v/>
      </c>
      <c r="P19" s="53" t="str">
        <f>'Project Compliance Tool'!T18</f>
        <v/>
      </c>
      <c r="Q19" s="47" t="str">
        <f t="shared" si="2"/>
        <v/>
      </c>
      <c r="R19" s="47">
        <f>'Project Compliance Tool'!O18</f>
        <v>0</v>
      </c>
      <c r="T19" s="37">
        <f>COUNTIF($U$13:U19,U19)</f>
        <v>7</v>
      </c>
      <c r="U19" s="37" t="e">
        <f>VLOOKUP(C19,'Eligible Technologies'!$J$17:$Q$26,7,FALSE)</f>
        <v>#N/A</v>
      </c>
      <c r="V19" s="55">
        <f t="shared" si="0"/>
        <v>1</v>
      </c>
      <c r="W19" s="55" t="e">
        <f t="shared" si="4"/>
        <v>#VALUE!</v>
      </c>
    </row>
    <row r="20" spans="1:23" x14ac:dyDescent="0.25">
      <c r="A20" s="37" t="str">
        <f t="shared" si="1"/>
        <v/>
      </c>
      <c r="B20" s="37" t="e">
        <f t="shared" si="3"/>
        <v>#N/A</v>
      </c>
      <c r="C20" s="37">
        <f>'Project Compliance Tool'!D19</f>
        <v>0</v>
      </c>
      <c r="D20" s="53">
        <f>'Project Compliance Tool'!E19</f>
        <v>0</v>
      </c>
      <c r="E20" s="53">
        <f>'Project Compliance Tool'!F19</f>
        <v>0</v>
      </c>
      <c r="F20" s="53" t="str">
        <f>'Project Compliance Tool'!G19</f>
        <v/>
      </c>
      <c r="G20" s="37">
        <f>'Project Compliance Tool'!H19</f>
        <v>0</v>
      </c>
      <c r="H20" s="37">
        <f>'Project Compliance Tool'!I19</f>
        <v>0</v>
      </c>
      <c r="I20" s="53">
        <f>'Project Compliance Tool'!K19</f>
        <v>0</v>
      </c>
      <c r="J20" s="53">
        <f>'Project Compliance Tool'!L19</f>
        <v>0</v>
      </c>
      <c r="K20" s="53" t="str">
        <f>'Project Compliance Tool'!M19</f>
        <v/>
      </c>
      <c r="L20" s="54">
        <f>'Project Compliance Tool'!N19</f>
        <v>0</v>
      </c>
      <c r="M20" s="53" t="str">
        <f>'Project Compliance Tool'!W19</f>
        <v/>
      </c>
      <c r="N20" s="47" t="str">
        <f>'Project Compliance Tool'!P19</f>
        <v/>
      </c>
      <c r="O20" s="53" t="str">
        <f>'Project Compliance Tool'!S19</f>
        <v/>
      </c>
      <c r="P20" s="53" t="str">
        <f>'Project Compliance Tool'!T19</f>
        <v/>
      </c>
      <c r="Q20" s="47" t="str">
        <f t="shared" si="2"/>
        <v/>
      </c>
      <c r="R20" s="47">
        <f>'Project Compliance Tool'!O19</f>
        <v>0</v>
      </c>
      <c r="T20" s="37">
        <f>COUNTIF($U$13:U20,U20)</f>
        <v>8</v>
      </c>
      <c r="U20" s="37" t="e">
        <f>VLOOKUP(C20,'Eligible Technologies'!$J$17:$Q$26,7,FALSE)</f>
        <v>#N/A</v>
      </c>
      <c r="V20" s="55">
        <f t="shared" si="0"/>
        <v>1</v>
      </c>
      <c r="W20" s="55" t="e">
        <f t="shared" si="4"/>
        <v>#VALUE!</v>
      </c>
    </row>
    <row r="21" spans="1:23" x14ac:dyDescent="0.25">
      <c r="A21" s="37" t="str">
        <f t="shared" si="1"/>
        <v/>
      </c>
      <c r="B21" s="37" t="e">
        <f t="shared" si="3"/>
        <v>#N/A</v>
      </c>
      <c r="C21" s="37">
        <f>'Project Compliance Tool'!D20</f>
        <v>0</v>
      </c>
      <c r="D21" s="53">
        <f>'Project Compliance Tool'!E20</f>
        <v>0</v>
      </c>
      <c r="E21" s="53">
        <f>'Project Compliance Tool'!F20</f>
        <v>0</v>
      </c>
      <c r="F21" s="53" t="str">
        <f>'Project Compliance Tool'!G20</f>
        <v/>
      </c>
      <c r="G21" s="37">
        <f>'Project Compliance Tool'!H20</f>
        <v>0</v>
      </c>
      <c r="H21" s="37">
        <f>'Project Compliance Tool'!I20</f>
        <v>0</v>
      </c>
      <c r="I21" s="53">
        <f>'Project Compliance Tool'!K20</f>
        <v>0</v>
      </c>
      <c r="J21" s="53">
        <f>'Project Compliance Tool'!L20</f>
        <v>0</v>
      </c>
      <c r="K21" s="53" t="str">
        <f>'Project Compliance Tool'!M20</f>
        <v/>
      </c>
      <c r="L21" s="54">
        <f>'Project Compliance Tool'!N20</f>
        <v>0</v>
      </c>
      <c r="M21" s="53" t="str">
        <f>'Project Compliance Tool'!W20</f>
        <v/>
      </c>
      <c r="N21" s="47" t="str">
        <f>'Project Compliance Tool'!P20</f>
        <v/>
      </c>
      <c r="O21" s="53" t="str">
        <f>'Project Compliance Tool'!S20</f>
        <v/>
      </c>
      <c r="P21" s="53" t="str">
        <f>'Project Compliance Tool'!T20</f>
        <v/>
      </c>
      <c r="Q21" s="47" t="str">
        <f t="shared" si="2"/>
        <v/>
      </c>
      <c r="R21" s="47">
        <f>'Project Compliance Tool'!O20</f>
        <v>0</v>
      </c>
      <c r="T21" s="37">
        <f>COUNTIF($U$13:U21,U21)</f>
        <v>9</v>
      </c>
      <c r="U21" s="37" t="e">
        <f>VLOOKUP(C21,'Eligible Technologies'!$J$17:$Q$26,7,FALSE)</f>
        <v>#N/A</v>
      </c>
      <c r="V21" s="55">
        <f t="shared" si="0"/>
        <v>1</v>
      </c>
      <c r="W21" s="55" t="e">
        <f t="shared" si="4"/>
        <v>#VALUE!</v>
      </c>
    </row>
    <row r="22" spans="1:23" x14ac:dyDescent="0.25">
      <c r="A22" s="37" t="str">
        <f t="shared" si="1"/>
        <v/>
      </c>
      <c r="B22" s="37" t="e">
        <f t="shared" si="3"/>
        <v>#N/A</v>
      </c>
      <c r="C22" s="37">
        <f>'Project Compliance Tool'!D61</f>
        <v>0</v>
      </c>
      <c r="D22" s="53">
        <f>'Project Compliance Tool'!E61</f>
        <v>0</v>
      </c>
      <c r="E22" s="53">
        <f>'Project Compliance Tool'!F61</f>
        <v>0</v>
      </c>
      <c r="F22" s="53" t="str">
        <f>'Project Compliance Tool'!G61</f>
        <v/>
      </c>
      <c r="G22" s="37">
        <f>'Project Compliance Tool'!H61</f>
        <v>0</v>
      </c>
      <c r="H22" s="37">
        <f>'Project Compliance Tool'!I61</f>
        <v>0</v>
      </c>
      <c r="I22" s="53">
        <f>'Project Compliance Tool'!K61</f>
        <v>0</v>
      </c>
      <c r="J22" s="53">
        <f>'Project Compliance Tool'!L61</f>
        <v>0</v>
      </c>
      <c r="K22" s="53" t="str">
        <f>'Project Compliance Tool'!M61</f>
        <v/>
      </c>
      <c r="L22" s="54">
        <f>'Project Compliance Tool'!N61</f>
        <v>0</v>
      </c>
      <c r="M22" s="53" t="str">
        <f>'Project Compliance Tool'!W61</f>
        <v/>
      </c>
      <c r="N22" s="47" t="str">
        <f>'Project Compliance Tool'!P61</f>
        <v/>
      </c>
      <c r="O22" s="53" t="str">
        <f>'Project Compliance Tool'!S61</f>
        <v/>
      </c>
      <c r="P22" s="53" t="str">
        <f>'Project Compliance Tool'!T61</f>
        <v/>
      </c>
      <c r="Q22" s="47" t="str">
        <f t="shared" si="2"/>
        <v/>
      </c>
      <c r="R22" s="47">
        <f>'Project Compliance Tool'!O61</f>
        <v>0</v>
      </c>
      <c r="T22" s="37">
        <f>COUNTIF($U$13:U22,U22)</f>
        <v>10</v>
      </c>
      <c r="U22" s="37" t="e">
        <f>VLOOKUP(C22,'Eligible Technologies'!$J$17:$Q$26,7,FALSE)</f>
        <v>#N/A</v>
      </c>
      <c r="V22" s="55">
        <f t="shared" si="0"/>
        <v>1</v>
      </c>
      <c r="W22" s="55" t="e">
        <f t="shared" si="4"/>
        <v>#VALUE!</v>
      </c>
    </row>
    <row r="23" spans="1:23" x14ac:dyDescent="0.25">
      <c r="N23" s="47">
        <f>SUM(N13:N22)</f>
        <v>0</v>
      </c>
      <c r="O23" s="52">
        <f>SUM(O13:O22)</f>
        <v>0</v>
      </c>
      <c r="P23" s="52">
        <f>SUM(P13:P22)</f>
        <v>0</v>
      </c>
      <c r="Q23" s="47">
        <f>SUM(Q13:Q22)</f>
        <v>0</v>
      </c>
      <c r="R23" s="47">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3C89BCA-6C4E-44C0-9C03-F0B94DF7F4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3.xml><?xml version="1.0" encoding="utf-8"?>
<ds:datastoreItem xmlns:ds="http://schemas.openxmlformats.org/officeDocument/2006/customXml" ds:itemID="{51095DF9-7D38-434A-BE17-31AE48FEAC77}">
  <ds:schemaRefs>
    <ds:schemaRef ds:uri="35b6a7de-9e1a-4b3d-8e58-e2a3da2946eb"/>
    <ds:schemaRef ds:uri="http://purl.org/dc/elements/1.1/"/>
    <ds:schemaRef ds:uri="http://schemas.microsoft.com/office/2006/metadata/properties"/>
    <ds:schemaRef ds:uri="96adaec6-6188-43bf-aec5-291c802dcb1b"/>
    <ds:schemaRef ds:uri="8db9bdd8-629b-441c-9eb6-e46a2e9dae03"/>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46</vt:i4>
      </vt:variant>
    </vt:vector>
  </HeadingPairs>
  <TitlesOfParts>
    <vt:vector size="58" baseType="lpstr">
      <vt:lpstr>Terms and Conditions</vt:lpstr>
      <vt:lpstr>Guidance Notes</vt:lpstr>
      <vt:lpstr>Project Compliance Tool</vt:lpstr>
      <vt:lpstr>Business Case</vt:lpstr>
      <vt:lpstr>Loan Amortisation</vt:lpstr>
      <vt:lpstr>Eligible Technologies</vt:lpstr>
      <vt:lpstr>Extra look-up</vt:lpstr>
      <vt:lpstr>Assessment Form</vt:lpstr>
      <vt:lpstr>Additionality Criteria</vt:lpstr>
      <vt:lpstr>Definitions</vt:lpstr>
      <vt:lpstr>Revision History</vt:lpstr>
      <vt:lpstr>PETREAD</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Christian Smaditch</cp:lastModifiedBy>
  <cp:revision/>
  <dcterms:created xsi:type="dcterms:W3CDTF">2008-09-24T10:06:48Z</dcterms:created>
  <dcterms:modified xsi:type="dcterms:W3CDTF">2024-07-17T09:05:51Z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