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printerSettings/printerSettings2.bin" ContentType="application/vnd.openxmlformats-officedocument.spreadsheetml.printerSettings"/>
  <Override PartName="/xl/drawings/drawing2.xml" ContentType="application/vnd.openxmlformats-officedocument.drawing+xml"/>
  <Override PartName="/xl/printerSettings/printerSettings3.bin" ContentType="application/vnd.openxmlformats-officedocument.spreadsheetml.printerSettings"/>
  <Override PartName="/xl/drawings/drawing3.xml" ContentType="application/vnd.openxmlformats-officedocument.drawing+xml"/>
  <Override PartName="/xl/printerSettings/printerSettings4.bin" ContentType="application/vnd.openxmlformats-officedocument.spreadsheetml.printerSettings"/>
  <Override PartName="/xl/drawings/drawing4.xml" ContentType="application/vnd.openxmlformats-officedocument.drawing+xml"/>
  <Override PartName="/xl/printerSettings/printerSettings5.bin" ContentType="application/vnd.openxmlformats-officedocument.spreadsheetml.printerSettings"/>
  <Override PartName="/xl/drawings/drawing5.xml" ContentType="application/vnd.openxmlformats-officedocument.drawing+xml"/>
  <Override PartName="/xl/tables/table1.xml" ContentType="application/vnd.openxmlformats-officedocument.spreadsheetml.table+xml"/>
  <Override PartName="/xl/printerSettings/printerSettings6.bin" ContentType="application/vnd.openxmlformats-officedocument.spreadsheetml.printerSettings"/>
  <Override PartName="/xl/drawings/drawing6.xml" ContentType="application/vnd.openxmlformats-officedocument.drawing+xml"/>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drawings/drawing7.xml" ContentType="application/vnd.openxmlformats-officedocument.drawing+xml"/>
  <Override PartName="/xl/printerSettings/printerSettings9.bin" ContentType="application/vnd.openxmlformats-officedocument.spreadsheetml.printerSettings"/>
  <Override PartName="/xl/drawings/drawing8.xml" ContentType="application/vnd.openxmlformats-officedocument.drawing+xml"/>
  <Override PartName="/xl/printerSettings/printerSettings10.bin" ContentType="application/vnd.openxmlformats-officedocument.spreadsheetml.printerSettings"/>
  <Override PartName="/xl/drawings/drawing9.xml" ContentType="application/vnd.openxmlformats-officedocument.drawing+xml"/>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https://salix365.sharepoint.com/Tec/Docs/ZE. Loan Schemes/K. Project Compliance tools &amp; Business case template/1. Project compliance tools/Wales V38/"/>
    </mc:Choice>
  </mc:AlternateContent>
  <xr:revisionPtr revIDLastSave="3" documentId="8_{433D6889-A33D-4A36-8E4F-8AD40AFA2A8E}" xr6:coauthVersionLast="47" xr6:coauthVersionMax="47" xr10:uidLastSave="{9756C783-B9A0-4D0E-81F6-2313CCC5A3B3}"/>
  <bookViews>
    <workbookView xWindow="-110" yWindow="-110" windowWidth="19420" windowHeight="10420" tabRatio="872" firstSheet="1" activeTab="1" xr2:uid="{00000000-000D-0000-FFFF-FFFF00000000}"/>
  </bookViews>
  <sheets>
    <sheet name="CRYSTAL_PERSIST" sheetId="4" state="veryHidden" r:id="rId1"/>
    <sheet name="Terms and Conditions" sheetId="28" r:id="rId2"/>
    <sheet name="Guidance Notes" sheetId="22" r:id="rId3"/>
    <sheet name="Project Compliance Tool" sheetId="2" r:id="rId4"/>
    <sheet name="Business Case" sheetId="26" r:id="rId5"/>
    <sheet name="Loan Amortisation" sheetId="36" r:id="rId6"/>
    <sheet name="Eligible Technologies" sheetId="35" r:id="rId7"/>
    <sheet name="Extra look-up" sheetId="11" state="hidden" r:id="rId8"/>
    <sheet name="Assessment Form" sheetId="32" state="hidden" r:id="rId9"/>
    <sheet name="Additionality Criteria" sheetId="19" r:id="rId10"/>
    <sheet name="Definitions" sheetId="21" r:id="rId11"/>
    <sheet name="Revision History" sheetId="7" state="hidden" r:id="rId12"/>
    <sheet name="PETREAD" sheetId="23"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6" hidden="1">'Eligible Technologies'!$C$6:$G$69</definedName>
    <definedName name="_xlnm._FilterDatabase" localSheetId="12" hidden="1">PETREAD!$T$12:$U$22</definedName>
    <definedName name="Blank">'Extra look-up'!$B$30:$B$30</definedName>
    <definedName name="BMS" localSheetId="6">'Eligible Technologies'!$D$17:$D$18</definedName>
    <definedName name="BMS">'Eligible Technologies'!$D$17:$D$18</definedName>
    <definedName name="Boilers">#REF!</definedName>
    <definedName name="Building_Names" localSheetId="5">'Loan Amortisation'!#REF!:INDEX('Loan Amortisation'!#REF!,COUNTIF('Loan Amortisation'!#REF!,"?*"))</definedName>
    <definedName name="Building_Names">'[1]Backing Sheet - Buildings'!$E$2:INDEX('[1]Backing Sheet - Buildings'!$E$2:$E$101,COUNTIF('[1]Backing Sheet - Buildings'!$E$2:$E$101,"?*"))</definedName>
    <definedName name="Buildings" localSheetId="5">OFFSET('Loan Amortisation'!#REF!,0,0,COUNTA('Loan Amortisation'!#REF!),1)</definedName>
    <definedName name="Buildings">OFFSET('[1]Backing Sheet - Buildings'!A1,0,0,COUNTA('[1]Backing Sheet - Buildings'!$E$2:$E$101),1)</definedName>
    <definedName name="ChartXVals">OFFSET(INDEX(#REF!,MATCH("1",#REF!,0),1),0,0,COUNTIF(#REF!,"1"),1)</definedName>
    <definedName name="ChartYVals">OFFSET(INDEX(#REF!,MATCH("1",#REF!,0),3),0,0,COUNTIF(#REF!,"1"),1)</definedName>
    <definedName name="CHP">#REF!</definedName>
    <definedName name="CO2_factors">'Eligible Technologies'!$J$17:$K$26</definedName>
    <definedName name="Compressor">#REF!</definedName>
    <definedName name="Cooling">'Eligible Technologies'!$D$19:$D$23</definedName>
    <definedName name="Custom">#REF!</definedName>
    <definedName name="Data_Sheets">#REF!</definedName>
    <definedName name="DRange" localSheetId="6">'[2]Backing Sheet Buildings'!$D$2:INDEX('[2]Backing Sheet Buildings'!$D$2:$D$101,COUNTIF('[2]Backing Sheet Buildings'!$D$2:$D$101,"?*"))</definedName>
    <definedName name="DRange" localSheetId="5">'Loan Amortisation'!#REF!:INDEX('Loan Amortisation'!#REF!,COUNTIF('Loan Amortisation'!#REF!,"?*"))</definedName>
    <definedName name="DRange">'[1]Backing Sheet - Buildings'!$E$2:INDEX('[1]Backing Sheet - Buildings'!$E$2:$E$101,COUNTIF('[1]Backing Sheet - Buildings'!$E$2:$E$101,"?*"))</definedName>
    <definedName name="DRangeSystems" localSheetId="6">'[2]Backing Sheet Buildings'!$L$2:INDEX('[2]Backing Sheet Buildings'!$L$2:$L$101,COUNTIF('[2]Backing Sheet Buildings'!$L$2:$L$101,"?*"))</definedName>
    <definedName name="DRangeSystems" localSheetId="5">'Loan Amortisation'!#REF!:INDEX('Loan Amortisation'!#REF!,COUNTIF('Loan Amortisation'!#REF!,"?*"))</definedName>
    <definedName name="DRangeSystems">'[1]Backing Sheet - Buildings'!$M$2:INDEX('[1]Backing Sheet - Buildings'!$M$2:$M$101,COUNTIF('[1]Backing Sheet - Buildings'!$M$2:$M$101,"?*"))</definedName>
    <definedName name="EfW">'Eligible Technologies'!$D$24:$D$25</definedName>
    <definedName name="Emergency_Services">'Project Compliance Tool'!$AG$20:$AG$30</definedName>
    <definedName name="End_of_Life">#REF!</definedName>
    <definedName name="Energy_Savings_Calculations">#REF!</definedName>
    <definedName name="Energy_Types" localSheetId="5">#REF!</definedName>
    <definedName name="Energy_Types">'Eligible Technologies'!$J$17:$J$26</definedName>
    <definedName name="FPrice">'[3]Lookup Table'!$G$15:$G$87</definedName>
    <definedName name="FRange" localSheetId="6">'[2]Backing Sheet Buildings'!$K$2:INDEX('[2]Backing Sheet Buildings'!XFC1:XFC50,COUNTIF('[2]Backing Sheet Buildings'!$K$2:$K$51,"*?"))</definedName>
    <definedName name="FRange" localSheetId="5">'Loan Amortisation'!#REF!:INDEX('Loan Amortisation'!#REF!,COUNTIF('Loan Amortisation'!#REF!,"?*"))</definedName>
    <definedName name="FRange">'[1]Backing Sheet - Buildings'!$M$2:INDEX('[1]Backing Sheet - Buildings'!$M$2:$M$101,COUNTIF('[1]Backing Sheet - Buildings'!$M$2:$M$101,"?*"))</definedName>
    <definedName name="Fuel_type">'[4]Technology List &amp; Con. Factors'!$F$5:$F$14</definedName>
    <definedName name="Further_Education_Institute">'Project Compliance Tool'!$AH$20:$AH$37</definedName>
    <definedName name="Hand_dryers">#REF!</definedName>
    <definedName name="Heating">'Eligible Technologies'!$D$26:$D$32</definedName>
    <definedName name="Higher_Education_Institute">'Project Compliance Tool'!$AI$20:$AI$37</definedName>
    <definedName name="Hot_water">'Eligible Technologies'!$D$33:$D$35</definedName>
    <definedName name="Insulation_building_fabric">'Eligible Technologies'!$D$36:$D$43</definedName>
    <definedName name="Insulation_draught_proofing">'Eligible Technologies'!$D$44</definedName>
    <definedName name="Insulation_other">'Eligible Technologies'!$D$45:$D$49</definedName>
    <definedName name="Insulation_pipework">'Eligible Technologies'!$D$50:$D$51</definedName>
    <definedName name="IT">#REF!</definedName>
    <definedName name="Kitchen">#REF!</definedName>
    <definedName name="Lab">#REF!</definedName>
    <definedName name="LCH">'Eligible Technologies'!$D$7:$D$15</definedName>
    <definedName name="LEDs">'Eligible Technologies'!$D$52:$D$53</definedName>
    <definedName name="Lighting_controls">'Eligible Technologies'!$D$54:$D$55</definedName>
    <definedName name="Lighting_upgrades">'[5]Technology List &amp; Con. Factors'!#REF!</definedName>
    <definedName name="Local_Authority">'Project Compliance Tool'!$AJ$20:$AJ$33</definedName>
    <definedName name="Motor_controls">'Eligible Technologies'!$D$56:$D$58</definedName>
    <definedName name="Motor_replacement">'Eligible Technologies'!$D$59</definedName>
    <definedName name="NHS">'Project Compliance Tool'!$AK$20:$AK$29</definedName>
    <definedName name="Office">#REF!</definedName>
    <definedName name="Operation_hours">[6]Dashboard!$D$28</definedName>
    <definedName name="Primary_School">'Project Compliance Tool'!$AL$20:$AL$30</definedName>
    <definedName name="_xlnm.Print_Area" localSheetId="9">'Additionality Criteria'!$A$2:$M$8</definedName>
    <definedName name="_xlnm.Print_Area" localSheetId="8">'Assessment Form'!$B$4:$H$84</definedName>
    <definedName name="_xlnm.Print_Area" localSheetId="4">'Business Case'!$C$2:$I$101</definedName>
    <definedName name="_xlnm.Print_Area" localSheetId="10">Definitions!$A$2:$M$8</definedName>
    <definedName name="_xlnm.Print_Area" localSheetId="6">'Eligible Technologies'!$C$3:$G$69</definedName>
    <definedName name="_xlnm.Print_Area" localSheetId="2">'Guidance Notes'!$A$1:$S$50</definedName>
    <definedName name="_xlnm.Print_Area" localSheetId="5">#REF!</definedName>
    <definedName name="_xlnm.Print_Area" localSheetId="11">'Revision History'!$B$1:$E$29</definedName>
    <definedName name="_xlnm.Print_Area" localSheetId="1">'Terms and Conditions'!$B$1:$B$12</definedName>
    <definedName name="_xlnm.Print_Area">#REF!</definedName>
    <definedName name="Project_Programme">#REF!</definedName>
    <definedName name="Project_type" localSheetId="6">'[2]Extra look-up'!$A$3:$A$19</definedName>
    <definedName name="Project_type">'Extra look-up'!#REF!</definedName>
    <definedName name="Project_typee">#REF!</definedName>
    <definedName name="Recycling_Fund_England">'Extra look-up'!$G$81:$G$86</definedName>
    <definedName name="Recycling_Fund_England_HEI">'Extra look-up'!$G$80</definedName>
    <definedName name="Recycling_Fund_Scotland">'Extra look-up'!$G$94:$G$97</definedName>
    <definedName name="Recycling_Fund_Wales">'Extra look-up'!$G$103:$G$106</definedName>
    <definedName name="Renewables">'Eligible Technologies'!$D$60:$D$62</definedName>
    <definedName name="Risk_Register">#REF!</definedName>
    <definedName name="Salix_Decarbonisation_Fund">'Extra look-up'!$G$114:$G$119</definedName>
    <definedName name="Secondary_School">'Project Compliance Tool'!$AM$20:$AM$30</definedName>
    <definedName name="SEELS_England">'Extra look-up'!$G$87:$G$91</definedName>
    <definedName name="SEELS_Schools">'Extra look-up'!$G$92:$G$93</definedName>
    <definedName name="SEELS_Scotland">'Extra look-up'!$G$98:$G$102</definedName>
    <definedName name="SEELS_Wales">'Extra look-up'!$G$107:$G$113</definedName>
    <definedName name="Site_consumption">[7]Example!$C$19</definedName>
    <definedName name="Street_lighting">#REF!</definedName>
    <definedName name="Support_Tool_Building_List" localSheetId="5">'Loan Amortisation'!#REF!:INDEX('Loan Amortisation'!#REF!,COUNTIF('Loan Amortisation'!#REF!,"?*"))</definedName>
    <definedName name="Support_Tool_Building_List">'[1]Backing Sheet - Buildings'!$Y$2:INDEX('[1]Backing Sheet - Buildings'!$Y$2:$Y$101,COUNTIF('[1]Backing Sheet - Buildings'!$Y$2:$Y$101,"?*"))</definedName>
    <definedName name="Swimming">#REF!</definedName>
    <definedName name="Time_switches">'Eligible Technologies'!$D$63</definedName>
    <definedName name="Traffic_lights">#REF!</definedName>
    <definedName name="Transformers">'Eligible Technologies'!#REF!</definedName>
    <definedName name="Unit_cost">[6]Dashboard!$D$27</definedName>
    <definedName name="Ventilation">'Eligible Technologies'!$D$64:$D$69</definedName>
    <definedName name="Voltage_reduction">'[8]Lookup Table'!#REF!</definedName>
    <definedName name="Work_types">'Eligible Technologies'!$D$7:$D$15,'Eligible Technologies'!$D$7:$D$15,'Eligible Technologies'!$D$17:$D$69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4" i="36" l="1"/>
  <c r="E67" i="36" l="1"/>
  <c r="G56" i="36"/>
  <c r="O15" i="36"/>
  <c r="L9" i="2"/>
  <c r="D49" i="36"/>
  <c r="N18" i="36" s="1"/>
  <c r="AP41" i="36"/>
  <c r="AP42" i="36"/>
  <c r="AO8" i="36"/>
  <c r="AO49" i="36" s="1"/>
  <c r="AO44" i="36" l="1"/>
  <c r="AO48" i="36"/>
  <c r="AO41" i="36"/>
  <c r="AO42" i="36"/>
  <c r="AO43" i="36"/>
  <c r="AO45" i="36"/>
  <c r="AO46" i="36"/>
  <c r="AO47" i="36"/>
  <c r="AB70" i="36"/>
  <c r="D52" i="36" l="1"/>
  <c r="AQ15" i="36" s="1"/>
  <c r="AO7" i="36"/>
  <c r="D51" i="36" l="1"/>
  <c r="M31" i="36" s="1"/>
  <c r="AP48" i="36"/>
  <c r="AP49" i="36"/>
  <c r="AP47" i="36"/>
  <c r="AP46" i="36"/>
  <c r="D53" i="36" s="1"/>
  <c r="AP45" i="36"/>
  <c r="AP44" i="36"/>
  <c r="AP43" i="36"/>
  <c r="AS15" i="36" l="1"/>
  <c r="AO15" i="36"/>
  <c r="AO27" i="36" s="1"/>
  <c r="AN27" i="36" s="1"/>
  <c r="AO28" i="36" l="1"/>
  <c r="AO10" i="36"/>
  <c r="D54" i="36" l="1"/>
  <c r="AO22" i="36" s="1"/>
  <c r="AJ12" i="2"/>
  <c r="F122" i="11"/>
  <c r="G122" i="11" s="1"/>
  <c r="F80" i="11"/>
  <c r="E6" i="11"/>
  <c r="F6" i="11" s="1"/>
  <c r="F76" i="11"/>
  <c r="O4" i="2" s="1"/>
  <c r="D11" i="26"/>
  <c r="I28" i="26"/>
  <c r="H93" i="36"/>
  <c r="I93" i="36" s="1"/>
  <c r="O93" i="36" s="1"/>
  <c r="H92" i="36"/>
  <c r="I92" i="36" s="1"/>
  <c r="H91" i="36"/>
  <c r="I91" i="36" s="1"/>
  <c r="H90" i="36"/>
  <c r="H89" i="36"/>
  <c r="I89" i="36" s="1"/>
  <c r="H88" i="36"/>
  <c r="I88" i="36" s="1"/>
  <c r="H87" i="36"/>
  <c r="I87" i="36" s="1"/>
  <c r="H86" i="36"/>
  <c r="I86" i="36" s="1"/>
  <c r="H85" i="36"/>
  <c r="I85" i="36" s="1"/>
  <c r="H84" i="36"/>
  <c r="H83" i="36"/>
  <c r="I83" i="36" s="1"/>
  <c r="H82" i="36"/>
  <c r="I82" i="36" s="1"/>
  <c r="H81" i="36"/>
  <c r="I81" i="36" s="1"/>
  <c r="H80" i="36"/>
  <c r="I80" i="36" s="1"/>
  <c r="H79" i="36"/>
  <c r="I79" i="36" s="1"/>
  <c r="H78" i="36"/>
  <c r="H77" i="36"/>
  <c r="I77" i="36" s="1"/>
  <c r="H76" i="36"/>
  <c r="I76" i="36" s="1"/>
  <c r="H75" i="36"/>
  <c r="H74" i="36"/>
  <c r="I74" i="36" s="1"/>
  <c r="H73" i="36"/>
  <c r="I73" i="36" s="1"/>
  <c r="H72" i="36"/>
  <c r="I72" i="36" s="1"/>
  <c r="H71" i="36"/>
  <c r="I71" i="36" s="1"/>
  <c r="H70" i="36"/>
  <c r="I70" i="36" s="1"/>
  <c r="G57" i="36"/>
  <c r="O65" i="2" l="1"/>
  <c r="D48" i="36" s="1"/>
  <c r="K71" i="36"/>
  <c r="K70" i="36"/>
  <c r="K76" i="36"/>
  <c r="N34" i="36"/>
  <c r="AO25" i="36"/>
  <c r="AO26" i="36" s="1"/>
  <c r="AO23" i="36"/>
  <c r="AO24" i="36" s="1"/>
  <c r="I75" i="36"/>
  <c r="I90" i="36"/>
  <c r="K93" i="36"/>
  <c r="K91" i="36"/>
  <c r="K89" i="36"/>
  <c r="K87" i="36"/>
  <c r="K85" i="36"/>
  <c r="K83" i="36"/>
  <c r="K81" i="36"/>
  <c r="K79" i="36"/>
  <c r="K77" i="36"/>
  <c r="K74" i="36"/>
  <c r="K82" i="36"/>
  <c r="K92" i="36"/>
  <c r="K84" i="36"/>
  <c r="K86" i="36"/>
  <c r="N63" i="36"/>
  <c r="K88" i="36"/>
  <c r="K78" i="36"/>
  <c r="K90" i="36"/>
  <c r="K75" i="36"/>
  <c r="K72" i="36"/>
  <c r="K80" i="36"/>
  <c r="K73" i="36"/>
  <c r="I78" i="36"/>
  <c r="I84" i="36"/>
  <c r="N66" i="36"/>
  <c r="AO30" i="36" s="1"/>
  <c r="AH128" i="2"/>
  <c r="AH129" i="2"/>
  <c r="AH130" i="2"/>
  <c r="AH131" i="2"/>
  <c r="AH132" i="2"/>
  <c r="AH133" i="2"/>
  <c r="AH134" i="2"/>
  <c r="AH135" i="2"/>
  <c r="AH136" i="2"/>
  <c r="AH137" i="2"/>
  <c r="AH138" i="2"/>
  <c r="AH139" i="2"/>
  <c r="AH140" i="2"/>
  <c r="AH102" i="2"/>
  <c r="AH103" i="2"/>
  <c r="AH104" i="2"/>
  <c r="AH105" i="2"/>
  <c r="AH106" i="2"/>
  <c r="AH107" i="2"/>
  <c r="AH108" i="2"/>
  <c r="AH109" i="2"/>
  <c r="AH110" i="2"/>
  <c r="AH111" i="2"/>
  <c r="AH112" i="2"/>
  <c r="AH113" i="2"/>
  <c r="AH114" i="2"/>
  <c r="AH115" i="2"/>
  <c r="AH116" i="2"/>
  <c r="AH117" i="2"/>
  <c r="AH118" i="2"/>
  <c r="AH119" i="2"/>
  <c r="AH120" i="2"/>
  <c r="AH121" i="2"/>
  <c r="AH122" i="2"/>
  <c r="AH123" i="2"/>
  <c r="AH124" i="2"/>
  <c r="AH125" i="2"/>
  <c r="AH126" i="2"/>
  <c r="AH127" i="2"/>
  <c r="AH101" i="2"/>
  <c r="K17" i="35"/>
  <c r="A7" i="23"/>
  <c r="W14" i="2"/>
  <c r="AC14" i="2" s="1"/>
  <c r="AD14" i="2"/>
  <c r="L70" i="36" l="1"/>
  <c r="AO16" i="36"/>
  <c r="AO29" i="36"/>
  <c r="G76" i="11"/>
  <c r="AB71" i="36" l="1"/>
  <c r="E70" i="36"/>
  <c r="AA70" i="36" s="1"/>
  <c r="N62" i="36"/>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E15" i="11"/>
  <c r="F15" i="11" s="1"/>
  <c r="E16" i="11"/>
  <c r="F16" i="11" s="1"/>
  <c r="E17" i="11"/>
  <c r="F17" i="11" s="1"/>
  <c r="Z23" i="2" s="1"/>
  <c r="E18" i="11"/>
  <c r="F18" i="11" s="1"/>
  <c r="E19" i="11"/>
  <c r="F19" i="11" s="1"/>
  <c r="Z25" i="2" s="1"/>
  <c r="E20" i="11"/>
  <c r="F20" i="11" s="1"/>
  <c r="E21" i="11"/>
  <c r="F21" i="11" s="1"/>
  <c r="E22" i="11"/>
  <c r="F22" i="11" s="1"/>
  <c r="E23" i="11"/>
  <c r="F23" i="11" s="1"/>
  <c r="E24" i="11"/>
  <c r="F24" i="11" s="1"/>
  <c r="E25" i="11"/>
  <c r="F25" i="11" s="1"/>
  <c r="Z31" i="2" s="1"/>
  <c r="E26" i="11"/>
  <c r="F26" i="11" s="1"/>
  <c r="E27" i="11"/>
  <c r="F27" i="11" s="1"/>
  <c r="Z33" i="2" s="1"/>
  <c r="E28" i="11"/>
  <c r="F28" i="11" s="1"/>
  <c r="E29" i="11"/>
  <c r="F29" i="11" s="1"/>
  <c r="Z35" i="2" s="1"/>
  <c r="E30" i="11"/>
  <c r="F30" i="11" s="1"/>
  <c r="E31" i="11"/>
  <c r="F31" i="11" s="1"/>
  <c r="E32" i="11"/>
  <c r="F32" i="11" s="1"/>
  <c r="E33" i="11"/>
  <c r="F33" i="11" s="1"/>
  <c r="Z39" i="2" s="1"/>
  <c r="E34" i="11"/>
  <c r="F34" i="11" s="1"/>
  <c r="E35" i="11"/>
  <c r="F35" i="11" s="1"/>
  <c r="Z41" i="2" s="1"/>
  <c r="E36" i="11"/>
  <c r="F36" i="11" s="1"/>
  <c r="E37" i="11"/>
  <c r="F37" i="11" s="1"/>
  <c r="Z43" i="2" s="1"/>
  <c r="E38" i="11"/>
  <c r="F38" i="11" s="1"/>
  <c r="E39" i="11"/>
  <c r="F39" i="11" s="1"/>
  <c r="E40" i="11"/>
  <c r="F40" i="11" s="1"/>
  <c r="E41" i="11"/>
  <c r="F41" i="11" s="1"/>
  <c r="Z47" i="2" s="1"/>
  <c r="E42" i="11"/>
  <c r="F42" i="11" s="1"/>
  <c r="E43" i="11"/>
  <c r="F43" i="11" s="1"/>
  <c r="Z49" i="2" s="1"/>
  <c r="E44" i="11"/>
  <c r="F44" i="11" s="1"/>
  <c r="E45" i="11"/>
  <c r="F45" i="11" s="1"/>
  <c r="E46" i="11"/>
  <c r="F46" i="11" s="1"/>
  <c r="E47" i="11"/>
  <c r="F47" i="11" s="1"/>
  <c r="E48" i="11"/>
  <c r="F48" i="11" s="1"/>
  <c r="E49" i="11"/>
  <c r="F49" i="11" s="1"/>
  <c r="Z55" i="2" s="1"/>
  <c r="E50" i="11"/>
  <c r="F50" i="11" s="1"/>
  <c r="E51" i="11"/>
  <c r="F51" i="11" s="1"/>
  <c r="Z57" i="2" s="1"/>
  <c r="E52" i="11"/>
  <c r="F52" i="11" s="1"/>
  <c r="E53" i="11"/>
  <c r="F53" i="11" s="1"/>
  <c r="E54" i="11"/>
  <c r="F54" i="11" s="1"/>
  <c r="E55" i="11"/>
  <c r="F55" i="11" s="1"/>
  <c r="D50" i="11"/>
  <c r="D51" i="11"/>
  <c r="D52" i="11"/>
  <c r="D53" i="11"/>
  <c r="D54" i="11"/>
  <c r="D55" i="11"/>
  <c r="D28" i="11"/>
  <c r="D29" i="11"/>
  <c r="D30" i="11"/>
  <c r="D31" i="11"/>
  <c r="D32" i="11"/>
  <c r="D33" i="11"/>
  <c r="D34" i="11"/>
  <c r="D35" i="11"/>
  <c r="D36" i="11"/>
  <c r="D37" i="11"/>
  <c r="D38" i="11"/>
  <c r="D39" i="11"/>
  <c r="D40" i="11"/>
  <c r="D41" i="11"/>
  <c r="D42" i="11"/>
  <c r="D43" i="11"/>
  <c r="D44" i="11"/>
  <c r="D45" i="11"/>
  <c r="D46" i="11"/>
  <c r="D47" i="11"/>
  <c r="D48" i="11"/>
  <c r="D49" i="11"/>
  <c r="D15" i="11"/>
  <c r="D16" i="11"/>
  <c r="D17" i="11"/>
  <c r="D18" i="11"/>
  <c r="D19" i="11"/>
  <c r="D20" i="11"/>
  <c r="D21" i="11"/>
  <c r="D22" i="11"/>
  <c r="D23" i="11"/>
  <c r="D24" i="11"/>
  <c r="D25" i="11"/>
  <c r="D26" i="11"/>
  <c r="D27" i="11"/>
  <c r="W21" i="2"/>
  <c r="AC21" i="2" s="1"/>
  <c r="W22" i="2"/>
  <c r="AC22" i="2" s="1"/>
  <c r="W23" i="2"/>
  <c r="AC23" i="2" s="1"/>
  <c r="W24" i="2"/>
  <c r="AC24" i="2" s="1"/>
  <c r="W25" i="2"/>
  <c r="AC25" i="2" s="1"/>
  <c r="W26" i="2"/>
  <c r="AC26" i="2" s="1"/>
  <c r="W27" i="2"/>
  <c r="AC27" i="2" s="1"/>
  <c r="W28" i="2"/>
  <c r="AC28" i="2" s="1"/>
  <c r="W29" i="2"/>
  <c r="AC29" i="2" s="1"/>
  <c r="W30" i="2"/>
  <c r="AC30" i="2" s="1"/>
  <c r="W31" i="2"/>
  <c r="AC31" i="2" s="1"/>
  <c r="W32" i="2"/>
  <c r="AC32" i="2" s="1"/>
  <c r="W33" i="2"/>
  <c r="AC33" i="2" s="1"/>
  <c r="W34" i="2"/>
  <c r="AC34" i="2" s="1"/>
  <c r="W35" i="2"/>
  <c r="AC35" i="2" s="1"/>
  <c r="W36" i="2"/>
  <c r="AC36" i="2" s="1"/>
  <c r="W37" i="2"/>
  <c r="AC37" i="2" s="1"/>
  <c r="W38" i="2"/>
  <c r="AC38" i="2" s="1"/>
  <c r="W39" i="2"/>
  <c r="AC39" i="2" s="1"/>
  <c r="W40" i="2"/>
  <c r="AC40" i="2" s="1"/>
  <c r="W41" i="2"/>
  <c r="AC41" i="2" s="1"/>
  <c r="W42" i="2"/>
  <c r="AC42" i="2" s="1"/>
  <c r="W43" i="2"/>
  <c r="AC43" i="2" s="1"/>
  <c r="W44" i="2"/>
  <c r="AC44" i="2" s="1"/>
  <c r="W45" i="2"/>
  <c r="AC45" i="2" s="1"/>
  <c r="W46" i="2"/>
  <c r="AC46" i="2" s="1"/>
  <c r="W47" i="2"/>
  <c r="AC47" i="2" s="1"/>
  <c r="W48" i="2"/>
  <c r="AC48" i="2" s="1"/>
  <c r="W49" i="2"/>
  <c r="AC49" i="2" s="1"/>
  <c r="W50" i="2"/>
  <c r="AC50" i="2" s="1"/>
  <c r="W51" i="2"/>
  <c r="AC51" i="2" s="1"/>
  <c r="W52" i="2"/>
  <c r="AC52" i="2" s="1"/>
  <c r="W53" i="2"/>
  <c r="AC53" i="2" s="1"/>
  <c r="W54" i="2"/>
  <c r="AC54" i="2" s="1"/>
  <c r="W55" i="2"/>
  <c r="AC55" i="2" s="1"/>
  <c r="W56" i="2"/>
  <c r="AC56" i="2" s="1"/>
  <c r="W57" i="2"/>
  <c r="AC57" i="2" s="1"/>
  <c r="W58" i="2"/>
  <c r="AC58" i="2" s="1"/>
  <c r="W59" i="2"/>
  <c r="AC59" i="2" s="1"/>
  <c r="W60" i="2"/>
  <c r="AC60" i="2" s="1"/>
  <c r="W61" i="2"/>
  <c r="AC61" i="2" s="1"/>
  <c r="M21" i="2"/>
  <c r="P21" i="2" s="1"/>
  <c r="Q21" i="2" s="1"/>
  <c r="X21" i="2" s="1"/>
  <c r="M22" i="2"/>
  <c r="P22" i="2" s="1"/>
  <c r="Q22" i="2" s="1"/>
  <c r="X22" i="2" s="1"/>
  <c r="G22" i="2" s="1"/>
  <c r="M23" i="2"/>
  <c r="P23" i="2" s="1"/>
  <c r="Q23" i="2" s="1"/>
  <c r="X23" i="2" s="1"/>
  <c r="G23" i="2" s="1"/>
  <c r="M24" i="2"/>
  <c r="M25" i="2"/>
  <c r="M26" i="2"/>
  <c r="M27" i="2"/>
  <c r="N27" i="2" s="1"/>
  <c r="M28" i="2"/>
  <c r="N28" i="2" s="1"/>
  <c r="M29" i="2"/>
  <c r="P29" i="2" s="1"/>
  <c r="Q29" i="2" s="1"/>
  <c r="X29" i="2" s="1"/>
  <c r="G29" i="2" s="1"/>
  <c r="M30" i="2"/>
  <c r="P30" i="2" s="1"/>
  <c r="Q30" i="2" s="1"/>
  <c r="X30" i="2" s="1"/>
  <c r="G30" i="2" s="1"/>
  <c r="M31" i="2"/>
  <c r="P31" i="2" s="1"/>
  <c r="Q31" i="2" s="1"/>
  <c r="X31" i="2" s="1"/>
  <c r="G31" i="2" s="1"/>
  <c r="M32" i="2"/>
  <c r="M33" i="2"/>
  <c r="M34" i="2"/>
  <c r="M35" i="2"/>
  <c r="M36" i="2"/>
  <c r="N36" i="2" s="1"/>
  <c r="M37" i="2"/>
  <c r="P37" i="2" s="1"/>
  <c r="Q37" i="2" s="1"/>
  <c r="X37" i="2" s="1"/>
  <c r="G37" i="2" s="1"/>
  <c r="M38" i="2"/>
  <c r="P38" i="2" s="1"/>
  <c r="Q38" i="2" s="1"/>
  <c r="X38" i="2" s="1"/>
  <c r="G38" i="2" s="1"/>
  <c r="M39" i="2"/>
  <c r="P39" i="2" s="1"/>
  <c r="Q39" i="2" s="1"/>
  <c r="X39" i="2" s="1"/>
  <c r="G39" i="2" s="1"/>
  <c r="M40" i="2"/>
  <c r="M41" i="2"/>
  <c r="M42" i="2"/>
  <c r="M43" i="2"/>
  <c r="M44" i="2"/>
  <c r="N44" i="2" s="1"/>
  <c r="M45" i="2"/>
  <c r="P45" i="2" s="1"/>
  <c r="Q45" i="2" s="1"/>
  <c r="X45" i="2" s="1"/>
  <c r="G45" i="2" s="1"/>
  <c r="M46" i="2"/>
  <c r="P46" i="2" s="1"/>
  <c r="Q46" i="2" s="1"/>
  <c r="X46" i="2" s="1"/>
  <c r="G46" i="2" s="1"/>
  <c r="M47" i="2"/>
  <c r="P47" i="2" s="1"/>
  <c r="Q47" i="2" s="1"/>
  <c r="X47" i="2" s="1"/>
  <c r="G47" i="2" s="1"/>
  <c r="M48" i="2"/>
  <c r="M49" i="2"/>
  <c r="M50" i="2"/>
  <c r="M51" i="2"/>
  <c r="M52" i="2"/>
  <c r="N52" i="2" s="1"/>
  <c r="M53" i="2"/>
  <c r="P53" i="2" s="1"/>
  <c r="Q53" i="2" s="1"/>
  <c r="X53" i="2" s="1"/>
  <c r="G53" i="2" s="1"/>
  <c r="M54" i="2"/>
  <c r="P54" i="2" s="1"/>
  <c r="Q54" i="2" s="1"/>
  <c r="X54" i="2" s="1"/>
  <c r="G54" i="2" s="1"/>
  <c r="M55" i="2"/>
  <c r="P55" i="2" s="1"/>
  <c r="Q55" i="2" s="1"/>
  <c r="X55" i="2" s="1"/>
  <c r="G55" i="2" s="1"/>
  <c r="M56" i="2"/>
  <c r="M57" i="2"/>
  <c r="M58" i="2"/>
  <c r="M59" i="2"/>
  <c r="M60" i="2"/>
  <c r="N60" i="2" s="1"/>
  <c r="M61" i="2"/>
  <c r="P61" i="2" s="1"/>
  <c r="Q61" i="2" s="1"/>
  <c r="X61" i="2" s="1"/>
  <c r="G61" i="2" s="1"/>
  <c r="W12" i="2"/>
  <c r="AC12" i="2" s="1"/>
  <c r="AO102" i="2"/>
  <c r="AO103" i="2"/>
  <c r="AO104" i="2"/>
  <c r="AO105" i="2"/>
  <c r="AO106" i="2"/>
  <c r="AO107" i="2"/>
  <c r="AO108" i="2"/>
  <c r="AO109" i="2"/>
  <c r="AO110" i="2"/>
  <c r="AO111" i="2"/>
  <c r="AO112" i="2"/>
  <c r="AO113" i="2"/>
  <c r="AO114" i="2"/>
  <c r="AO115" i="2"/>
  <c r="AO116" i="2"/>
  <c r="AO117" i="2"/>
  <c r="AO118" i="2"/>
  <c r="AO119" i="2"/>
  <c r="AO120" i="2"/>
  <c r="AO121" i="2"/>
  <c r="AO122" i="2"/>
  <c r="AO123" i="2"/>
  <c r="AO124" i="2"/>
  <c r="AO125" i="2"/>
  <c r="AO126" i="2"/>
  <c r="AO127" i="2"/>
  <c r="AO128" i="2"/>
  <c r="AO129" i="2"/>
  <c r="AO130" i="2"/>
  <c r="AO131" i="2"/>
  <c r="AO132" i="2"/>
  <c r="AO133" i="2"/>
  <c r="AO134" i="2"/>
  <c r="AO135" i="2"/>
  <c r="AO136" i="2"/>
  <c r="AO137" i="2"/>
  <c r="AO138" i="2"/>
  <c r="AO139" i="2"/>
  <c r="AO140" i="2"/>
  <c r="AO101" i="2"/>
  <c r="AD39" i="2"/>
  <c r="AD42" i="2"/>
  <c r="AD41" i="2"/>
  <c r="AD31" i="2"/>
  <c r="AD34" i="2"/>
  <c r="AD57" i="2"/>
  <c r="AD40" i="2"/>
  <c r="AD21" i="2"/>
  <c r="AD56" i="2"/>
  <c r="AD52" i="2"/>
  <c r="AD30" i="2"/>
  <c r="AD29" i="2"/>
  <c r="AD44" i="2"/>
  <c r="AD51" i="2"/>
  <c r="AD61" i="2"/>
  <c r="AD27" i="2"/>
  <c r="AD22" i="2"/>
  <c r="AD35" i="2"/>
  <c r="AD28" i="2"/>
  <c r="AD32" i="2"/>
  <c r="AD45" i="2"/>
  <c r="AD12" i="2"/>
  <c r="AD58" i="2"/>
  <c r="AD47" i="2"/>
  <c r="AD55" i="2"/>
  <c r="AD59" i="2"/>
  <c r="AD60" i="2"/>
  <c r="AD25" i="2"/>
  <c r="AD38" i="2"/>
  <c r="AD54" i="2"/>
  <c r="AD24" i="2"/>
  <c r="AD49" i="2"/>
  <c r="AD50" i="2"/>
  <c r="AD53" i="2"/>
  <c r="AD43" i="2"/>
  <c r="AD46" i="2"/>
  <c r="AD23" i="2"/>
  <c r="AD36" i="2"/>
  <c r="AD48" i="2"/>
  <c r="AD37" i="2"/>
  <c r="AD26" i="2"/>
  <c r="AD33" i="2"/>
  <c r="O70" i="36" l="1"/>
  <c r="H15" i="11"/>
  <c r="V21" i="2" s="1"/>
  <c r="E71" i="36"/>
  <c r="H55" i="11"/>
  <c r="I55" i="11" s="1"/>
  <c r="H31" i="11"/>
  <c r="V37" i="2" s="1"/>
  <c r="H47" i="11"/>
  <c r="V53" i="2" s="1"/>
  <c r="H23" i="11"/>
  <c r="V29" i="2" s="1"/>
  <c r="H39" i="11"/>
  <c r="V45" i="2" s="1"/>
  <c r="R32" i="2"/>
  <c r="S32" i="2" s="1"/>
  <c r="T32" i="2" s="1"/>
  <c r="U32" i="2" s="1"/>
  <c r="R38" i="2"/>
  <c r="S38" i="2" s="1"/>
  <c r="T38" i="2" s="1"/>
  <c r="U38" i="2" s="1"/>
  <c r="R22" i="2"/>
  <c r="S22" i="2" s="1"/>
  <c r="T22" i="2" s="1"/>
  <c r="U22" i="2" s="1"/>
  <c r="R30" i="2"/>
  <c r="S30" i="2" s="1"/>
  <c r="T30" i="2" s="1"/>
  <c r="U30" i="2" s="1"/>
  <c r="R52" i="2"/>
  <c r="S52" i="2" s="1"/>
  <c r="T52" i="2" s="1"/>
  <c r="U52" i="2" s="1"/>
  <c r="R25" i="2"/>
  <c r="S25" i="2" s="1"/>
  <c r="T25" i="2" s="1"/>
  <c r="U25" i="2" s="1"/>
  <c r="R60" i="2"/>
  <c r="S60" i="2" s="1"/>
  <c r="T60" i="2" s="1"/>
  <c r="U60" i="2" s="1"/>
  <c r="R21" i="2"/>
  <c r="S21" i="2" s="1"/>
  <c r="T21" i="2" s="1"/>
  <c r="U21" i="2" s="1"/>
  <c r="R40" i="2"/>
  <c r="S40" i="2" s="1"/>
  <c r="T40" i="2" s="1"/>
  <c r="U40" i="2" s="1"/>
  <c r="R28" i="2"/>
  <c r="S28" i="2" s="1"/>
  <c r="T28" i="2" s="1"/>
  <c r="U28" i="2" s="1"/>
  <c r="R27" i="2"/>
  <c r="S27" i="2" s="1"/>
  <c r="T27" i="2" s="1"/>
  <c r="U27" i="2" s="1"/>
  <c r="R29" i="2"/>
  <c r="S29" i="2" s="1"/>
  <c r="T29" i="2" s="1"/>
  <c r="U29" i="2" s="1"/>
  <c r="R34" i="2"/>
  <c r="S34" i="2" s="1"/>
  <c r="T34" i="2" s="1"/>
  <c r="U34" i="2" s="1"/>
  <c r="R31" i="2"/>
  <c r="S31" i="2" s="1"/>
  <c r="T31" i="2" s="1"/>
  <c r="U31" i="2" s="1"/>
  <c r="R41" i="2"/>
  <c r="S41" i="2" s="1"/>
  <c r="T41" i="2" s="1"/>
  <c r="U41" i="2" s="1"/>
  <c r="R58" i="2"/>
  <c r="S58" i="2" s="1"/>
  <c r="T58" i="2" s="1"/>
  <c r="U58" i="2" s="1"/>
  <c r="R55" i="2"/>
  <c r="S55" i="2" s="1"/>
  <c r="T55" i="2" s="1"/>
  <c r="U55" i="2" s="1"/>
  <c r="R43" i="2"/>
  <c r="S43" i="2" s="1"/>
  <c r="T43" i="2" s="1"/>
  <c r="U43" i="2" s="1"/>
  <c r="R35" i="2"/>
  <c r="S35" i="2" s="1"/>
  <c r="T35" i="2" s="1"/>
  <c r="U35" i="2" s="1"/>
  <c r="R54" i="2"/>
  <c r="S54" i="2" s="1"/>
  <c r="T54" i="2" s="1"/>
  <c r="U54" i="2" s="1"/>
  <c r="R50" i="2"/>
  <c r="S50" i="2" s="1"/>
  <c r="T50" i="2" s="1"/>
  <c r="U50" i="2" s="1"/>
  <c r="R46" i="2"/>
  <c r="S46" i="2" s="1"/>
  <c r="T46" i="2" s="1"/>
  <c r="U46" i="2" s="1"/>
  <c r="R33" i="2"/>
  <c r="S33" i="2" s="1"/>
  <c r="T33" i="2" s="1"/>
  <c r="U33" i="2" s="1"/>
  <c r="R24" i="2"/>
  <c r="S24" i="2" s="1"/>
  <c r="T24" i="2" s="1"/>
  <c r="U24" i="2" s="1"/>
  <c r="R37" i="2"/>
  <c r="S37" i="2" s="1"/>
  <c r="T37" i="2" s="1"/>
  <c r="U37" i="2" s="1"/>
  <c r="R48" i="2"/>
  <c r="S48" i="2" s="1"/>
  <c r="T48" i="2" s="1"/>
  <c r="U48" i="2" s="1"/>
  <c r="R26" i="2"/>
  <c r="S26" i="2" s="1"/>
  <c r="T26" i="2" s="1"/>
  <c r="U26" i="2" s="1"/>
  <c r="R47" i="2"/>
  <c r="S47" i="2" s="1"/>
  <c r="T47" i="2" s="1"/>
  <c r="U47" i="2" s="1"/>
  <c r="R57" i="2"/>
  <c r="S57" i="2" s="1"/>
  <c r="T57" i="2" s="1"/>
  <c r="U57" i="2" s="1"/>
  <c r="R53" i="2"/>
  <c r="S53" i="2" s="1"/>
  <c r="T53" i="2" s="1"/>
  <c r="U53" i="2" s="1"/>
  <c r="R51" i="2"/>
  <c r="S51" i="2" s="1"/>
  <c r="T51" i="2" s="1"/>
  <c r="U51" i="2" s="1"/>
  <c r="R56" i="2"/>
  <c r="S56" i="2" s="1"/>
  <c r="T56" i="2" s="1"/>
  <c r="U56" i="2" s="1"/>
  <c r="R36" i="2"/>
  <c r="S36" i="2" s="1"/>
  <c r="T36" i="2" s="1"/>
  <c r="U36" i="2" s="1"/>
  <c r="R44" i="2"/>
  <c r="S44" i="2" s="1"/>
  <c r="T44" i="2" s="1"/>
  <c r="U44" i="2" s="1"/>
  <c r="R39" i="2"/>
  <c r="S39" i="2" s="1"/>
  <c r="T39" i="2" s="1"/>
  <c r="U39" i="2" s="1"/>
  <c r="R42" i="2"/>
  <c r="S42" i="2" s="1"/>
  <c r="T42" i="2" s="1"/>
  <c r="U42" i="2" s="1"/>
  <c r="R49" i="2"/>
  <c r="S49" i="2" s="1"/>
  <c r="T49" i="2" s="1"/>
  <c r="U49" i="2" s="1"/>
  <c r="R59" i="2"/>
  <c r="S59" i="2" s="1"/>
  <c r="T59" i="2" s="1"/>
  <c r="U59" i="2" s="1"/>
  <c r="R23" i="2"/>
  <c r="S23" i="2" s="1"/>
  <c r="T23" i="2" s="1"/>
  <c r="U23" i="2" s="1"/>
  <c r="R45" i="2"/>
  <c r="S45" i="2" s="1"/>
  <c r="T45" i="2" s="1"/>
  <c r="U45" i="2" s="1"/>
  <c r="R61" i="2"/>
  <c r="S61" i="2" s="1"/>
  <c r="T61" i="2" s="1"/>
  <c r="U61" i="2" s="1"/>
  <c r="R12" i="2"/>
  <c r="N43" i="2"/>
  <c r="P44" i="2"/>
  <c r="Q44" i="2" s="1"/>
  <c r="X44" i="2" s="1"/>
  <c r="G44" i="2" s="1"/>
  <c r="Z50" i="2"/>
  <c r="P60" i="2"/>
  <c r="Q60" i="2" s="1"/>
  <c r="X60" i="2" s="1"/>
  <c r="G60" i="2" s="1"/>
  <c r="P52" i="2"/>
  <c r="Q52" i="2" s="1"/>
  <c r="X52" i="2" s="1"/>
  <c r="G52" i="2" s="1"/>
  <c r="Z42" i="2"/>
  <c r="N59" i="2"/>
  <c r="P36" i="2"/>
  <c r="Q36" i="2" s="1"/>
  <c r="X36" i="2" s="1"/>
  <c r="G36" i="2" s="1"/>
  <c r="Z34" i="2"/>
  <c r="N51" i="2"/>
  <c r="P28" i="2"/>
  <c r="Q28" i="2" s="1"/>
  <c r="X28" i="2" s="1"/>
  <c r="G28" i="2" s="1"/>
  <c r="Z59" i="2"/>
  <c r="Z27" i="2"/>
  <c r="Z58" i="2"/>
  <c r="Z26" i="2"/>
  <c r="N35" i="2"/>
  <c r="Z51" i="2"/>
  <c r="Z61" i="2"/>
  <c r="Z53" i="2"/>
  <c r="Z45" i="2"/>
  <c r="Z37" i="2"/>
  <c r="Z29" i="2"/>
  <c r="Z21" i="2"/>
  <c r="Z60" i="2"/>
  <c r="Z52" i="2"/>
  <c r="Z44" i="2"/>
  <c r="Z36" i="2"/>
  <c r="Z28" i="2"/>
  <c r="Z56" i="2"/>
  <c r="Z48" i="2"/>
  <c r="Z40" i="2"/>
  <c r="Z32" i="2"/>
  <c r="Z24" i="2"/>
  <c r="Z54" i="2"/>
  <c r="Z46" i="2"/>
  <c r="Z38" i="2"/>
  <c r="Z30" i="2"/>
  <c r="Z22" i="2"/>
  <c r="N58" i="2"/>
  <c r="N50" i="2"/>
  <c r="N42" i="2"/>
  <c r="N34" i="2"/>
  <c r="N26" i="2"/>
  <c r="P59" i="2"/>
  <c r="Q59" i="2" s="1"/>
  <c r="X59" i="2" s="1"/>
  <c r="G59" i="2" s="1"/>
  <c r="P51" i="2"/>
  <c r="Q51" i="2" s="1"/>
  <c r="X51" i="2" s="1"/>
  <c r="G51" i="2" s="1"/>
  <c r="P43" i="2"/>
  <c r="Q43" i="2" s="1"/>
  <c r="X43" i="2" s="1"/>
  <c r="G43" i="2" s="1"/>
  <c r="P35" i="2"/>
  <c r="Q35" i="2" s="1"/>
  <c r="X35" i="2" s="1"/>
  <c r="G35" i="2" s="1"/>
  <c r="P27" i="2"/>
  <c r="Q27" i="2" s="1"/>
  <c r="X27" i="2" s="1"/>
  <c r="G27" i="2" s="1"/>
  <c r="N57" i="2"/>
  <c r="N49" i="2"/>
  <c r="N41" i="2"/>
  <c r="N33" i="2"/>
  <c r="N25" i="2"/>
  <c r="P58" i="2"/>
  <c r="Q58" i="2" s="1"/>
  <c r="X58" i="2" s="1"/>
  <c r="G58" i="2" s="1"/>
  <c r="P50" i="2"/>
  <c r="Q50" i="2" s="1"/>
  <c r="X50" i="2" s="1"/>
  <c r="G50" i="2" s="1"/>
  <c r="P42" i="2"/>
  <c r="Q42" i="2" s="1"/>
  <c r="X42" i="2" s="1"/>
  <c r="G42" i="2" s="1"/>
  <c r="P34" i="2"/>
  <c r="Q34" i="2" s="1"/>
  <c r="X34" i="2" s="1"/>
  <c r="G34" i="2" s="1"/>
  <c r="P26" i="2"/>
  <c r="Q26" i="2" s="1"/>
  <c r="X26" i="2" s="1"/>
  <c r="G26" i="2" s="1"/>
  <c r="N56" i="2"/>
  <c r="N48" i="2"/>
  <c r="N40" i="2"/>
  <c r="N32" i="2"/>
  <c r="N24" i="2"/>
  <c r="P57" i="2"/>
  <c r="Q57" i="2" s="1"/>
  <c r="X57" i="2" s="1"/>
  <c r="G57" i="2" s="1"/>
  <c r="P49" i="2"/>
  <c r="Q49" i="2" s="1"/>
  <c r="X49" i="2" s="1"/>
  <c r="G49" i="2" s="1"/>
  <c r="P41" i="2"/>
  <c r="Q41" i="2" s="1"/>
  <c r="X41" i="2" s="1"/>
  <c r="G41" i="2" s="1"/>
  <c r="P33" i="2"/>
  <c r="Q33" i="2" s="1"/>
  <c r="X33" i="2" s="1"/>
  <c r="G33" i="2" s="1"/>
  <c r="P25" i="2"/>
  <c r="Q25" i="2" s="1"/>
  <c r="X25" i="2" s="1"/>
  <c r="V61" i="2"/>
  <c r="N55" i="2"/>
  <c r="N47" i="2"/>
  <c r="N39" i="2"/>
  <c r="N31" i="2"/>
  <c r="N23" i="2"/>
  <c r="P56" i="2"/>
  <c r="Q56" i="2" s="1"/>
  <c r="X56" i="2" s="1"/>
  <c r="G56" i="2" s="1"/>
  <c r="P48" i="2"/>
  <c r="Q48" i="2" s="1"/>
  <c r="X48" i="2" s="1"/>
  <c r="G48" i="2" s="1"/>
  <c r="P40" i="2"/>
  <c r="Q40" i="2" s="1"/>
  <c r="X40" i="2" s="1"/>
  <c r="G40" i="2" s="1"/>
  <c r="P32" i="2"/>
  <c r="Q32" i="2" s="1"/>
  <c r="X32" i="2" s="1"/>
  <c r="G32" i="2" s="1"/>
  <c r="P24" i="2"/>
  <c r="Q24" i="2" s="1"/>
  <c r="X24" i="2" s="1"/>
  <c r="N54" i="2"/>
  <c r="N46" i="2"/>
  <c r="N38" i="2"/>
  <c r="N30" i="2"/>
  <c r="N22" i="2"/>
  <c r="N61" i="2"/>
  <c r="N53" i="2"/>
  <c r="N45" i="2"/>
  <c r="N37" i="2"/>
  <c r="N29" i="2"/>
  <c r="N21" i="2"/>
  <c r="H38" i="11"/>
  <c r="V44" i="2" s="1"/>
  <c r="H29" i="11"/>
  <c r="V35" i="2" s="1"/>
  <c r="H50" i="11"/>
  <c r="V56" i="2" s="1"/>
  <c r="H16" i="11"/>
  <c r="V22" i="2" s="1"/>
  <c r="H49" i="11"/>
  <c r="V55" i="2" s="1"/>
  <c r="H30" i="11"/>
  <c r="V36" i="2" s="1"/>
  <c r="H21" i="11"/>
  <c r="V27" i="2" s="1"/>
  <c r="H42" i="11"/>
  <c r="V48" i="2" s="1"/>
  <c r="H41" i="11"/>
  <c r="V47" i="2" s="1"/>
  <c r="H46" i="11"/>
  <c r="V52" i="2" s="1"/>
  <c r="H20" i="11"/>
  <c r="V26" i="2" s="1"/>
  <c r="H37" i="11"/>
  <c r="V43" i="2" s="1"/>
  <c r="H22" i="11"/>
  <c r="V28" i="2" s="1"/>
  <c r="H34" i="11"/>
  <c r="V40" i="2" s="1"/>
  <c r="H51" i="11"/>
  <c r="H33" i="11"/>
  <c r="V39" i="2" s="1"/>
  <c r="H25" i="11"/>
  <c r="V31" i="2" s="1"/>
  <c r="H52" i="11"/>
  <c r="V58" i="2" s="1"/>
  <c r="H26" i="11"/>
  <c r="V32" i="2" s="1"/>
  <c r="H43" i="11"/>
  <c r="V49" i="2" s="1"/>
  <c r="H44" i="11"/>
  <c r="V50" i="2" s="1"/>
  <c r="H18" i="11"/>
  <c r="V24" i="2" s="1"/>
  <c r="H48" i="11"/>
  <c r="V54" i="2" s="1"/>
  <c r="H35" i="11"/>
  <c r="V41" i="2" s="1"/>
  <c r="H17" i="11"/>
  <c r="V23" i="2" s="1"/>
  <c r="H24" i="11"/>
  <c r="V30" i="2" s="1"/>
  <c r="H36" i="11"/>
  <c r="V42" i="2" s="1"/>
  <c r="H53" i="11"/>
  <c r="V59" i="2" s="1"/>
  <c r="H40" i="11"/>
  <c r="V46" i="2" s="1"/>
  <c r="H27" i="11"/>
  <c r="V33" i="2" s="1"/>
  <c r="H54" i="11"/>
  <c r="V60" i="2" s="1"/>
  <c r="H28" i="11"/>
  <c r="V34" i="2" s="1"/>
  <c r="H45" i="11"/>
  <c r="V51" i="2" s="1"/>
  <c r="H32" i="11"/>
  <c r="V38" i="2" s="1"/>
  <c r="H19" i="11"/>
  <c r="V25" i="2" s="1"/>
  <c r="V57" i="2" l="1"/>
  <c r="Y57" i="2" s="1"/>
  <c r="AA21" i="2"/>
  <c r="I15" i="11"/>
  <c r="AA71" i="36"/>
  <c r="E72" i="36"/>
  <c r="AA61" i="2"/>
  <c r="AB37" i="2"/>
  <c r="Y59" i="2"/>
  <c r="Y56" i="2"/>
  <c r="Y43" i="2"/>
  <c r="Y51" i="2"/>
  <c r="Y50" i="2"/>
  <c r="AB49" i="2"/>
  <c r="Y48" i="2"/>
  <c r="I31" i="11"/>
  <c r="AA53" i="2"/>
  <c r="AB53" i="2"/>
  <c r="AA37" i="2"/>
  <c r="Y29" i="2"/>
  <c r="I39" i="11"/>
  <c r="AB45" i="2"/>
  <c r="I47" i="11"/>
  <c r="AA29" i="2"/>
  <c r="I23" i="11"/>
  <c r="AA45" i="2"/>
  <c r="AA25" i="2"/>
  <c r="I32" i="11"/>
  <c r="I45" i="11"/>
  <c r="AA34" i="2"/>
  <c r="I54" i="11"/>
  <c r="AA33" i="2"/>
  <c r="I40" i="11"/>
  <c r="I53" i="11"/>
  <c r="I36" i="11"/>
  <c r="AA30" i="2"/>
  <c r="AA23" i="2"/>
  <c r="AA41" i="2"/>
  <c r="I48" i="11"/>
  <c r="AA24" i="2"/>
  <c r="I44" i="11"/>
  <c r="I43" i="11"/>
  <c r="AA32" i="2"/>
  <c r="I52" i="11"/>
  <c r="AA31" i="2"/>
  <c r="AA39" i="2"/>
  <c r="I51" i="11"/>
  <c r="AA40" i="2"/>
  <c r="AA28" i="2"/>
  <c r="I37" i="11"/>
  <c r="AA26" i="2"/>
  <c r="I46" i="11"/>
  <c r="I42" i="11"/>
  <c r="Y27" i="2"/>
  <c r="AA36" i="2"/>
  <c r="I16" i="11"/>
  <c r="I50" i="11"/>
  <c r="Y35" i="2"/>
  <c r="I38" i="11"/>
  <c r="AB28" i="2"/>
  <c r="I30" i="11"/>
  <c r="AB36" i="2"/>
  <c r="AA52" i="2"/>
  <c r="AB42" i="2"/>
  <c r="I22" i="11"/>
  <c r="AA60" i="2"/>
  <c r="AA44" i="2"/>
  <c r="AA42" i="2"/>
  <c r="I28" i="11"/>
  <c r="AB26" i="2"/>
  <c r="I20" i="11"/>
  <c r="AA50" i="2"/>
  <c r="AB34" i="2"/>
  <c r="AA58" i="2"/>
  <c r="I34" i="11"/>
  <c r="AB38" i="2"/>
  <c r="AA27" i="2"/>
  <c r="I26" i="11"/>
  <c r="AB41" i="2"/>
  <c r="AA59" i="2"/>
  <c r="I35" i="11"/>
  <c r="AA43" i="2"/>
  <c r="AA51" i="2"/>
  <c r="AB24" i="2"/>
  <c r="I18" i="11"/>
  <c r="AB32" i="2"/>
  <c r="AA54" i="2"/>
  <c r="AA22" i="2"/>
  <c r="AB22" i="2"/>
  <c r="I24" i="11"/>
  <c r="I21" i="11"/>
  <c r="AA38" i="2"/>
  <c r="AB40" i="2"/>
  <c r="AA48" i="2"/>
  <c r="AA56" i="2"/>
  <c r="AB30" i="2"/>
  <c r="I29" i="11"/>
  <c r="Y44" i="2"/>
  <c r="AB44" i="2"/>
  <c r="Y54" i="2"/>
  <c r="AB54" i="2"/>
  <c r="Y52" i="2"/>
  <c r="AB52" i="2"/>
  <c r="Y60" i="2"/>
  <c r="AB60" i="2"/>
  <c r="Y61" i="2"/>
  <c r="AB61" i="2"/>
  <c r="Y45" i="2"/>
  <c r="Y53" i="2"/>
  <c r="Y46" i="2"/>
  <c r="AB46" i="2"/>
  <c r="AA46" i="2"/>
  <c r="AA35" i="2"/>
  <c r="Y47" i="2"/>
  <c r="AB47" i="2"/>
  <c r="Y55" i="2"/>
  <c r="AB55" i="2"/>
  <c r="AA57" i="2"/>
  <c r="AA49" i="2"/>
  <c r="AB33" i="2"/>
  <c r="I27" i="11"/>
  <c r="AB23" i="2"/>
  <c r="I17" i="11"/>
  <c r="AB25" i="2"/>
  <c r="I19" i="11"/>
  <c r="AB39" i="2"/>
  <c r="I49" i="11"/>
  <c r="AA55" i="2"/>
  <c r="I33" i="11"/>
  <c r="I41" i="11"/>
  <c r="AA47" i="2"/>
  <c r="AB31" i="2"/>
  <c r="I25" i="11"/>
  <c r="AB57" i="2" l="1"/>
  <c r="AA72" i="36"/>
  <c r="E73" i="36"/>
  <c r="AB51" i="2"/>
  <c r="AB50" i="2"/>
  <c r="AB43" i="2"/>
  <c r="Y49" i="2"/>
  <c r="Y37" i="2"/>
  <c r="AB56" i="2"/>
  <c r="AB59" i="2"/>
  <c r="AB48" i="2"/>
  <c r="AB29" i="2"/>
  <c r="AB27" i="2"/>
  <c r="AB35" i="2"/>
  <c r="Y28" i="2"/>
  <c r="Y36" i="2"/>
  <c r="Y42" i="2"/>
  <c r="Y26" i="2"/>
  <c r="Y34" i="2"/>
  <c r="Y38" i="2"/>
  <c r="Y41" i="2"/>
  <c r="Y40" i="2"/>
  <c r="Y33" i="2"/>
  <c r="Y24" i="2"/>
  <c r="Y32" i="2"/>
  <c r="Y22" i="2"/>
  <c r="Y23" i="2"/>
  <c r="Y30" i="2"/>
  <c r="Y25" i="2"/>
  <c r="Y39" i="2"/>
  <c r="Y31" i="2"/>
  <c r="AA73" i="36" l="1"/>
  <c r="E74" i="36"/>
  <c r="M12" i="2"/>
  <c r="AA74" i="36" l="1"/>
  <c r="E75" i="36"/>
  <c r="S12" i="2"/>
  <c r="T12" i="2" s="1"/>
  <c r="U12" i="2" s="1"/>
  <c r="N12" i="2"/>
  <c r="J5" i="2"/>
  <c r="E76" i="36" l="1"/>
  <c r="AA75" i="36"/>
  <c r="W20" i="2"/>
  <c r="AC20" i="2" s="1"/>
  <c r="W19" i="2"/>
  <c r="AC19" i="2" s="1"/>
  <c r="W18" i="2"/>
  <c r="AC18" i="2" s="1"/>
  <c r="W17" i="2"/>
  <c r="AC17" i="2" s="1"/>
  <c r="W16" i="2"/>
  <c r="AC16" i="2" s="1"/>
  <c r="W15" i="2"/>
  <c r="AC15" i="2" s="1"/>
  <c r="W13" i="2"/>
  <c r="AC13" i="2" s="1"/>
  <c r="AD15" i="2"/>
  <c r="AD17" i="2"/>
  <c r="AD13" i="2"/>
  <c r="AD16" i="2"/>
  <c r="AD20" i="2"/>
  <c r="AD19" i="2"/>
  <c r="AD18" i="2"/>
  <c r="E77" i="36" l="1"/>
  <c r="AA76" i="36"/>
  <c r="R14" i="2"/>
  <c r="R13" i="2"/>
  <c r="R15" i="2"/>
  <c r="R18" i="2"/>
  <c r="R19" i="2"/>
  <c r="R17" i="2"/>
  <c r="R16" i="2"/>
  <c r="R20" i="2"/>
  <c r="C57" i="32"/>
  <c r="E78" i="36" l="1"/>
  <c r="AA77" i="36"/>
  <c r="O5" i="2"/>
  <c r="E79" i="36" l="1"/>
  <c r="AA78" i="36"/>
  <c r="D7" i="23"/>
  <c r="E80" i="36" l="1"/>
  <c r="AA79" i="36"/>
  <c r="E81" i="36" l="1"/>
  <c r="AA80" i="36"/>
  <c r="H122" i="11"/>
  <c r="D122" i="11"/>
  <c r="E122" i="11" s="1"/>
  <c r="G14" i="11"/>
  <c r="E14" i="11"/>
  <c r="F14" i="11" s="1"/>
  <c r="D14" i="11"/>
  <c r="G13" i="11"/>
  <c r="E13" i="11"/>
  <c r="F13" i="11" s="1"/>
  <c r="Z19" i="2" s="1"/>
  <c r="D13" i="11"/>
  <c r="G12" i="11"/>
  <c r="E12" i="11"/>
  <c r="F12" i="11" s="1"/>
  <c r="Z18" i="2" s="1"/>
  <c r="D12" i="11"/>
  <c r="G11" i="11"/>
  <c r="E11" i="11"/>
  <c r="F11" i="11" s="1"/>
  <c r="Z17" i="2" s="1"/>
  <c r="D11" i="11"/>
  <c r="G10" i="11"/>
  <c r="E10" i="11"/>
  <c r="F10" i="11" s="1"/>
  <c r="Z16" i="2" s="1"/>
  <c r="D10" i="11"/>
  <c r="G9" i="11"/>
  <c r="E9" i="11"/>
  <c r="F9" i="11" s="1"/>
  <c r="Z15" i="2" s="1"/>
  <c r="D9" i="11"/>
  <c r="G8" i="11"/>
  <c r="E8" i="11"/>
  <c r="F8" i="11" s="1"/>
  <c r="Z14" i="2" s="1"/>
  <c r="D8" i="11"/>
  <c r="G7" i="11"/>
  <c r="E7" i="11"/>
  <c r="F7" i="11" s="1"/>
  <c r="D7" i="11"/>
  <c r="G6" i="11"/>
  <c r="D6" i="11"/>
  <c r="M3" i="11"/>
  <c r="N3" i="11" s="1"/>
  <c r="R22" i="23"/>
  <c r="J22" i="23"/>
  <c r="I22" i="23"/>
  <c r="H22" i="23"/>
  <c r="G22" i="23"/>
  <c r="E22" i="23"/>
  <c r="D22" i="23"/>
  <c r="C22" i="23"/>
  <c r="U22" i="23" s="1"/>
  <c r="A22" i="23"/>
  <c r="R21" i="23"/>
  <c r="J21" i="23"/>
  <c r="I21" i="23"/>
  <c r="H21" i="23"/>
  <c r="G21" i="23"/>
  <c r="E21" i="23"/>
  <c r="D21" i="23"/>
  <c r="C21" i="23"/>
  <c r="U21" i="23" s="1"/>
  <c r="A21" i="23"/>
  <c r="R20" i="23"/>
  <c r="J20" i="23"/>
  <c r="I20" i="23"/>
  <c r="H20" i="23"/>
  <c r="G20" i="23"/>
  <c r="E20" i="23"/>
  <c r="D20" i="23"/>
  <c r="C20" i="23"/>
  <c r="U20" i="23" s="1"/>
  <c r="A20" i="23"/>
  <c r="R19" i="23"/>
  <c r="J19" i="23"/>
  <c r="I19" i="23"/>
  <c r="H19" i="23"/>
  <c r="G19" i="23"/>
  <c r="E19" i="23"/>
  <c r="D19" i="23"/>
  <c r="C19" i="23"/>
  <c r="U19" i="23" s="1"/>
  <c r="A19" i="23"/>
  <c r="R18" i="23"/>
  <c r="J18" i="23"/>
  <c r="I18" i="23"/>
  <c r="H18" i="23"/>
  <c r="G18" i="23"/>
  <c r="E18" i="23"/>
  <c r="D18" i="23"/>
  <c r="C18" i="23"/>
  <c r="U18" i="23" s="1"/>
  <c r="A18" i="23"/>
  <c r="R17" i="23"/>
  <c r="J17" i="23"/>
  <c r="I17" i="23"/>
  <c r="H17" i="23"/>
  <c r="G17" i="23"/>
  <c r="E17" i="23"/>
  <c r="D17" i="23"/>
  <c r="C17" i="23"/>
  <c r="U17" i="23" s="1"/>
  <c r="A17" i="23"/>
  <c r="R16" i="23"/>
  <c r="J16" i="23"/>
  <c r="I16" i="23"/>
  <c r="H16" i="23"/>
  <c r="G16" i="23"/>
  <c r="E16" i="23"/>
  <c r="D16" i="23"/>
  <c r="C16" i="23"/>
  <c r="U16" i="23" s="1"/>
  <c r="A16" i="23"/>
  <c r="R15" i="23"/>
  <c r="J15" i="23"/>
  <c r="I15" i="23"/>
  <c r="H15" i="23"/>
  <c r="G15" i="23"/>
  <c r="E15" i="23"/>
  <c r="D15" i="23"/>
  <c r="C15" i="23"/>
  <c r="U15" i="23" s="1"/>
  <c r="A15" i="23"/>
  <c r="R14" i="23"/>
  <c r="J14" i="23"/>
  <c r="I14" i="23"/>
  <c r="H14" i="23"/>
  <c r="G14" i="23"/>
  <c r="E14" i="23"/>
  <c r="D14" i="23"/>
  <c r="C14" i="23"/>
  <c r="U14" i="23" s="1"/>
  <c r="A14" i="23"/>
  <c r="R13" i="23"/>
  <c r="J13" i="23"/>
  <c r="I13" i="23"/>
  <c r="H13" i="23"/>
  <c r="G13" i="23"/>
  <c r="E13" i="23"/>
  <c r="D13" i="23"/>
  <c r="C13" i="23"/>
  <c r="U13" i="23" s="1"/>
  <c r="A13" i="23"/>
  <c r="F7" i="23"/>
  <c r="E7" i="23"/>
  <c r="C7" i="23"/>
  <c r="B7" i="23"/>
  <c r="H83" i="32"/>
  <c r="C55" i="32"/>
  <c r="C10" i="32"/>
  <c r="C8" i="32"/>
  <c r="H100" i="26"/>
  <c r="G91" i="26"/>
  <c r="M22" i="23"/>
  <c r="K22" i="23"/>
  <c r="M21" i="23"/>
  <c r="M20" i="2"/>
  <c r="P20" i="2" s="1"/>
  <c r="M20" i="23"/>
  <c r="M19" i="2"/>
  <c r="P19" i="2" s="1"/>
  <c r="M19" i="23"/>
  <c r="M18" i="2"/>
  <c r="P18" i="2" s="1"/>
  <c r="M18" i="23"/>
  <c r="M17" i="2"/>
  <c r="K18" i="23" s="1"/>
  <c r="M17" i="23"/>
  <c r="M16" i="2"/>
  <c r="P16" i="2" s="1"/>
  <c r="Q16" i="2" s="1"/>
  <c r="M16" i="23"/>
  <c r="M15" i="2"/>
  <c r="P15" i="2" s="1"/>
  <c r="M15" i="23"/>
  <c r="M14" i="2"/>
  <c r="P14" i="2" s="1"/>
  <c r="M14" i="23"/>
  <c r="M13" i="2"/>
  <c r="P13" i="2" s="1"/>
  <c r="AK12" i="2"/>
  <c r="M13" i="23"/>
  <c r="N6" i="2"/>
  <c r="R5" i="2"/>
  <c r="R4" i="2"/>
  <c r="R3" i="2"/>
  <c r="B4" i="28"/>
  <c r="AA81" i="36" l="1"/>
  <c r="E82" i="36"/>
  <c r="AO20" i="2"/>
  <c r="Z20" i="2"/>
  <c r="K13" i="23"/>
  <c r="P12" i="2"/>
  <c r="Z12" i="2"/>
  <c r="W13" i="23"/>
  <c r="W21" i="23"/>
  <c r="W15" i="23"/>
  <c r="W14" i="23"/>
  <c r="W16" i="23"/>
  <c r="W17" i="23"/>
  <c r="V19" i="23"/>
  <c r="W20" i="23"/>
  <c r="D90" i="32"/>
  <c r="D89" i="32"/>
  <c r="D88" i="32"/>
  <c r="Z13" i="2"/>
  <c r="S13" i="2"/>
  <c r="T13" i="2" s="1"/>
  <c r="S18" i="2"/>
  <c r="O19" i="23" s="1"/>
  <c r="O22" i="23"/>
  <c r="R23" i="23"/>
  <c r="S17" i="2"/>
  <c r="T17" i="2" s="1"/>
  <c r="P18" i="23" s="1"/>
  <c r="S15" i="2"/>
  <c r="T15" i="2" s="1"/>
  <c r="U15" i="2" s="1"/>
  <c r="W19" i="23"/>
  <c r="N19" i="23"/>
  <c r="Q19" i="23" s="1"/>
  <c r="Q18" i="2"/>
  <c r="X18" i="2" s="1"/>
  <c r="N17" i="23"/>
  <c r="Q17" i="23" s="1"/>
  <c r="N16" i="23"/>
  <c r="Q16" i="23" s="1"/>
  <c r="Q15" i="2"/>
  <c r="N15" i="23"/>
  <c r="Q15" i="23" s="1"/>
  <c r="Q14" i="2"/>
  <c r="N14" i="23"/>
  <c r="Q14" i="23" s="1"/>
  <c r="Q13" i="2"/>
  <c r="N21" i="23"/>
  <c r="Q21" i="23" s="1"/>
  <c r="Q20" i="2"/>
  <c r="X20" i="2" s="1"/>
  <c r="N20" i="23"/>
  <c r="Q20" i="23" s="1"/>
  <c r="Q19" i="2"/>
  <c r="K17" i="23"/>
  <c r="V18" i="23"/>
  <c r="K21" i="23"/>
  <c r="V22" i="23"/>
  <c r="S19" i="2"/>
  <c r="T19" i="2" s="1"/>
  <c r="S20" i="2"/>
  <c r="T20" i="2" s="1"/>
  <c r="U20" i="2" s="1"/>
  <c r="K14" i="23"/>
  <c r="K15" i="23"/>
  <c r="K16" i="23"/>
  <c r="V17" i="23"/>
  <c r="W18" i="23"/>
  <c r="K20" i="23"/>
  <c r="V21" i="23"/>
  <c r="W22" i="23"/>
  <c r="S14" i="2"/>
  <c r="O15" i="23" s="1"/>
  <c r="N14" i="2"/>
  <c r="L15" i="23" s="1"/>
  <c r="N16" i="2"/>
  <c r="L17" i="23" s="1"/>
  <c r="N18" i="2"/>
  <c r="L19" i="23" s="1"/>
  <c r="N20" i="2"/>
  <c r="L21" i="23" s="1"/>
  <c r="V16" i="23"/>
  <c r="K19" i="23"/>
  <c r="V20" i="23"/>
  <c r="S16" i="2"/>
  <c r="T16" i="2" s="1"/>
  <c r="U16" i="2" s="1"/>
  <c r="N13" i="2"/>
  <c r="L14" i="23" s="1"/>
  <c r="N15" i="2"/>
  <c r="L16" i="23" s="1"/>
  <c r="N17" i="2"/>
  <c r="L18" i="23" s="1"/>
  <c r="N19" i="2"/>
  <c r="L20" i="23" s="1"/>
  <c r="L22" i="23"/>
  <c r="P17" i="2"/>
  <c r="L52" i="32"/>
  <c r="L47" i="32"/>
  <c r="L55" i="32"/>
  <c r="L54" i="32"/>
  <c r="L53" i="32"/>
  <c r="L51" i="32"/>
  <c r="L50" i="32"/>
  <c r="L49" i="32"/>
  <c r="L48" i="32"/>
  <c r="L13" i="23"/>
  <c r="V15" i="23"/>
  <c r="V14" i="23"/>
  <c r="V13" i="23"/>
  <c r="X7" i="23"/>
  <c r="AB21" i="2"/>
  <c r="H14" i="11"/>
  <c r="V20" i="2" s="1"/>
  <c r="H13" i="11"/>
  <c r="V19" i="2" s="1"/>
  <c r="H12" i="11"/>
  <c r="V18" i="2" s="1"/>
  <c r="H11" i="11"/>
  <c r="V17" i="2" s="1"/>
  <c r="H9" i="11"/>
  <c r="V15" i="2" s="1"/>
  <c r="H8" i="11"/>
  <c r="V14" i="2" s="1"/>
  <c r="E83" i="36" l="1"/>
  <c r="AA82" i="36"/>
  <c r="P65" i="2"/>
  <c r="N11" i="36" s="1"/>
  <c r="K7" i="23"/>
  <c r="O7" i="23"/>
  <c r="AA14" i="2"/>
  <c r="AA17" i="2"/>
  <c r="AA15" i="2"/>
  <c r="AA20" i="2"/>
  <c r="AA18" i="2"/>
  <c r="AA19" i="2"/>
  <c r="Y21" i="2"/>
  <c r="G7" i="23"/>
  <c r="H7" i="23"/>
  <c r="O18" i="23"/>
  <c r="P16" i="23"/>
  <c r="P22" i="23"/>
  <c r="O14" i="23"/>
  <c r="T18" i="2"/>
  <c r="U18" i="2" s="1"/>
  <c r="O16" i="23"/>
  <c r="I14" i="11"/>
  <c r="I13" i="11"/>
  <c r="AB18" i="2"/>
  <c r="I11" i="11"/>
  <c r="AB17" i="2"/>
  <c r="I9" i="11"/>
  <c r="I8" i="11"/>
  <c r="O21" i="23"/>
  <c r="P21" i="23"/>
  <c r="O20" i="23"/>
  <c r="O17" i="23"/>
  <c r="T14" i="2"/>
  <c r="U14" i="2" s="1"/>
  <c r="AB14" i="2"/>
  <c r="AB20" i="2"/>
  <c r="AB15" i="2"/>
  <c r="I12" i="11"/>
  <c r="AB19" i="2"/>
  <c r="Q7" i="23"/>
  <c r="L7" i="23"/>
  <c r="P7" i="23"/>
  <c r="J7" i="23"/>
  <c r="N7" i="23"/>
  <c r="N22" i="23"/>
  <c r="Q22" i="23" s="1"/>
  <c r="N18" i="23"/>
  <c r="Q18" i="23" s="1"/>
  <c r="Q17" i="2"/>
  <c r="R7" i="23"/>
  <c r="P17" i="23"/>
  <c r="U17" i="2"/>
  <c r="T21" i="23"/>
  <c r="B21" i="23" s="1"/>
  <c r="T13" i="23"/>
  <c r="B13" i="23" s="1"/>
  <c r="T14" i="23"/>
  <c r="B14" i="23" s="1"/>
  <c r="T20" i="23"/>
  <c r="B20" i="23" s="1"/>
  <c r="P20" i="23"/>
  <c r="U19" i="2"/>
  <c r="T16" i="23"/>
  <c r="B16" i="23" s="1"/>
  <c r="T17" i="23"/>
  <c r="B17" i="23" s="1"/>
  <c r="T19" i="23"/>
  <c r="B19" i="23" s="1"/>
  <c r="O13" i="23"/>
  <c r="P13" i="23"/>
  <c r="N13" i="23"/>
  <c r="Q12" i="2"/>
  <c r="T18" i="23"/>
  <c r="B18" i="23" s="1"/>
  <c r="T22" i="23"/>
  <c r="B22" i="23" s="1"/>
  <c r="T15" i="23"/>
  <c r="B15" i="23" s="1"/>
  <c r="P14" i="23"/>
  <c r="U13" i="2"/>
  <c r="H10" i="11"/>
  <c r="V16" i="2" s="1"/>
  <c r="H7" i="11"/>
  <c r="V13" i="2" s="1"/>
  <c r="H6" i="11"/>
  <c r="V12" i="2" l="1"/>
  <c r="AB12" i="2" s="1"/>
  <c r="AA83" i="36"/>
  <c r="E84" i="36"/>
  <c r="Q65" i="2"/>
  <c r="N12" i="36" s="1"/>
  <c r="X19" i="2"/>
  <c r="AA16" i="2"/>
  <c r="AB13" i="2"/>
  <c r="Y15" i="2"/>
  <c r="Y17" i="2"/>
  <c r="Y18" i="2"/>
  <c r="Y20" i="2"/>
  <c r="Y19" i="2"/>
  <c r="Y14" i="2"/>
  <c r="I7" i="23"/>
  <c r="AA12" i="2"/>
  <c r="I6" i="11"/>
  <c r="I10" i="11"/>
  <c r="AB16" i="2"/>
  <c r="I7" i="11"/>
  <c r="AA13" i="2"/>
  <c r="P19" i="23"/>
  <c r="S7" i="23"/>
  <c r="X15" i="2"/>
  <c r="G15" i="2" s="1"/>
  <c r="F16" i="23" s="1"/>
  <c r="T7" i="23"/>
  <c r="O23" i="23"/>
  <c r="P15" i="23"/>
  <c r="N23" i="23"/>
  <c r="Q13" i="23"/>
  <c r="Q23" i="23" s="1"/>
  <c r="AA7" i="23" s="1"/>
  <c r="X12" i="2" l="1"/>
  <c r="AA84" i="36"/>
  <c r="E85" i="36"/>
  <c r="R65" i="2"/>
  <c r="S65" i="2" s="1"/>
  <c r="T65" i="2" s="1"/>
  <c r="U65" i="2" s="1"/>
  <c r="Y16" i="2"/>
  <c r="Y13" i="2"/>
  <c r="U7" i="23"/>
  <c r="G24" i="2"/>
  <c r="G25" i="2"/>
  <c r="G18" i="2"/>
  <c r="F19" i="23" s="1"/>
  <c r="X17" i="2"/>
  <c r="G17" i="2" s="1"/>
  <c r="F18" i="23" s="1"/>
  <c r="X13" i="2"/>
  <c r="G13" i="2" s="1"/>
  <c r="F14" i="23" s="1"/>
  <c r="G20" i="2"/>
  <c r="F21" i="23" s="1"/>
  <c r="X16" i="2"/>
  <c r="G16" i="2" s="1"/>
  <c r="F17" i="23" s="1"/>
  <c r="X14" i="2"/>
  <c r="G14" i="2" s="1"/>
  <c r="F15" i="23" s="1"/>
  <c r="G19" i="2"/>
  <c r="F20" i="23" s="1"/>
  <c r="Y12" i="2"/>
  <c r="F75" i="11"/>
  <c r="F77" i="11" s="1"/>
  <c r="P23" i="23"/>
  <c r="AA85" i="36" l="1"/>
  <c r="E86" i="36"/>
  <c r="V7" i="23"/>
  <c r="W70" i="36"/>
  <c r="M70" i="36" s="1"/>
  <c r="M64" i="36"/>
  <c r="M62" i="36"/>
  <c r="F22" i="23"/>
  <c r="G21" i="2"/>
  <c r="G12" i="2"/>
  <c r="F13" i="23" s="1"/>
  <c r="M7" i="23" s="1"/>
  <c r="AA86" i="36" l="1"/>
  <c r="E87" i="36"/>
  <c r="J70" i="36"/>
  <c r="X70" i="36"/>
  <c r="F70" i="36"/>
  <c r="F71" i="36" s="1"/>
  <c r="F72" i="36" s="1"/>
  <c r="F73" i="36" s="1"/>
  <c r="F74" i="36" s="1"/>
  <c r="F75" i="36" s="1"/>
  <c r="F76" i="36" s="1"/>
  <c r="F77" i="36" s="1"/>
  <c r="F78" i="36" s="1"/>
  <c r="F79" i="36" s="1"/>
  <c r="F80" i="36" s="1"/>
  <c r="F81" i="36" s="1"/>
  <c r="F82" i="36" s="1"/>
  <c r="F83" i="36" s="1"/>
  <c r="F84" i="36" s="1"/>
  <c r="F85" i="36" s="1"/>
  <c r="F86" i="36" s="1"/>
  <c r="F87" i="36" s="1"/>
  <c r="F88" i="36" s="1"/>
  <c r="F89" i="36" s="1"/>
  <c r="F90" i="36" s="1"/>
  <c r="F91" i="36" s="1"/>
  <c r="F92" i="36" s="1"/>
  <c r="F93" i="36" s="1"/>
  <c r="AO34" i="36"/>
  <c r="AO35" i="36"/>
  <c r="W7" i="23"/>
  <c r="Y7" i="23"/>
  <c r="AA87" i="36" l="1"/>
  <c r="E88" i="36"/>
  <c r="AO14" i="36"/>
  <c r="J72" i="36"/>
  <c r="J77" i="36"/>
  <c r="J92" i="36"/>
  <c r="J90" i="36"/>
  <c r="J71" i="36"/>
  <c r="J78" i="36"/>
  <c r="J86" i="36"/>
  <c r="J74" i="36"/>
  <c r="J88" i="36"/>
  <c r="J83" i="36"/>
  <c r="J73" i="36"/>
  <c r="J85" i="36"/>
  <c r="J76" i="36"/>
  <c r="J75" i="36"/>
  <c r="J87" i="36"/>
  <c r="J89" i="36"/>
  <c r="J84" i="36"/>
  <c r="J91" i="36"/>
  <c r="J79" i="36"/>
  <c r="J93" i="36"/>
  <c r="J82" i="36"/>
  <c r="J80" i="36"/>
  <c r="J81" i="36"/>
  <c r="G75" i="11"/>
  <c r="G77" i="11" s="1"/>
  <c r="H77" i="11" s="1"/>
  <c r="Z7" i="23"/>
  <c r="G48" i="36" l="1"/>
  <c r="G50" i="36"/>
  <c r="G49" i="36" s="1"/>
  <c r="N70" i="36" s="1"/>
  <c r="AC70" i="36" s="1"/>
  <c r="AA88" i="36"/>
  <c r="E89" i="36"/>
  <c r="AQ14" i="36"/>
  <c r="AQ17" i="36" s="1"/>
  <c r="AQ16" i="36" s="1"/>
  <c r="E88" i="32"/>
  <c r="E89" i="32"/>
  <c r="E90" i="32"/>
  <c r="AO18" i="36" l="1"/>
  <c r="E90" i="36"/>
  <c r="AA89" i="36"/>
  <c r="AS14" i="36"/>
  <c r="AS17" i="36" s="1"/>
  <c r="Y58" i="2"/>
  <c r="Y62" i="2" s="1"/>
  <c r="AB58" i="2"/>
  <c r="AB62" i="2" s="1"/>
  <c r="E91" i="32"/>
  <c r="C61" i="32" s="1"/>
  <c r="V65" i="2" l="1"/>
  <c r="AB7" i="23" s="1"/>
  <c r="AD70" i="36"/>
  <c r="E91" i="36"/>
  <c r="AA90" i="36"/>
  <c r="V70" i="36"/>
  <c r="AS16" i="36"/>
  <c r="AS18" i="36" s="1"/>
  <c r="AS19" i="36"/>
  <c r="P70" i="36" l="1"/>
  <c r="R70" i="36" s="1"/>
  <c r="E92" i="36"/>
  <c r="AA91" i="36"/>
  <c r="AS20" i="36"/>
  <c r="T70" i="36" l="1"/>
  <c r="U70" i="36"/>
  <c r="Y70" i="36" s="1"/>
  <c r="S70" i="36"/>
  <c r="AA92" i="36"/>
  <c r="E93" i="36"/>
  <c r="AA93" i="36" s="1"/>
  <c r="Z70" i="36" l="1"/>
  <c r="L71" i="36"/>
  <c r="AB72" i="36" s="1"/>
  <c r="W71" i="36"/>
  <c r="X71" i="36" s="1"/>
  <c r="AQ18" i="36"/>
  <c r="AQ19" i="36"/>
  <c r="AQ20" i="36" l="1"/>
  <c r="N71" i="36" s="1"/>
  <c r="AC71" i="36" l="1"/>
  <c r="V71" i="36"/>
  <c r="M71" i="36"/>
  <c r="O71" i="36" s="1"/>
  <c r="P71" i="36" l="1"/>
  <c r="R71" i="36" s="1"/>
  <c r="U71" i="36" s="1"/>
  <c r="AD71" i="36"/>
  <c r="S71" i="36" l="1"/>
  <c r="T71" i="36"/>
  <c r="L72" i="36" s="1"/>
  <c r="Y71" i="36"/>
  <c r="AB73" i="36" l="1"/>
  <c r="N72" i="36"/>
  <c r="Z71" i="36"/>
  <c r="W72" i="36"/>
  <c r="X72" i="36" s="1"/>
  <c r="AC72" i="36" l="1"/>
  <c r="V72" i="36"/>
  <c r="M72" i="36"/>
  <c r="O72" i="36" s="1"/>
  <c r="P72" i="36" s="1"/>
  <c r="R72" i="36" s="1"/>
  <c r="U72" i="36" s="1"/>
  <c r="S72" i="36" l="1"/>
  <c r="AD72" i="36"/>
  <c r="T72" i="36"/>
  <c r="L73" i="36" s="1"/>
  <c r="Y72" i="36"/>
  <c r="Z72" i="36" l="1"/>
  <c r="W73" i="36"/>
  <c r="X73" i="36" s="1"/>
  <c r="AB74" i="36" l="1"/>
  <c r="N73" i="36"/>
  <c r="AC73" i="36" l="1"/>
  <c r="V73" i="36"/>
  <c r="M73" i="36"/>
  <c r="O73" i="36" s="1"/>
  <c r="P73" i="36" l="1"/>
  <c r="R73" i="36" s="1"/>
  <c r="U73" i="36" s="1"/>
  <c r="AD73" i="36"/>
  <c r="S73" i="36" l="1"/>
  <c r="T73" i="36"/>
  <c r="L74" i="36" s="1"/>
  <c r="Y73" i="36"/>
  <c r="W74" i="36" l="1"/>
  <c r="X74" i="36" s="1"/>
  <c r="Z73" i="36"/>
  <c r="AB75" i="36" l="1"/>
  <c r="N74" i="36"/>
  <c r="AC74" i="36" l="1"/>
  <c r="V74" i="36"/>
  <c r="M74" i="36"/>
  <c r="AC75" i="36"/>
  <c r="O74" i="36"/>
  <c r="AD74" i="36" l="1"/>
  <c r="P74" i="36"/>
  <c r="R74" i="36" s="1"/>
  <c r="U74" i="36" s="1"/>
  <c r="S74" i="36" l="1"/>
  <c r="T74" i="36"/>
  <c r="L75" i="36" s="1"/>
  <c r="N75" i="36" s="1"/>
  <c r="Y74" i="36"/>
  <c r="Z74" i="36" l="1"/>
  <c r="W75" i="36"/>
  <c r="X75" i="36" s="1"/>
  <c r="AB76" i="36" l="1"/>
  <c r="V75" i="36" l="1"/>
  <c r="M75" i="36"/>
  <c r="O75" i="36"/>
  <c r="AC76" i="36"/>
  <c r="P75" i="36" l="1"/>
  <c r="R75" i="36" s="1"/>
  <c r="U75" i="36" s="1"/>
  <c r="AD75" i="36"/>
  <c r="S75" i="36" l="1"/>
  <c r="T75" i="36"/>
  <c r="L76" i="36" s="1"/>
  <c r="Y75" i="36"/>
  <c r="Z75" i="36" l="1"/>
  <c r="W76" i="36"/>
  <c r="X76" i="36" s="1"/>
  <c r="AB77" i="36" l="1"/>
  <c r="N76" i="36"/>
  <c r="V76" i="36" l="1"/>
  <c r="M76" i="36"/>
  <c r="O76" i="36"/>
  <c r="AC77" i="36"/>
  <c r="AD76" i="36" l="1"/>
  <c r="P76" i="36"/>
  <c r="R76" i="36" s="1"/>
  <c r="U76" i="36" s="1"/>
  <c r="S76" i="36" l="1"/>
  <c r="T76" i="36"/>
  <c r="L77" i="36" s="1"/>
  <c r="AB78" i="36" s="1"/>
  <c r="Y76" i="36"/>
  <c r="W77" i="36" l="1"/>
  <c r="X77" i="36" s="1"/>
  <c r="Z76" i="36"/>
  <c r="N77" i="36" l="1"/>
  <c r="V77" i="36" l="1"/>
  <c r="M77" i="36"/>
  <c r="O77" i="36"/>
  <c r="AC78" i="36"/>
  <c r="AD77" i="36" l="1"/>
  <c r="P77" i="36"/>
  <c r="R77" i="36" s="1"/>
  <c r="U77" i="36" s="1"/>
  <c r="S77" i="36" l="1"/>
  <c r="T77" i="36"/>
  <c r="L78" i="36" s="1"/>
  <c r="Y77" i="36"/>
  <c r="Z77" i="36" l="1"/>
  <c r="W78" i="36"/>
  <c r="X78" i="36" s="1"/>
  <c r="AB79" i="36" l="1"/>
  <c r="N78" i="36"/>
  <c r="V78" i="36" l="1"/>
  <c r="M78" i="36"/>
  <c r="AC79" i="36"/>
  <c r="O78" i="36"/>
  <c r="AD78" i="36" l="1"/>
  <c r="P78" i="36"/>
  <c r="R78" i="36" s="1"/>
  <c r="U78" i="36" s="1"/>
  <c r="S78" i="36" l="1"/>
  <c r="Y78" i="36"/>
  <c r="T78" i="36"/>
  <c r="L79" i="36" s="1"/>
  <c r="W79" i="36" l="1"/>
  <c r="X79" i="36" s="1"/>
  <c r="Z78" i="36"/>
  <c r="AB80" i="36" l="1"/>
  <c r="N79" i="36"/>
  <c r="V79" i="36" l="1"/>
  <c r="M79" i="36"/>
  <c r="O79" i="36"/>
  <c r="AC80" i="36"/>
  <c r="AD79" i="36" l="1"/>
  <c r="P79" i="36"/>
  <c r="R79" i="36" s="1"/>
  <c r="U79" i="36" s="1"/>
  <c r="S79" i="36" l="1"/>
  <c r="T79" i="36"/>
  <c r="L80" i="36" s="1"/>
  <c r="Y79" i="36"/>
  <c r="Z79" i="36" l="1"/>
  <c r="W80" i="36"/>
  <c r="X80" i="36" s="1"/>
  <c r="AB81" i="36" l="1"/>
  <c r="N80" i="36"/>
  <c r="V80" i="36" l="1"/>
  <c r="M80" i="36"/>
  <c r="O80" i="36"/>
  <c r="AC81" i="36"/>
  <c r="P80" i="36" l="1"/>
  <c r="S80" i="36" s="1"/>
  <c r="AD80" i="36"/>
  <c r="R80" i="36" l="1"/>
  <c r="T80" i="36" l="1"/>
  <c r="L81" i="36" s="1"/>
  <c r="U80" i="36"/>
  <c r="W81" i="36" l="1"/>
  <c r="X81" i="36" s="1"/>
  <c r="Z80" i="36"/>
  <c r="Y80" i="36"/>
  <c r="AB82" i="36"/>
  <c r="N81" i="36"/>
  <c r="V81" i="36" l="1"/>
  <c r="M81" i="36"/>
  <c r="O81" i="36"/>
  <c r="AC82" i="36"/>
  <c r="AD81" i="36" l="1"/>
  <c r="P81" i="36"/>
  <c r="R81" i="36" l="1"/>
  <c r="U81" i="36" s="1"/>
  <c r="S81" i="36"/>
  <c r="T81" i="36" l="1"/>
  <c r="L82" i="36" s="1"/>
  <c r="Y81" i="36"/>
  <c r="Z81" i="36" l="1"/>
  <c r="W82" i="36"/>
  <c r="X82" i="36" s="1"/>
  <c r="AB83" i="36" l="1"/>
  <c r="N82" i="36"/>
  <c r="V82" i="36" l="1"/>
  <c r="M82" i="36"/>
  <c r="O82" i="36"/>
  <c r="AD82" i="36" s="1"/>
  <c r="AC83" i="36"/>
  <c r="P82" i="36" l="1"/>
  <c r="R82" i="36" s="1"/>
  <c r="U82" i="36" s="1"/>
  <c r="S82" i="36"/>
  <c r="T82" i="36" l="1"/>
  <c r="L83" i="36" s="1"/>
  <c r="Z82" i="36"/>
  <c r="W83" i="36"/>
  <c r="X83" i="36" s="1"/>
  <c r="Y82" i="36"/>
  <c r="AB84" i="36" l="1"/>
  <c r="N83" i="36"/>
  <c r="O83" i="36" l="1"/>
  <c r="AC84" i="36"/>
  <c r="V83" i="36"/>
  <c r="M83" i="36"/>
  <c r="P83" i="36" l="1"/>
  <c r="R83" i="36" s="1"/>
  <c r="AD83" i="36"/>
  <c r="T83" i="36" l="1"/>
  <c r="U83" i="36"/>
  <c r="S83" i="36"/>
  <c r="Y83" i="36" l="1"/>
  <c r="Z83" i="36"/>
  <c r="L84" i="36"/>
  <c r="W84" i="36"/>
  <c r="X84" i="36" s="1"/>
  <c r="AB85" i="36" l="1"/>
  <c r="N84" i="36"/>
  <c r="O84" i="36" l="1"/>
  <c r="AC85" i="36"/>
  <c r="V84" i="36"/>
  <c r="M84" i="36"/>
  <c r="P84" i="36" l="1"/>
  <c r="R84" i="36" s="1"/>
  <c r="AD84" i="36"/>
  <c r="S84" i="36" l="1"/>
  <c r="T84" i="36"/>
  <c r="U84" i="36"/>
  <c r="Y84" i="36" l="1"/>
  <c r="W85" i="36"/>
  <c r="X85" i="36" s="1"/>
  <c r="L85" i="36"/>
  <c r="Z84" i="36"/>
  <c r="AB86" i="36" l="1"/>
  <c r="N85" i="36"/>
  <c r="AC86" i="36" l="1"/>
  <c r="O85" i="36"/>
  <c r="V85" i="36"/>
  <c r="M85" i="36"/>
  <c r="P85" i="36" l="1"/>
  <c r="R85" i="36" s="1"/>
  <c r="AD85" i="36"/>
  <c r="T85" i="36" l="1"/>
  <c r="U85" i="36"/>
  <c r="S85" i="36"/>
  <c r="Y85" i="36" l="1"/>
  <c r="L86" i="36"/>
  <c r="Z85" i="36"/>
  <c r="W86" i="36"/>
  <c r="X86" i="36" s="1"/>
  <c r="AB87" i="36" l="1"/>
  <c r="N86" i="36"/>
  <c r="O86" i="36" l="1"/>
  <c r="AC87" i="36"/>
  <c r="V86" i="36"/>
  <c r="M86" i="36"/>
  <c r="P86" i="36" l="1"/>
  <c r="S86" i="36" s="1"/>
  <c r="AD86" i="36"/>
  <c r="R86" i="36" l="1"/>
  <c r="T86" i="36" s="1"/>
  <c r="U86" i="36" l="1"/>
  <c r="Y86" i="36" s="1"/>
  <c r="L87" i="36"/>
  <c r="W87" i="36"/>
  <c r="X87" i="36" s="1"/>
  <c r="Z86" i="36"/>
  <c r="AB88" i="36" l="1"/>
  <c r="N87" i="36"/>
  <c r="O87" i="36" l="1"/>
  <c r="AC88" i="36"/>
  <c r="V87" i="36"/>
  <c r="M87" i="36"/>
  <c r="AD87" i="36" l="1"/>
  <c r="P87" i="36"/>
  <c r="R87" i="36" s="1"/>
  <c r="T87" i="36" l="1"/>
  <c r="U87" i="36"/>
  <c r="S87" i="36"/>
  <c r="Y87" i="36" l="1"/>
  <c r="L88" i="36"/>
  <c r="Z87" i="36"/>
  <c r="W88" i="36"/>
  <c r="X88" i="36" s="1"/>
  <c r="AB89" i="36" l="1"/>
  <c r="N88" i="36"/>
  <c r="O88" i="36" l="1"/>
  <c r="AC89" i="36"/>
  <c r="V88" i="36"/>
  <c r="M88" i="36"/>
  <c r="P88" i="36" l="1"/>
  <c r="S88" i="36" s="1"/>
  <c r="AD88" i="36"/>
  <c r="R88" i="36" l="1"/>
  <c r="T88" i="36" s="1"/>
  <c r="U88" i="36" l="1"/>
  <c r="Y88" i="36" s="1"/>
  <c r="L89" i="36"/>
  <c r="W89" i="36"/>
  <c r="X89" i="36" s="1"/>
  <c r="Z88" i="36"/>
  <c r="AB90" i="36" l="1"/>
  <c r="N89" i="36"/>
  <c r="O89" i="36" l="1"/>
  <c r="AC90" i="36"/>
  <c r="V89" i="36"/>
  <c r="M89" i="36"/>
  <c r="AD89" i="36" l="1"/>
  <c r="P89" i="36"/>
  <c r="R89" i="36" s="1"/>
  <c r="S89" i="36" l="1"/>
  <c r="T89" i="36"/>
  <c r="U89" i="36"/>
  <c r="Y89" i="36" l="1"/>
  <c r="L90" i="36"/>
  <c r="W90" i="36"/>
  <c r="X90" i="36" s="1"/>
  <c r="Z89" i="36"/>
  <c r="AB91" i="36" l="1"/>
  <c r="N90" i="36"/>
  <c r="O90" i="36" l="1"/>
  <c r="AC91" i="36"/>
  <c r="V90" i="36"/>
  <c r="M90" i="36"/>
  <c r="AD90" i="36" l="1"/>
  <c r="P90" i="36"/>
  <c r="R90" i="36" s="1"/>
  <c r="T90" i="36" l="1"/>
  <c r="U90" i="36"/>
  <c r="S90" i="36"/>
  <c r="Y90" i="36" l="1"/>
  <c r="L91" i="36"/>
  <c r="Z90" i="36"/>
  <c r="W91" i="36"/>
  <c r="X91" i="36" s="1"/>
  <c r="AB92" i="36" l="1"/>
  <c r="N91" i="36"/>
  <c r="O91" i="36" l="1"/>
  <c r="AC92" i="36"/>
  <c r="V91" i="36"/>
  <c r="M91" i="36"/>
  <c r="P91" i="36" l="1"/>
  <c r="R91" i="36" s="1"/>
  <c r="AD91" i="36"/>
  <c r="S91" i="36" l="1"/>
  <c r="T91" i="36"/>
  <c r="U91" i="36"/>
  <c r="Y91" i="36" l="1"/>
  <c r="W92" i="36"/>
  <c r="X92" i="36" s="1"/>
  <c r="Z91" i="36"/>
  <c r="L92" i="36"/>
  <c r="AB93" i="36" l="1"/>
  <c r="N92" i="36"/>
  <c r="AC93" i="36" l="1"/>
  <c r="G51" i="36" s="1"/>
  <c r="O92" i="36"/>
  <c r="V92" i="36"/>
  <c r="M92" i="36"/>
  <c r="P92" i="36" l="1"/>
  <c r="R92" i="36" s="1"/>
  <c r="AD92" i="36"/>
  <c r="S92" i="36" l="1"/>
  <c r="T92" i="36"/>
  <c r="U92" i="36"/>
  <c r="Y92" i="36" l="1"/>
  <c r="W93" i="36"/>
  <c r="L93" i="36"/>
  <c r="N93" i="36" s="1"/>
  <c r="M93" i="36" s="1"/>
  <c r="Z92" i="36"/>
  <c r="V93" i="36" l="1"/>
  <c r="X93" i="36"/>
  <c r="AO11" i="36" s="1"/>
  <c r="P93" i="36" l="1"/>
  <c r="R93" i="36" s="1"/>
  <c r="AD93" i="36"/>
  <c r="AO20" i="36"/>
  <c r="AO19" i="36" s="1"/>
  <c r="AO37" i="36"/>
  <c r="S93" i="36" l="1"/>
  <c r="D55" i="36"/>
  <c r="G58" i="36"/>
  <c r="M60" i="36"/>
  <c r="T93" i="36"/>
  <c r="Z93" i="36" s="1"/>
  <c r="U93" i="36"/>
  <c r="Y93" i="36" s="1"/>
  <c r="AO21" i="36" l="1"/>
  <c r="M61" i="36"/>
</calcChain>
</file>

<file path=xl/sharedStrings.xml><?xml version="1.0" encoding="utf-8"?>
<sst xmlns="http://schemas.openxmlformats.org/spreadsheetml/2006/main" count="1043" uniqueCount="725">
  <si>
    <t>&lt;CrystalAddin Version="1" country="GB" lang="en"/&gt;</t>
  </si>
  <si>
    <t>Salix Finance: Telerau ac Amodau ar gyfer Offer Cydymffurfio Salix</t>
  </si>
  <si>
    <t>Telerau ac amodau defnydd</t>
  </si>
  <si>
    <t>Peidio â datgelu</t>
  </si>
  <si>
    <t xml:space="preserve">Mae Salix a/neu'r defnyddiwr yn cydnabod y gallant dderbyn gwybodaeth gyfrinachol sy'n ymwneud â'r parti arall neu ddod yn ymwybodol o wybodaeth gyfrinachol o'r fath. Ac eithrio i'r graddau y caiff datgelu ei ganiatáu'n benodol, neu y cytunir arno fel arall yn ysgrifenedig rhwng y partïon, bydd pob parti yn trin yr wybodaeth gyfrinachol a ddarperir gan y parti arall yn gyfrinachol ac yn ei diogelu'n unol â hynny ac ni fydd yn datgelu'r wybodaeth gyfrinachol a ddarperir gan y parti arall i unrhyw berson arall (heblaw am ei gyflogeion, asiantau a chynghorwyr proffesiynol y mae angen datgelu'r wybodaeth iddynt ac i'r graddau y mae angen datgelu'r wybodaeth at ddibenion ystyried cymhwysedd ar gyfer cyllid Salix ac yn amodol ar sicrhau bod y cyfryw bersonau yn ymwybodol  o'r rhwymedigaethau cyfrinachedd hyn ac y byddant yn cydymffurfio â nhw. </t>
  </si>
  <si>
    <t>Hawliau eiddo deallusol</t>
  </si>
  <si>
    <t xml:space="preserve">Salix yw perchennog neu drwyddai'r holl hawliau eiddo deallusol yn ein hoffer, ac yn y deunydd a geir ynddynt. Mae offer Salix ar gael i'w defnyddio am ddim o dan drwydded. Mae'r edrychiad a'r teimlad, y data cyfannol, y cyfrifiadau a'r algorithmau sydd wedi'u mewblannu, a'r canllawiau cydymffurfio canlyniadol wedi cael eu creu gan Salix Finance sy'n berchen ar yr holl Eiddo Deallusol sydd wedi'i gynnwys ynddynt at ddefnydd cleientiaid presennol a darpar gleientiaid yn unig. 
Cedwir pob hawl. Ni chaniateir atgynhyrchu, dosbarthu na throsglwyddo unrhyw ran o'r offer ar unrhyw ffurf neu drwy unrhyw fodd, gan gynnwys llungopïo, recordio, neu ddulliau electronig neu fecanyddol eraill, heb ganiatâd ysgrifenedig Salix ymlaen llaw, ac eithrio yn achos rhai defnyddiau anfasnachol a ganiateir gan gyfraith hawlfraint. Ar gyfer ceisiadau am ganiatâd, ysgrifennwch i Salix Finance Ltd at 10 South Colonnade, Canary Wharf, London, E14 4PU.
</t>
  </si>
  <si>
    <t>Salix Finance - Offeryn Cydymffurfio</t>
  </si>
  <si>
    <t>Nodiadau Canllaw</t>
  </si>
  <si>
    <t>Bydd yr Offeryn SEELS Cymru newydd hwn yn dod i rym o fis Gorffennaf 2024. 
Mae'r adran ganlynol wedi'i chynllunio i roi canllawiau clir ar sut i gwblhau'r tab 'Offeryn Cydymffurfiaeth Prosiect' er mwyn i chi allu asesu cydymffurfiaeth prosiect. Cwblhewch yr adran Achos Busnes yn y tab ar wahân hefyd. Mae'r tab Amorteiddio Benthyciad yn nodwedd newydd ar gyfer SEELS Cymru, a gellir ei ddefnyddio i asesu ad-daliadau benthyciad mynegol gyda llog. Mae canllawiau ar wahân ar gyfer yr Achos Busnes, y gellir gwneud cais amdanynt o:</t>
  </si>
  <si>
    <t>technical@salixfinance.co.uk</t>
  </si>
  <si>
    <t>Gellid dod o hyd i Nodiadau Gwneud Cais ar gyfer canllawiau penodol ar ein gwefan</t>
  </si>
  <si>
    <t xml:space="preserve">Ar gyfer canllawiau ar gyfrifo'r ynni a ragwelir, gweler isod. </t>
  </si>
  <si>
    <t>Nodwch fanylion y prosiect fel y dangosir yn yr enghraifft isod:</t>
  </si>
  <si>
    <t xml:space="preserve">Nodwch wybodaeth ar gyfer pob math o waith sydd ei angen ar gyfer y prosiect. Gellir nodi hyd at 10 math o waith yma, er y gellir gofyn am fersiwn estynedig o'r ffurflen. </t>
  </si>
  <si>
    <t xml:space="preserve">Mae'r celloedd i'r dde yn dangos y gwerthoedd a gyfrifwyd ar gyfer pob math o waith. </t>
  </si>
  <si>
    <t xml:space="preserve">Bydd gwybodaeth sydd ar goll ar gyfer y math o waith yn cael ei dangos yn y golofn 'Gwirio'r Data a Nodwyd'. Ni ellir cwblhau'r gwiriad cydymffurfiaeth nes bod yr holl wybodaeth wedi'i nodi. </t>
  </si>
  <si>
    <t xml:space="preserve">Unwaith y bydd yr holl wybodaeth sydd ei hangen wedi'i nodi'n gywir, bydd y celloedd ar y gwaelod yn dangos ffigurau terfynol y prosiect a ph'un a yw'r prosiect yn cydymffurfio ai peidio. </t>
  </si>
  <si>
    <t>Os oes gennych chi dechnoleg sy'n effeithio ar fwy nag un tanwydd, nodwch bob tanwydd mewn llinell ar wahân yn yr Offeryn Cydymffurfio:</t>
  </si>
  <si>
    <r>
      <rPr>
        <sz val="16"/>
        <color theme="1"/>
        <rFont val="Verdana"/>
        <family val="2"/>
      </rPr>
      <t xml:space="preserve">Cyfrifo Cost Ynni a Ragwelir:
</t>
    </r>
    <r>
      <rPr>
        <sz val="12"/>
        <color theme="1"/>
        <rFont val="Calibri"/>
        <family val="2"/>
        <scheme val="minor"/>
      </rPr>
      <t xml:space="preserve">
</t>
    </r>
    <r>
      <rPr>
        <sz val="12"/>
        <color theme="1"/>
        <rFont val="Verdana"/>
        <family val="2"/>
      </rPr>
      <t xml:space="preserve"> </t>
    </r>
    <r>
      <rPr>
        <u/>
        <sz val="12"/>
        <color theme="1"/>
        <rFont val="Verdana"/>
        <family val="2"/>
      </rPr>
      <t>Blwyddyn 0 + Blwyddyn 5</t>
    </r>
    <r>
      <rPr>
        <sz val="12"/>
        <color theme="1"/>
        <rFont val="Verdana"/>
        <family val="2"/>
      </rPr>
      <t xml:space="preserve">      =  Cost Ynni a Ragwelir (c/kWh)
            2
</t>
    </r>
    <r>
      <rPr>
        <sz val="11"/>
        <color theme="1"/>
        <rFont val="Verdana"/>
        <family val="2"/>
      </rPr>
      <t xml:space="preserve">
</t>
    </r>
    <r>
      <rPr>
        <sz val="10"/>
        <color theme="1"/>
        <rFont val="Verdana"/>
        <family val="2"/>
      </rPr>
      <t>Bydd y flwyddyn olaf yn dibynnu ar feini prawf cydymffurfiaeth y rhaglen. Gwiriwch raglen benodol i gadarnhau sawl blwyddyn yr oedd angen eu cyfrifo</t>
    </r>
    <r>
      <rPr>
        <sz val="11"/>
        <color theme="1"/>
        <rFont val="Verdana"/>
        <family val="2"/>
      </rPr>
      <t xml:space="preserve">
                                   </t>
    </r>
    <r>
      <rPr>
        <sz val="10"/>
        <color theme="1"/>
        <rFont val="Verdana"/>
        <family val="2"/>
      </rPr>
      <t xml:space="preserve">
</t>
    </r>
    <r>
      <rPr>
        <b/>
        <sz val="10"/>
        <color theme="1"/>
        <rFont val="Verdana"/>
        <family val="2"/>
      </rPr>
      <t>I gyfrifo Blwyddyn 5:</t>
    </r>
    <r>
      <rPr>
        <sz val="10"/>
        <color theme="1"/>
        <rFont val="Verdana"/>
        <family val="2"/>
      </rPr>
      <t xml:space="preserve">
               Blwyddyn 0 x 1.02^5 = Blwyddyn 5
</t>
    </r>
    <r>
      <rPr>
        <b/>
        <sz val="10"/>
        <color theme="1"/>
        <rFont val="Verdana"/>
        <family val="2"/>
      </rPr>
      <t xml:space="preserve">Er enghraifft: </t>
    </r>
    <r>
      <rPr>
        <sz val="10"/>
        <color theme="1"/>
        <rFont val="Verdana"/>
        <family val="2"/>
      </rPr>
      <t xml:space="preserve">
Ar gyfer benthyciad SEELS Lloegr (cyfnod ad-dalu o 5 mlynedd), cost trydan o 12c/kWh ar hyn o bryd gyda chyfradd chwyddiant flynyddol o 2%, byddai'r gost a ragwelir yn: 
</t>
    </r>
    <r>
      <rPr>
        <b/>
        <sz val="10"/>
        <color theme="1"/>
        <rFont val="Verdana"/>
        <family val="2"/>
      </rPr>
      <t xml:space="preserve">Cam 1
</t>
    </r>
    <r>
      <rPr>
        <sz val="10"/>
        <color theme="1"/>
        <rFont val="Verdana"/>
        <family val="2"/>
      </rPr>
      <t xml:space="preserve">
	  12 x 1.02^5 = 13.25c
</t>
    </r>
    <r>
      <rPr>
        <b/>
        <sz val="10"/>
        <color theme="1"/>
        <rFont val="Verdana"/>
        <family val="2"/>
      </rPr>
      <t xml:space="preserve">Cam 2
</t>
    </r>
    <r>
      <rPr>
        <sz val="10"/>
        <color theme="1"/>
        <rFont val="Verdana"/>
        <family val="2"/>
      </rPr>
      <t xml:space="preserve">
            </t>
    </r>
    <r>
      <rPr>
        <u/>
        <sz val="10"/>
        <color theme="1"/>
        <rFont val="Verdana"/>
        <family val="2"/>
      </rPr>
      <t>12 + 13.25</t>
    </r>
    <r>
      <rPr>
        <sz val="10"/>
        <color theme="1"/>
        <rFont val="Verdana"/>
        <family val="2"/>
      </rPr>
      <t xml:space="preserve"> = 12.63c
                   2
</t>
    </r>
    <r>
      <rPr>
        <b/>
        <sz val="10"/>
        <color theme="1"/>
        <rFont val="Verdana"/>
        <family val="2"/>
      </rPr>
      <t>Cost ynni a ragwelir = 12.63c/kWh</t>
    </r>
  </si>
  <si>
    <t>**hidden*</t>
  </si>
  <si>
    <t>*hidden*</t>
  </si>
  <si>
    <t>Hide Here</t>
  </si>
  <si>
    <t>Sefydliad:</t>
  </si>
  <si>
    <t>Salix Finance:</t>
  </si>
  <si>
    <t>Meini Prawf Cydymffurfio:</t>
  </si>
  <si>
    <t>Rhaglen:</t>
  </si>
  <si>
    <t>SEELS Cymru</t>
  </si>
  <si>
    <t>Recycling Fund England</t>
  </si>
  <si>
    <t>Offeryn Cydymffurfio Cymru F38.0</t>
  </si>
  <si>
    <t>Ad-daliad</t>
  </si>
  <si>
    <r>
      <t>£/tCO</t>
    </r>
    <r>
      <rPr>
        <b/>
        <vertAlign val="subscript"/>
        <sz val="10"/>
        <color theme="1"/>
        <rFont val="Verdana"/>
        <family val="2"/>
      </rPr>
      <t>2</t>
    </r>
    <r>
      <rPr>
        <b/>
        <sz val="10"/>
        <color theme="1"/>
        <rFont val="Verdana"/>
        <family val="2"/>
      </rPr>
      <t>e LT</t>
    </r>
  </si>
  <si>
    <t>Prosiectau Gwresogi Ardal yn Unig: Ffactor Carbon Pwrpasol kg/kWh</t>
  </si>
  <si>
    <t>Dyddiad Dechrau</t>
  </si>
  <si>
    <t>Dyddiad Cwblhau</t>
  </si>
  <si>
    <t>Enw'r Safle</t>
  </si>
  <si>
    <t>Oes sy'n Weddill y Safle (blynyddoedd)</t>
  </si>
  <si>
    <t>Disgrifiad o'r Prosiect</t>
  </si>
  <si>
    <t>Gwirio'r Data a Nodwyd</t>
  </si>
  <si>
    <t>Disgrifiad o'r Gwaith</t>
  </si>
  <si>
    <t>Dyddiad Cwblhau'r Prosiect</t>
  </si>
  <si>
    <t>Math o Ynni</t>
  </si>
  <si>
    <t>c/kWh cyfredol</t>
  </si>
  <si>
    <t>c/kWh a ragwelir</t>
  </si>
  <si>
    <t>Newid % a Ragwelir</t>
  </si>
  <si>
    <t>Math o Brosiect</t>
  </si>
  <si>
    <t>Technoleg - Math o Waith</t>
  </si>
  <si>
    <t>kWhrs Blynyddol cyn y Prosiect</t>
  </si>
  <si>
    <t>kWhrs Blynyddol ar ôl y Prosiect</t>
  </si>
  <si>
    <t xml:space="preserve">Arbedion blynyddol - kWh </t>
  </si>
  <si>
    <t>% arbedion - kWh</t>
  </si>
  <si>
    <t>Gwerth y Prosiect</t>
  </si>
  <si>
    <t>Arbedion Ariannol Blynyddol</t>
  </si>
  <si>
    <t>Cyfnod Ad-dalu mewn Blynyddoedd</t>
  </si>
  <si>
    <t>kgCO2/kWh</t>
  </si>
  <si>
    <r>
      <t>tCO</t>
    </r>
    <r>
      <rPr>
        <b/>
        <vertAlign val="subscript"/>
        <sz val="10"/>
        <color theme="0"/>
        <rFont val="Verdana"/>
        <family val="2"/>
      </rPr>
      <t>2</t>
    </r>
    <r>
      <rPr>
        <b/>
        <sz val="10"/>
        <color theme="0"/>
        <rFont val="Verdana"/>
        <family val="2"/>
      </rPr>
      <t>e y flwyddyn</t>
    </r>
  </si>
  <si>
    <r>
      <t>tCO</t>
    </r>
    <r>
      <rPr>
        <b/>
        <vertAlign val="subscript"/>
        <sz val="10"/>
        <color theme="0"/>
        <rFont val="Verdana"/>
        <family val="2"/>
      </rPr>
      <t>2</t>
    </r>
    <r>
      <rPr>
        <b/>
        <sz val="10"/>
        <color theme="0"/>
        <rFont val="Verdana"/>
        <family val="2"/>
      </rPr>
      <t>e LT</t>
    </r>
  </si>
  <si>
    <t>£/tCO2e LT</t>
  </si>
  <si>
    <t>PF</t>
  </si>
  <si>
    <t>Payback</t>
  </si>
  <si>
    <t>Data Entry</t>
  </si>
  <si>
    <t>OK</t>
  </si>
  <si>
    <t>PF Round plus cell value 100</t>
  </si>
  <si>
    <t>Electiricty Carbon Factor</t>
  </si>
  <si>
    <t>£/tCO2</t>
  </si>
  <si>
    <t>Trydan</t>
  </si>
  <si>
    <t xml:space="preserve">Goleuadau LED </t>
  </si>
  <si>
    <t>LED - gosodiad newydd</t>
  </si>
  <si>
    <t>Solar PV</t>
  </si>
  <si>
    <t>Heating - zone control valves</t>
  </si>
  <si>
    <t>Wind turbine</t>
  </si>
  <si>
    <t xml:space="preserve">Emergency Services </t>
  </si>
  <si>
    <t>Further Education Institute</t>
  </si>
  <si>
    <t>Higher Education Institute</t>
  </si>
  <si>
    <t>Local Authority</t>
  </si>
  <si>
    <t>NHS</t>
  </si>
  <si>
    <t>Primary School</t>
  </si>
  <si>
    <t>Secondary School</t>
  </si>
  <si>
    <t>Maintained School</t>
  </si>
  <si>
    <t>Client Type Name List</t>
  </si>
  <si>
    <t xml:space="preserve">Canteen/Cafeteria </t>
  </si>
  <si>
    <t xml:space="preserve">Campus Building </t>
  </si>
  <si>
    <t xml:space="preserve">Ambulance station </t>
  </si>
  <si>
    <t xml:space="preserve">Car Park </t>
  </si>
  <si>
    <t>Car Park</t>
  </si>
  <si>
    <t xml:space="preserve">Corridor </t>
  </si>
  <si>
    <t>Car park</t>
  </si>
  <si>
    <t>Community Centre</t>
  </si>
  <si>
    <t xml:space="preserve">Classroom </t>
  </si>
  <si>
    <t>Data Centre/ IT Facilities</t>
  </si>
  <si>
    <t>Classroom</t>
  </si>
  <si>
    <t>Council Office</t>
  </si>
  <si>
    <t xml:space="preserve">Clinical space </t>
  </si>
  <si>
    <t xml:space="preserve">Fire Rescue Station </t>
  </si>
  <si>
    <t>Corridor</t>
  </si>
  <si>
    <t>Gallery/Museum</t>
  </si>
  <si>
    <t xml:space="preserve">Corridors </t>
  </si>
  <si>
    <t>Library</t>
  </si>
  <si>
    <t>Offices</t>
  </si>
  <si>
    <t xml:space="preserve">Leisure Centre </t>
  </si>
  <si>
    <t xml:space="preserve">Laboratory </t>
  </si>
  <si>
    <t>Other</t>
  </si>
  <si>
    <t xml:space="preserve">Halls of Residence </t>
  </si>
  <si>
    <t>Non-clinical space</t>
  </si>
  <si>
    <t xml:space="preserve">Other </t>
  </si>
  <si>
    <t>Plant room</t>
  </si>
  <si>
    <t xml:space="preserve">Outdoor Sport Facilities </t>
  </si>
  <si>
    <t>Police Station</t>
  </si>
  <si>
    <t xml:space="preserve">Lecture Room </t>
  </si>
  <si>
    <t xml:space="preserve">Server Room </t>
  </si>
  <si>
    <t xml:space="preserve">Plant room </t>
  </si>
  <si>
    <t xml:space="preserve">Site Wide </t>
  </si>
  <si>
    <t>Site Wide</t>
  </si>
  <si>
    <t>Renewables Site</t>
  </si>
  <si>
    <t>Sports Hall</t>
  </si>
  <si>
    <t xml:space="preserve">Sports Hall </t>
  </si>
  <si>
    <t xml:space="preserve">Residential Care Home </t>
  </si>
  <si>
    <t xml:space="preserve">Streetlighting </t>
  </si>
  <si>
    <t xml:space="preserve">Warehouse </t>
  </si>
  <si>
    <t xml:space="preserve">Sports Hall  </t>
  </si>
  <si>
    <t xml:space="preserve">Students Union </t>
  </si>
  <si>
    <t>Cyfanswm Cyllid Salix y Gofynnir Amdano</t>
  </si>
  <si>
    <t>Cyfanswm Gwerth y Prosiect</t>
  </si>
  <si>
    <t>Cyfanswm Arbedion Ariannol</t>
  </si>
  <si>
    <t>Total
kg/kWh</t>
  </si>
  <si>
    <r>
      <t>Cyfanswm
tCO</t>
    </r>
    <r>
      <rPr>
        <b/>
        <vertAlign val="subscript"/>
        <sz val="10"/>
        <color theme="0"/>
        <rFont val="Verdana"/>
        <family val="2"/>
      </rPr>
      <t>2</t>
    </r>
    <r>
      <rPr>
        <b/>
        <sz val="10"/>
        <color theme="0"/>
        <rFont val="Verdana"/>
        <family val="2"/>
      </rPr>
      <t>e y flwyddyn</t>
    </r>
  </si>
  <si>
    <r>
      <t>Total
tCO</t>
    </r>
    <r>
      <rPr>
        <b/>
        <vertAlign val="subscript"/>
        <sz val="10"/>
        <color theme="0"/>
        <rFont val="Verdana"/>
        <family val="2"/>
      </rPr>
      <t>2</t>
    </r>
    <r>
      <rPr>
        <b/>
        <sz val="10"/>
        <color theme="0"/>
        <rFont val="Verdana"/>
        <family val="2"/>
      </rPr>
      <t>e LT</t>
    </r>
  </si>
  <si>
    <r>
      <t>£/tCO</t>
    </r>
    <r>
      <rPr>
        <b/>
        <vertAlign val="subscript"/>
        <sz val="10"/>
        <color theme="0"/>
        <rFont val="Verdana"/>
        <family val="2"/>
      </rPr>
      <t>2</t>
    </r>
    <r>
      <rPr>
        <b/>
        <sz val="10"/>
        <color theme="0"/>
        <rFont val="Verdana"/>
        <family val="2"/>
      </rPr>
      <t>e LT</t>
    </r>
  </si>
  <si>
    <t>Cydymffurfiaeth</t>
  </si>
  <si>
    <t>Camau Gwneud Cais</t>
  </si>
  <si>
    <t>Dyma Gam 1 o broses gwneud cais 3 cham. Cwblhewch yr Offeryn Cydymffurfiaeth Prosiect ar gyfer pob prosiect rydych yn ceisio cyllid Salix ar ei gyfer.</t>
  </si>
  <si>
    <t xml:space="preserve">Os oes gennych mwy na 10 prosiect yr hoffech wneud cais ar eu cyfer, cysylltwch â: technical@salixfinance.co.uk
Unwaith y byddwch wedi cwblhau Cam 1, mae Cam 2 yn cynnwys darparu'r wybodaeth ganlynol i ategu eich cais:
i. Achos busnes Salix wedi'i gwblhau (yn y tab nesaf);
ii. Gwybodaeth ategol ar ffurf cyfrifiadau o arbedion, tystiolaeth o gostau prosiect/tanwydd; manylebau technegol ayyb.
Cam 3 o'r broses gwneud cais yw cwblhau'r tab Amorteiddio Benthyciad. </t>
  </si>
  <si>
    <t>Carbon Factor for Electricity from "UK Government GHG Conversion Factors for Company Reporting" (2023)</t>
  </si>
  <si>
    <t>CO2e methodology</t>
  </si>
  <si>
    <t>Electricity</t>
  </si>
  <si>
    <t>Gas</t>
  </si>
  <si>
    <t>Gas Oil</t>
  </si>
  <si>
    <t>Fuel Oil</t>
  </si>
  <si>
    <t>Burning Oil</t>
  </si>
  <si>
    <t>Coal</t>
  </si>
  <si>
    <t>LPG</t>
  </si>
  <si>
    <t>Bespoke</t>
  </si>
  <si>
    <t>Wood pellets</t>
  </si>
  <si>
    <t>Wood chips</t>
  </si>
  <si>
    <t>Templed Achos Busnes Salix</t>
  </si>
  <si>
    <t>Manylion y Rhaglen</t>
  </si>
  <si>
    <t>Teitl y Prosiect:</t>
  </si>
  <si>
    <t>Enw'r sefydliad:</t>
  </si>
  <si>
    <t>Dyddiad cyflwyno:</t>
  </si>
  <si>
    <t>Dyddiad Cwblhau Amcangyfrifedig:</t>
  </si>
  <si>
    <t>Prif Gyswllt ar gyfer y Prosiect:</t>
  </si>
  <si>
    <t>Dadansoddiad o Gostau'r Prosiect</t>
  </si>
  <si>
    <t>Enw</t>
  </si>
  <si>
    <t>Prif gostau cyfalaf cyfarpar (£)</t>
  </si>
  <si>
    <t>Teitl swydd</t>
  </si>
  <si>
    <t>Llinell cyfeiriad 1</t>
  </si>
  <si>
    <t>Costau gosod (£)</t>
  </si>
  <si>
    <t>Llinell cyfeiriad 2</t>
  </si>
  <si>
    <t>Dinas</t>
  </si>
  <si>
    <t>Costau rheoli prosiect (£)</t>
  </si>
  <si>
    <t>Cod post</t>
  </si>
  <si>
    <t>Ffôn</t>
  </si>
  <si>
    <t>Costau wrth gefn (£)</t>
  </si>
  <si>
    <t>E-bost</t>
  </si>
  <si>
    <t>Costau eraill y prosiect (£)</t>
  </si>
  <si>
    <t>Cyfanswm costau'r prosiect</t>
  </si>
  <si>
    <t>1. Dadansoddiad o'r Costau</t>
  </si>
  <si>
    <t>Dadansoddiad  o gostau'r prosiect - Rhowch sylwadau ar ddadansoddiad o gostau'r prosiect.</t>
  </si>
  <si>
    <t>•   Sut yr amcangyfrifwyd costau'r prosiect?
•   A yw costau'r prosiect yn rhoi cyfrif am gostau gweithredu/cynnal a chadw?</t>
  </si>
  <si>
    <t>2. Manylion y Prosiect</t>
  </si>
  <si>
    <t>Cefndir y prosiect - Rhowch gefndir y prosiect gan gynnwys yr holl fanteision posibl.</t>
  </si>
  <si>
    <t>•  Os oes gennych sawl prosiect &gt;£100,000, rhowch fanylion pob un ohonynt isod.
•  Sut y nodwyd y prosiect?
•  Pwy sydd wedi bod yn gysylltiedig â'r gwaith o ddatblygu'r prosiect? 
•  Sut y bydd y prosiect yn cyfrannu tuag at fynd i'r afael â materion presennol sy'n gysylltiedig â'r defnydd o ynni a charbon?</t>
  </si>
  <si>
    <t>3. Manylion Dogfennaeth Ategol</t>
  </si>
  <si>
    <t xml:space="preserve">• Rhestrwch deitl pob un o'r dogfennau gwybodaeth ategol yn y blwch isod.
• Dylai pob cais ddarparu cyfrifiadau o arbedion ynni, cyfrifiadau/tystiolaeth o gostau, taflenni data, a chynllun monitro ynni a charbon
• Ar gyfer ceisiadau sy'n werth dros £500,000, darparwch gofrestr risg fewnol a rhaglen y prosiect. </t>
  </si>
  <si>
    <t>4. Manylion Cyfrifiadau Arbed Ynni'r Prosiect</t>
  </si>
  <si>
    <t>•  Disgrifiwch sut mae arbedion ynni a charbon y prosiect wedi'u cyfrifo, gan nodi manylion unrhyw ragdybiaethau.
•  Dylai cyfrifiadau gael eu cyflwyno gyda'ch ffurflen gais. .
•  Disgrifiwch y fethodoleg a ddefnyddiwyd i gyfrifo'r costau tanwydd a ragwelir.</t>
  </si>
  <si>
    <t>5. Cynllun Monitro Ynni a Charbon ar ôl Cwblhau'r Prosiect</t>
  </si>
  <si>
    <t>Mae Salix yn argymell bod y defnydd o ynni a charbon yn cael ei fonitro cyn y prosiect ac ar ôl i'r prosiect gael ei gwblhau.
•    Beth yw'r trefniadau ar gyfer monitro a rheoli'r rhaglen ar ôl iddi gael ei chwblhau?
•    Beth yw'r cynlluniau o ran gwerthuso?</t>
  </si>
  <si>
    <t>6. Rheoli'r Prosiect</t>
  </si>
  <si>
    <t xml:space="preserve">Diffiniwch dîm y prosiect a'u rolau wrth gyflawni'r prosiect (e.e. ymgynghorwyr, contractwyr, uwch-reolwyr ayyb).
•    Amlinellwch strwythur y sefydliad o ran pwy sydd â'r awdurdod i gymeradwyo'r prosiect ac unrhyw newidiadau.
•    A oes Cynllun Gweithredu Prosiect wedi'i lunio i nodi'n union sut y caiff y prosiect ei reoli?
•    Ar gyfer prosiectau sy'n werth dros £500,000, atodwch gopi o'ch cynllun prosiect mewnol. </t>
  </si>
  <si>
    <t>7. Profiad Blaenorol</t>
  </si>
  <si>
    <t>Disgrifiwch unrhyw brofiad blaenorol a all fod gennych mewn perthynas â'r mesur effeithlonrwydd ynni arfaethedig. 
•    Amlinellwch hefyd y profiad sydd gan aelodau o dîm y prosiect o ran rheoli prosiectau o faint tebyg, gan gynnwys unrhyw gymorth trydydd parti.</t>
  </si>
  <si>
    <t>8. Risgiau a Mesurau Lliniaru'r Prosiect</t>
  </si>
  <si>
    <t xml:space="preserve">Disgrifiwch unrhyw risgiau i'r prosiect a rhowch fanylion mesurau sydd wedi'u cynllunio i'w lliniaru neu eu hosgoi. Dylai hyn gwmpasu:
•   Unrhyw beth y mae'r prosiect yn dibynnu arno, megis prosiectau eraill yn cael eu cwblhau ar amser neu gydgysylltu o ran materion sefydliadol (e.e. cyfnodau arholiadau a thymor gwresogi). 
•   Risgiau i gyflawni'r prosiect a manylion y strwythurau rheoli sydd ar waith i fonitro.  
•   Nodi materion eraill y mae angen eu datrys cyn y gall y prosiect fynd rhagddo (e.e. gwneud penderfyniad terfynol ynghylch maint offer neu gyfathrebu â rhanddeiliaid).
•   Y risgiau sy'n gysylltiedig â methiant y prosiect i gyflawni'r arbedion. 
•   Atodwch gopi o'ch cofrestr risg fewnol. </t>
  </si>
  <si>
    <t>Disgrifiad o'r Risg</t>
  </si>
  <si>
    <t>Lefel y Risg</t>
  </si>
  <si>
    <t>Sut y caiff y risg ei rheoli a/neu ei lliniaru?</t>
  </si>
  <si>
    <t>9. Amserlenni</t>
  </si>
  <si>
    <t xml:space="preserve">Rhowch fanylion y llwybr critigol ar gyfer cyflawni'r prosiect ar amser gan gynnwys:
•  Dyddiadau ar gyfer cerrig milltir cyflawni allweddol. Atodwch unrhyw rhaglen waith ar gyfer y prosiect.
•  Pa fesurau ar gyfer llithriant posibl y rhaglen sydd wedi'u cynnwys yn yr amserlen gyflawni.  
Darparwch fanylion ar gyfer archebu a darparu eitemau allweddol o gyfarpar ar gyfer y prosiect ac amseroedd arwain arwyddocaol cysylltiedig, gan gynnwys manylion trafodaethau/cytundebau â chyflenwyr/contractwyr. </t>
  </si>
  <si>
    <t>10. Cerrig Milltir Allweddol y Prosiect</t>
  </si>
  <si>
    <t>Camau a gymerwyd / camau i'w cymryd</t>
  </si>
  <si>
    <t>Proses</t>
  </si>
  <si>
    <t>Dyddiad dechrau</t>
  </si>
  <si>
    <t>Dyddiad gorffen</t>
  </si>
  <si>
    <t>Cynhwyswch nifer y diwrnodau wrth gefn</t>
  </si>
  <si>
    <t>A yw hyn wedi'i gwblhau?</t>
  </si>
  <si>
    <t>Cymeradwyo'r Prosiect</t>
  </si>
  <si>
    <t>Cymeradwyaeth ystadau/cyllid</t>
  </si>
  <si>
    <t>Cymeradwyaeth y Bwrdd/cynghorwyr</t>
  </si>
  <si>
    <t>Tendr</t>
  </si>
  <si>
    <t>Amser dylunio'r prosiect</t>
  </si>
  <si>
    <t>Rhoi'r prosiect allan i dendr</t>
  </si>
  <si>
    <t>Dyfarnu'r contract</t>
  </si>
  <si>
    <t>Cyfnod ailystyried</t>
  </si>
  <si>
    <t>Cytundeb PFI (os yw'n berthnasol)</t>
  </si>
  <si>
    <t>Llofnodi'r Weithred Amrywio</t>
  </si>
  <si>
    <t>Archebu</t>
  </si>
  <si>
    <t>Gosod Archeb</t>
  </si>
  <si>
    <t>Darparu</t>
  </si>
  <si>
    <t>Darparu'r Cyfarpar</t>
  </si>
  <si>
    <t>Prosiect ar y safle</t>
  </si>
  <si>
    <t>Dechrau gosod y prosiect</t>
  </si>
  <si>
    <t>Prosiect wedi'i gwblhau</t>
  </si>
  <si>
    <t>Cwblhau'r prosiect ar y safle</t>
  </si>
  <si>
    <t>Comisiynu</t>
  </si>
  <si>
    <t>Anfonebu</t>
  </si>
  <si>
    <t>Anfon tystysgrif cwblhau i Salix</t>
  </si>
  <si>
    <t>Dychwelyd y cytundeb benthyciad i Salix</t>
  </si>
  <si>
    <t>11. Deddf Llesiant Cenedlaethau'r Dyfodol (Cymru) 2015</t>
  </si>
  <si>
    <t xml:space="preserve">•   Disgrifiwch sut y bydd y prosiect hwn yn sicrhau bod y sefydliad yn gwneud y cyfraniad mwyaf posibl i un neu fwy o'r saith nod llesiant yn y Ddeddf a sut mae'r prosiect hwn yn cyd-fynd â'r Egwyddorion Datblygu Cynaliadwy. 
•   Ceir rhagor o wybodaeth am y Ddeddf a'r Ddeddfwriaeth yn https://www.futuregenerations.wales/
</t>
  </si>
  <si>
    <t>Achos Busnes Enghreifftiol Salix - Rhan 3</t>
  </si>
  <si>
    <t xml:space="preserve">Cam olaf y broses o wneud cais yw cwblhau'r tab Amorteiddio Benthyciad (gweler y tab nesaf). </t>
  </si>
  <si>
    <t>Ar gyfer cwestiynau ynghylch sut i gwblhau'r ffurflen hon neu pa wybodaeth i'w chynnwys yn eich cais, mae croeso i chi gysylltu ag aelod o'r Tîm Technegol Ynni a Charbon: technical@salixfinance.co.uk</t>
  </si>
  <si>
    <t>Amorteiddio Benthyciad</t>
  </si>
  <si>
    <t xml:space="preserve">Mae'r ddogfen amorteiddio benthyciad hon yn darparu amserlen ad-dalu benthyciad fynegol a manylion amorteiddio eich benthyciad. Mae'r amserlen yn seiliedig ar y costau, yr arbedion ariannol blynyddol, yr ad-daliad technegol, a'r dyddiad cwblhau a nodwyd yn yr Offeryn Cydymffurfiaeth Prosiect. 
Mae'r amserlen yn cyfrifo'n awtomatig yr isafswm gwerth ad-dalu gofynnol bob blwyddyn er mwyn sicrhau bod yr holl arian yn cael ei ddychwelyd erbyn diwedd y cyfnod ad-dalu. Bydd y broses o ad-dalu'r cyfalaf yn dechrau ar ôl i'r prosiect gael ei gwblhau. Yn unol â thelerau SEELS Cymru, bydd yr ad-daliadau llog cyntaf yn ddyledus ym mis Chwefror ar ôl tynnu'r cyfalaf i lawr. Bydd y gwerth sy'n ddyledus yn dibynnu ar y dyddiad y caiff eich benthyciad ei dynnu i lawr. 
Mae'r dyddiad tynnu i lawr wedi''i bennu chwe wythnos o ddyddiad eich cais at ddibenion yr amserlen ad-dalu fynegol hon. Gall hyn newid a chaiff ei ailgadarnhau gan Salix ar ran Llywodraeth Cymru a chi'ch hun yn ddiweddarach yn y broses ar ôl i'ch cais gael ei asesu. 
Gallwch ddewis ad-dalu rhan o'ch balans cyfalaf yn gynnar naill ai cyn i'r prosiect gael ei gwblhau neu drwy gydol y cyfnod ad-dalu drwy nodi gwerth yn y golofn ad-daliadau cyfalaf cynnar. Bydd y tabl yn diweddaru'r holl werthoedd eraill yn unol â hynny i ddangos yr effaith ar y cyfnod ad-dalu a'r llog rydych yn ei dalu.
Bydd Salix yn adolygu'r tabl amorteiddio benthyciad er mwyn sicrhau ei fod yn bodloni gofynion y dyddiad cau ar gyfer ad-dalu'r benthyciad, ac yn ystyried unrhyw ad-daliadau cynnar. Os bydd eich cais yn llwyddiannus, bydd yr amserlen amorteiddio benthyciad yn cael ei chadarnhau ar y cam galwad cyflawnadwyedd ac yn cael ei chytuno rhyngoch chi, Salix a Llywodraeth Cymru cyn rhoi'r cytundeb benthyciad.   
Noder, mae Salix yn cadw'r hawl, ar ran Llywodraeth Cymru, i rannu manylion eich cais gan gynnwys yr amserlen amorteiddio benthyciad fynegol a'r amserlen amorteiddio benthyciad wedi'i chadarnhau gyda Llywodraeth Cymru a phartneriaid ariannu. </t>
  </si>
  <si>
    <t>Date</t>
  </si>
  <si>
    <t>Year</t>
  </si>
  <si>
    <t>1. Cynllun Ad-dalu Arfaethedig</t>
  </si>
  <si>
    <t>Submission Date</t>
  </si>
  <si>
    <t>Arbedion ariannol blynyddol amcangyfrifedig eich prosiect</t>
  </si>
  <si>
    <t>Final Year Capital Repayment:</t>
  </si>
  <si>
    <r>
      <t xml:space="preserve">Cyfnod ad-dalu technegol eich prosiect - </t>
    </r>
    <r>
      <rPr>
        <sz val="11"/>
        <color rgb="FF382573"/>
        <rFont val="Verdana"/>
        <family val="2"/>
      </rPr>
      <t xml:space="preserve">dyma'r uchafswm cyfnod ad-dalu benthyciad y gallwch ei ddewis. </t>
    </r>
  </si>
  <si>
    <t>Drawdown Month</t>
  </si>
  <si>
    <t>Drawdown Year</t>
  </si>
  <si>
    <t>Year 1 interest due:</t>
  </si>
  <si>
    <t>Y2 Interest due</t>
  </si>
  <si>
    <t>Y3 Interest due</t>
  </si>
  <si>
    <t xml:space="preserve">1a. Sawl blwyddyn ydych chi'n bwriadu ei gymryd i ad-dalu eich benthyciad?
</t>
  </si>
  <si>
    <t>Drawdown Date 1</t>
  </si>
  <si>
    <t>Drawdown 2</t>
  </si>
  <si>
    <t>Drawdown 3</t>
  </si>
  <si>
    <t>Os ydych yn rhagweld y byddwch yn ad-dalu'r benthyciad mewn blwyddyn, gallwch anwybyddu'r tabl amorteiddio yn Adran 3.</t>
  </si>
  <si>
    <t>First Full Interest Payment FY:</t>
  </si>
  <si>
    <t>Months before drawdown</t>
  </si>
  <si>
    <t>Months after drawdown</t>
  </si>
  <si>
    <t>Isafswm gwerth ad-dalu gofynnol (y flwyddyn)</t>
  </si>
  <si>
    <t>First Year Interest Payment accrued from Drawdown Date</t>
  </si>
  <si>
    <t>Interest 1</t>
  </si>
  <si>
    <t xml:space="preserve">Bydd y gwerth hwn yn cael ei ddosrannu i gyfalaf a llog fel y dangosir yn y tabl amorteiddio isod. </t>
  </si>
  <si>
    <t>Interest Payments after first year:</t>
  </si>
  <si>
    <t>Interest 2</t>
  </si>
  <si>
    <t>Total Interest Payments</t>
  </si>
  <si>
    <t>Total Interest</t>
  </si>
  <si>
    <t>Capital Repayments minus Final Year:</t>
  </si>
  <si>
    <t>1b. Ydych chi'n rhagweld y byddwch chi'n gwneud unrhyw ad-daliadau cynnar o ran y benthyciad?</t>
  </si>
  <si>
    <t>Ydy</t>
  </si>
  <si>
    <t>Project complete FY</t>
  </si>
  <si>
    <t xml:space="preserve">Os ydych, nodwch y rhain yn y golofn 'Ad-daliadau Cyfalaf Cynnar' ar gyfer y blynyddoedd priodol yn y tabl amorteiddio benthyciad yn Adran 3. </t>
  </si>
  <si>
    <t>Gweler yr amserlen Amorteiddio Benthyciad fynegol yn Adran 3 isod er gwybodaeth.</t>
  </si>
  <si>
    <t>Maximum payback length</t>
  </si>
  <si>
    <t>Capital year</t>
  </si>
  <si>
    <t>Capital year trim</t>
  </si>
  <si>
    <t>1c. Ydych chi'n bwriadu tynnu'r holl arian i lawr yn y flwyddyn gyntaf?</t>
  </si>
  <si>
    <t>Drawdown month</t>
  </si>
  <si>
    <t>Os nad ydych, cwblhewch y tabl canlynol</t>
  </si>
  <si>
    <t>Capital payment year</t>
  </si>
  <si>
    <t>Ydych chi'n bwriadu tynnu i lawr yn y blynyddoedd canlynol?</t>
  </si>
  <si>
    <t>Pryd ydych chi'n bwriadu tynnu i lawr?</t>
  </si>
  <si>
    <t>Swm i'w dynnu i lawr</t>
  </si>
  <si>
    <t>Capital payment month</t>
  </si>
  <si>
    <t>Blwyddyn 1</t>
  </si>
  <si>
    <t>for formula</t>
  </si>
  <si>
    <t>28/</t>
  </si>
  <si>
    <t>Blwyddyn 2</t>
  </si>
  <si>
    <t>Blwyddyn 3</t>
  </si>
  <si>
    <t>02/</t>
  </si>
  <si>
    <t>Drawdown year minus 1</t>
  </si>
  <si>
    <t xml:space="preserve">1c. Rhowch sylwadau i gefnogi'r cynllun ad-dalu arfaethedig isod. </t>
  </si>
  <si>
    <t>Drawdown year plus 1</t>
  </si>
  <si>
    <t xml:space="preserve">• Ystyriwch sut y caiff yr arbedion ariannol a gynhyrchir o'r prosiect a ddangosir uchod eu defnyddio i gyfrannu at werthoedd ad-dalu blynyddol. 
• Lle defnyddir ad-daliadau cyfalaf cynnar a rhagorir ar yr isafswm gwerth ad-dalu blynyddol gofynnol, rhowch sylwadau i egluro sut y cyfrifwyd gwerth ad-daliadau cynnar, a'r rhesymau am hyn. </t>
  </si>
  <si>
    <t>/</t>
  </si>
  <si>
    <t>Next FY</t>
  </si>
  <si>
    <t>2. Amserlen Ad-dalu Fynegol; sicrhewch fod yr holl Gamau blaenorol wedi'u cwblhau.</t>
  </si>
  <si>
    <t>Crynodeb o'r benthyciad</t>
  </si>
  <si>
    <t>Crynodeb o'r Llog</t>
  </si>
  <si>
    <t>Cyfanswm gwerth y prosiect</t>
  </si>
  <si>
    <t>Taliad llog blwyddyn 1 yn ddyledus</t>
  </si>
  <si>
    <t>Cyfanswm y benthyciad y gofynnir amdano</t>
  </si>
  <si>
    <t>Taliad Llog Llawn Cyntaf:</t>
  </si>
  <si>
    <t>Drawdown 4</t>
  </si>
  <si>
    <t>Cyfradd llog flynyddol</t>
  </si>
  <si>
    <t>Cyfnod llog blwyddyn gyntaf (mis):</t>
  </si>
  <si>
    <t xml:space="preserve">Dyddiad tynnu i lawr cyntaf amcangyfrifedig </t>
  </si>
  <si>
    <t>Cyfanswm Taliadau Llog</t>
  </si>
  <si>
    <t>Ail ddyddiad tynnu i lawr amcangyfrifedig</t>
  </si>
  <si>
    <t>Trydydd dyddiad tynnu i lawr amcangyfrifedig</t>
  </si>
  <si>
    <t>Dyddiad amcangyfrifedig cwblhau'r prosiect</t>
  </si>
  <si>
    <t>Total Capital Repayments</t>
  </si>
  <si>
    <t>Crynodeb o'r Ad-daliad Cyfalaf</t>
  </si>
  <si>
    <t>A yw'r ymgeisydd yn gwneud unrhyw ad-daliadau cynnar?</t>
  </si>
  <si>
    <t>Cyfanswm Ad-daliadau Cynnar</t>
  </si>
  <si>
    <t>Cyfanswn Ad-daliadau Cyfalaf</t>
  </si>
  <si>
    <t>Total Capital Repayments:</t>
  </si>
  <si>
    <t>April</t>
  </si>
  <si>
    <t>Total</t>
  </si>
  <si>
    <t>October</t>
  </si>
  <si>
    <t>Annual capital repayment</t>
  </si>
  <si>
    <t>Trim capital payment year</t>
  </si>
  <si>
    <t>Trim total loan requested</t>
  </si>
  <si>
    <t>Leave blank</t>
  </si>
  <si>
    <t>Project completion month</t>
  </si>
  <si>
    <t>3. Tabl Amorteiddio Benthyciad;</t>
  </si>
  <si>
    <t>Dechrau'r Flwyddyn</t>
  </si>
  <si>
    <t>Diwedd y Flwyddyn</t>
  </si>
  <si>
    <t>Rhif Talu Ad-daliad Cyfalaf</t>
  </si>
  <si>
    <t>Rhif Ad-dalu Llog</t>
  </si>
  <si>
    <t>Blwyddyn Ariannol y Taliad</t>
  </si>
  <si>
    <t>Cuddio Colofn, BT Gyntaf</t>
  </si>
  <si>
    <t>Cuddio Colofn</t>
  </si>
  <si>
    <t>Cuddio Colofn Blwyddyn Ariannol</t>
  </si>
  <si>
    <t>Cuddio - Taliad Benthyciad Cychwynnol</t>
  </si>
  <si>
    <t>Balans Cyfalaf Cychwynnol</t>
  </si>
  <si>
    <t>Taliad Llog</t>
  </si>
  <si>
    <t>Ad-daliad Cyfalaf</t>
  </si>
  <si>
    <t xml:space="preserve">Hide - </t>
  </si>
  <si>
    <t>Ad-daliad Cyfalaf Cynnar</t>
  </si>
  <si>
    <t>Cyfanswm Ad-daliad (heb gynnwys taliadau llog)</t>
  </si>
  <si>
    <t>Hide - All payments</t>
  </si>
  <si>
    <t>Balans Cyfalaf ar y Diwedd</t>
  </si>
  <si>
    <t>Taliadau Cyfalaf Cronnol</t>
  </si>
  <si>
    <t>Taliadau Llog Cronnol</t>
  </si>
  <si>
    <t>Prawf Balans ar y Diwedd - mae'n dangos beth ddylai'r taliad terfynol fod</t>
  </si>
  <si>
    <t>Hide</t>
  </si>
  <si>
    <t>Hide 3</t>
  </si>
  <si>
    <t>Os yw'r cyfalaf ar y diwedd yn fenthyciad</t>
  </si>
  <si>
    <t>Hide 4</t>
  </si>
  <si>
    <t>Statws Ad-dalu</t>
  </si>
  <si>
    <t>For interest (hide)</t>
  </si>
  <si>
    <t>Ar gyfer ad-daliadau cyfalaf (cuddio)</t>
  </si>
  <si>
    <t>2024-2025</t>
  </si>
  <si>
    <t>2025-2026</t>
  </si>
  <si>
    <t>2026-2027</t>
  </si>
  <si>
    <t>2027-2028</t>
  </si>
  <si>
    <t>2028-2029</t>
  </si>
  <si>
    <t>2029-2030</t>
  </si>
  <si>
    <t>2030-2031</t>
  </si>
  <si>
    <t>2031-2032</t>
  </si>
  <si>
    <t>2032-2033</t>
  </si>
  <si>
    <t>2033-2034</t>
  </si>
  <si>
    <t>2034-2035</t>
  </si>
  <si>
    <t>2035-2036</t>
  </si>
  <si>
    <t>2036-2037</t>
  </si>
  <si>
    <t>2037-2038</t>
  </si>
  <si>
    <t>2038-2039</t>
  </si>
  <si>
    <t>2039-2040</t>
  </si>
  <si>
    <t>2040-2041</t>
  </si>
  <si>
    <t>2041-2042</t>
  </si>
  <si>
    <t>2042-2043</t>
  </si>
  <si>
    <t>2043-2044</t>
  </si>
  <si>
    <t>2044-2045</t>
  </si>
  <si>
    <t>2045-2046</t>
  </si>
  <si>
    <t>2046-2047</t>
  </si>
  <si>
    <t>2047-2048</t>
  </si>
  <si>
    <t>Enghreifftiau o Dechnolegau Cymwys</t>
  </si>
  <si>
    <t xml:space="preserve">Mae'r rhestr ganlynol yn cynnwys enghreifftiau o dechnolegau cymwys ar gyfer y Gronfa Ailgylchu a Chynlluniau SEELS. Os ydych yn bwriadu cynnwys technolegau nad ydynt yn ymddangos ar y rhestr hon yn eich cais, trafodwch nhw â Salix cyn cyflwyno'r cais. </t>
  </si>
  <si>
    <t>Math o Waith</t>
  </si>
  <si>
    <t>Arbedion carbon uniongyrchol</t>
  </si>
  <si>
    <t>Arbedion carbon anuniongyrchol</t>
  </si>
  <si>
    <t>Oes</t>
  </si>
  <si>
    <t>Diffiniadau o Oes a Ffactor Dyfalrwydd</t>
  </si>
  <si>
    <t>Gwresogi carbon isel</t>
  </si>
  <si>
    <t>Pwmp gwres ffynhonnell aer (aer i ddŵr)</t>
  </si>
  <si>
    <t>x</t>
  </si>
  <si>
    <r>
      <rPr>
        <sz val="14"/>
        <rFont val="Verdana"/>
        <family val="2"/>
      </rPr>
      <t>Oes</t>
    </r>
    <r>
      <rPr>
        <sz val="11"/>
        <rFont val="Verdana"/>
        <family val="2"/>
      </rPr>
      <t xml:space="preserve">: Dyma'r oes a ragwelir ar gyfer technoleg gwresogi carbon isel a ddefnyddir i gyfrifo arbedion oes. Defnyddir yr oes i gyfrifo cost arbed tunnell o CO2e dros oes cais ar gyfer mesurau gwresogi carbon isel (£/tCO2eLT). 
</t>
    </r>
    <r>
      <rPr>
        <sz val="14"/>
        <rFont val="Verdana"/>
        <family val="2"/>
      </rPr>
      <t>Ffactor dyfalrwydd</t>
    </r>
    <r>
      <rPr>
        <sz val="11"/>
        <rFont val="Verdana"/>
        <family val="2"/>
      </rPr>
      <t xml:space="preserve">: Ffactor dyfalrwydd (PF) yw oes technoleg effeithlonrwydd ynni wedi'i gyfartaleddu i ystyried dirywiad. Mae'r Ffactorau Dyfalrwydd ar gyfer technolegau unigol a ddefnyddir gan Salix yn seiliedig ar y rhai a nodwyd gan yr Ymddiriedolaeth Garbon, ac yn gyson â nhw. Caiff y PF ei ddefnyddio wrth gyfrifo cost arbed tunnell o CO2e dros oes cais ar gyfer mesurau effeithlonrwydd ynni (£/tCO2eLT). 
</t>
    </r>
  </si>
  <si>
    <t>Pwmp gwres ffynhonnell aer (aer i aer)</t>
  </si>
  <si>
    <t>Pwmp gwres ffynhonnell daear</t>
  </si>
  <si>
    <t>Pwmp gwres ffynhonnell dŵr</t>
  </si>
  <si>
    <t>Cysylltu â'r system gwresogi ardal bresennol</t>
  </si>
  <si>
    <t>Gwresogi - gwresogi trydan</t>
  </si>
  <si>
    <t>Dŵr poeth - gwresogyddion man defnyddio trydan</t>
  </si>
  <si>
    <t>Solar thermol</t>
  </si>
  <si>
    <t>Biomas</t>
  </si>
  <si>
    <t>Ffactorau Trosi Carbon</t>
  </si>
  <si>
    <t>Ffactor dyfalrwydd</t>
  </si>
  <si>
    <t>Ffynhonnell Ynni</t>
  </si>
  <si>
    <r>
      <t xml:space="preserve"> kg CO</t>
    </r>
    <r>
      <rPr>
        <b/>
        <vertAlign val="subscript"/>
        <sz val="9"/>
        <color theme="0"/>
        <rFont val="Verdana"/>
        <family val="2"/>
      </rPr>
      <t>2</t>
    </r>
    <r>
      <rPr>
        <b/>
        <sz val="9"/>
        <color theme="0"/>
        <rFont val="Verdana"/>
        <family val="2"/>
      </rPr>
      <t>e/kWh</t>
    </r>
  </si>
  <si>
    <t>Notes</t>
  </si>
  <si>
    <t>Previous Values</t>
  </si>
  <si>
    <t>Systemau rheoli ynni adeiladau (BEMS)</t>
  </si>
  <si>
    <t>BEMS - heb eu rheoli o bell</t>
  </si>
  <si>
    <t>Cwmpas 2 a Chwmpas 3  (Colledion Trosglwyddo a Dosbarthu yn unig)</t>
  </si>
  <si>
    <t>E</t>
  </si>
  <si>
    <t>BEMS - wedi'u rheoli o bell</t>
  </si>
  <si>
    <t>Nwy</t>
  </si>
  <si>
    <t>Cwmpas 1 yn unig</t>
  </si>
  <si>
    <t>G</t>
  </si>
  <si>
    <t>Oeri</t>
  </si>
  <si>
    <t>Oeri - system reoli</t>
  </si>
  <si>
    <t>Olew nwy</t>
  </si>
  <si>
    <t>GO</t>
  </si>
  <si>
    <t>Oeri - ailosod peiriannau/uwchraddio</t>
  </si>
  <si>
    <t>Olew tanwydd</t>
  </si>
  <si>
    <t>Olew gwresogi ar wahân i olew nwy neu olew llosgi</t>
  </si>
  <si>
    <t>FO</t>
  </si>
  <si>
    <t>Oeryddion effeithlon o ran ynni</t>
  </si>
  <si>
    <t>Olew llosgi</t>
  </si>
  <si>
    <t>Gelwir hefyd yn gerosîn neu baraffin a ddefnyddir ar gyfer systemau gwresogi</t>
  </si>
  <si>
    <t>BO</t>
  </si>
  <si>
    <t>Oeri rhydd</t>
  </si>
  <si>
    <t>Glo</t>
  </si>
  <si>
    <t>C</t>
  </si>
  <si>
    <t>Amnewid aerdymheru gydag oeri anweddol</t>
  </si>
  <si>
    <t>L</t>
  </si>
  <si>
    <t>Ynni o wastraff</t>
  </si>
  <si>
    <t>Treulio anaerobig</t>
  </si>
  <si>
    <t>Peledi coed</t>
  </si>
  <si>
    <t>WP</t>
  </si>
  <si>
    <t>Llosgi</t>
  </si>
  <si>
    <t xml:space="preserve">Sglodion coed
</t>
  </si>
  <si>
    <t>WC</t>
  </si>
  <si>
    <t>Gwresogi</t>
  </si>
  <si>
    <t>Adfer gwres</t>
  </si>
  <si>
    <t>Bio-nwy</t>
  </si>
  <si>
    <t>BG</t>
  </si>
  <si>
    <t>Gwresogi - rheolyddion ar wahân</t>
  </si>
  <si>
    <t xml:space="preserve">Ffynhonnell:
</t>
  </si>
  <si>
    <t>DESNZ: Ffactorau trosi nwyon tŷ gwydr cyfredol - diweddarwyd Mehefin 2023</t>
  </si>
  <si>
    <t>Gwresogi - gwelliannau i bibellau dosbarthu</t>
  </si>
  <si>
    <t>Gwresogi - falfiau rheoli parth</t>
  </si>
  <si>
    <t>Amnewid tanc dŵr poeth stêm gyda phlât cyfnewid gwres</t>
  </si>
  <si>
    <t>Amnewid trap stêm</t>
  </si>
  <si>
    <t>Storfeydd thermol</t>
  </si>
  <si>
    <t>Dŵr poeth</t>
  </si>
  <si>
    <t>Cyfyngu llif</t>
  </si>
  <si>
    <t>Dŵr poeth - gwelliannau dosbarthu</t>
  </si>
  <si>
    <t>Dŵr poeth - tapiau effeithlon</t>
  </si>
  <si>
    <t>Inswleiddio - adeiladwaith</t>
  </si>
  <si>
    <t>Inswleiddio waliau ceudod</t>
  </si>
  <si>
    <t>Gwydr dwbl gyda fframiau metel neu blastig</t>
  </si>
  <si>
    <t>Leinin wal sych</t>
  </si>
  <si>
    <t>Inswleiddio'r atig</t>
  </si>
  <si>
    <t>Inswleiddio llawr - llawr pren crog</t>
  </si>
  <si>
    <t>Inswleiddio llawr - llawr solet neu fath arall</t>
  </si>
  <si>
    <t>Inswleiddio to</t>
  </si>
  <si>
    <t>Gwydr eilaidd</t>
  </si>
  <si>
    <t>Inswleiddio - atal drafftiau</t>
  </si>
  <si>
    <t>Inswleiddio - arall</t>
  </si>
  <si>
    <t>Drysau cyflymder awtomatig</t>
  </si>
  <si>
    <t>Drysau awtomatig/troi</t>
  </si>
  <si>
    <t>Lobi drafft (allanol)</t>
  </si>
  <si>
    <t>Lobi drafft (mewnol)</t>
  </si>
  <si>
    <t>Ffoil adlewyrchol ar reiddiaduron (waliau allanol)</t>
  </si>
  <si>
    <t>Inswleiddio - pibellau</t>
  </si>
  <si>
    <t>Inswleiddio pibellau gwresogi (allanol)</t>
  </si>
  <si>
    <t>Inswleiddio pibellau gwresogi (mewnol)</t>
  </si>
  <si>
    <t>LED - yr un gosodiad</t>
  </si>
  <si>
    <t>Rheolyddion golau</t>
  </si>
  <si>
    <t>Goleuadau - rheolyddion ar wahân</t>
  </si>
  <si>
    <t>System rheoli goleuadau ganolog</t>
  </si>
  <si>
    <t>Rheolyddion modur</t>
  </si>
  <si>
    <t>Rheolyddion modur cyflymder sefydlog</t>
  </si>
  <si>
    <t>Moduron - gyriannau gwregys gwastad</t>
  </si>
  <si>
    <t>Gyriannau cyflymder amrywiol</t>
  </si>
  <si>
    <t>Amnewid moduron</t>
  </si>
  <si>
    <t>Moduron - effeithlonrwydd uchel</t>
  </si>
  <si>
    <t>Ynni adnewyddadwy</t>
  </si>
  <si>
    <t>Ynni dŵr bach</t>
  </si>
  <si>
    <t>Solar ffotofoltaig</t>
  </si>
  <si>
    <t>Tyrbin gwynt</t>
  </si>
  <si>
    <t>Switsys amser</t>
  </si>
  <si>
    <t>Awyru</t>
  </si>
  <si>
    <t>Ffaniau - uned trin aer</t>
  </si>
  <si>
    <t>Ffaniau - effeithlonrwydd uchel</t>
  </si>
  <si>
    <t>Deunydd newid cam</t>
  </si>
  <si>
    <t>Lleithyddion uwchsain</t>
  </si>
  <si>
    <t>Awyru - dosbarthu</t>
  </si>
  <si>
    <t>Awyru - rheolyddion presenoldeb</t>
  </si>
  <si>
    <t>Project Type</t>
  </si>
  <si>
    <t>Work-type list name</t>
  </si>
  <si>
    <t xml:space="preserve">Client type </t>
  </si>
  <si>
    <t xml:space="preserve">Client-type list name </t>
  </si>
  <si>
    <t>Client Type Selected</t>
  </si>
  <si>
    <t>Client-type list name</t>
  </si>
  <si>
    <t>system rheoli adeiladau</t>
  </si>
  <si>
    <t>BMS</t>
  </si>
  <si>
    <t xml:space="preserve">Emergency_Services </t>
  </si>
  <si>
    <t>Cooling</t>
  </si>
  <si>
    <t xml:space="preserve">Further Education Institution </t>
  </si>
  <si>
    <t xml:space="preserve">Further_Education_Institution </t>
  </si>
  <si>
    <t>Egni o wastraff </t>
  </si>
  <si>
    <t>EfW</t>
  </si>
  <si>
    <t>Project Row</t>
  </si>
  <si>
    <t>Project Type Selected</t>
  </si>
  <si>
    <t>Work type selected</t>
  </si>
  <si>
    <t>Consistency check</t>
  </si>
  <si>
    <t>Check that all cells are ok</t>
  </si>
  <si>
    <t xml:space="preserve">Higher Education Institution </t>
  </si>
  <si>
    <t xml:space="preserve">Higher_Education_Institution </t>
  </si>
  <si>
    <t xml:space="preserve">Gwresogi </t>
  </si>
  <si>
    <t>Heating</t>
  </si>
  <si>
    <t>Local_Authority</t>
  </si>
  <si>
    <t>Hot_water</t>
  </si>
  <si>
    <t>Inswleiddio - ffabrig adeiladu</t>
  </si>
  <si>
    <t>Insulation_building_fabric</t>
  </si>
  <si>
    <t>Primary_School</t>
  </si>
  <si>
    <t xml:space="preserve">Inswleiddio – atal drafftiau </t>
  </si>
  <si>
    <t>Insulation_draught_proofing</t>
  </si>
  <si>
    <t>Secondary_School</t>
  </si>
  <si>
    <t>Insulation_other</t>
  </si>
  <si>
    <t>Insulation_pipework</t>
  </si>
  <si>
    <t>LCH</t>
  </si>
  <si>
    <t>LEDs</t>
  </si>
  <si>
    <t>rheolyddion goleuo</t>
  </si>
  <si>
    <t>Lighting_controls</t>
  </si>
  <si>
    <t>rheolyddion Moduron</t>
  </si>
  <si>
    <t>Motor_controls</t>
  </si>
  <si>
    <t xml:space="preserve">Amnewid Moduron </t>
  </si>
  <si>
    <t>Motor_replacement</t>
  </si>
  <si>
    <t>Egni adnewyddadwy</t>
  </si>
  <si>
    <t>Renewables</t>
  </si>
  <si>
    <t>Switsys amser </t>
  </si>
  <si>
    <t>Time_switches</t>
  </si>
  <si>
    <t>trawsnewidyddion</t>
  </si>
  <si>
    <t>Transformers</t>
  </si>
  <si>
    <t>Ventilation</t>
  </si>
  <si>
    <t>Enter Project Type first</t>
  </si>
  <si>
    <t>Programme</t>
  </si>
  <si>
    <t>PB</t>
  </si>
  <si>
    <t>£/tCO2e</t>
  </si>
  <si>
    <t>Cronfa Ailgylchu Cymru</t>
  </si>
  <si>
    <t>Overall project</t>
  </si>
  <si>
    <t>Criteria</t>
  </si>
  <si>
    <t>Compliancy</t>
  </si>
  <si>
    <t>SEELS_Wales</t>
  </si>
  <si>
    <t>Higher_Education_Institute</t>
  </si>
  <si>
    <t>Recycling_Fund_England_HEI</t>
  </si>
  <si>
    <t>Recycling_Fund_Wales</t>
  </si>
  <si>
    <t>Further_Education_Institute</t>
  </si>
  <si>
    <t>Recycling_Fund_England</t>
  </si>
  <si>
    <t>Emergency Services</t>
  </si>
  <si>
    <t>Emergency_Services</t>
  </si>
  <si>
    <t xml:space="preserve">Primary School </t>
  </si>
  <si>
    <t xml:space="preserve">Primary_School </t>
  </si>
  <si>
    <t>SEELS_England</t>
  </si>
  <si>
    <t>SEELS_Schools</t>
  </si>
  <si>
    <t>Recycling_Fund_Scotland</t>
  </si>
  <si>
    <t>Primary School (Local Authority)</t>
  </si>
  <si>
    <t>Secondary School (Local Authority)</t>
  </si>
  <si>
    <t>SEELS_Scotland</t>
  </si>
  <si>
    <t>Salix_Decarbonisation_Fund</t>
  </si>
  <si>
    <t>Programme Selected</t>
  </si>
  <si>
    <t>vlookup</t>
  </si>
  <si>
    <t>Salix Business Case Template - Assessment and Feedback</t>
  </si>
  <si>
    <t>Assessment form for Salix/Atkins</t>
  </si>
  <si>
    <t>Objectives:</t>
  </si>
  <si>
    <t>Programme Title:</t>
  </si>
  <si>
    <t xml:space="preserve">This assessment's primary objective is to evaluate the business case (as provided by the applicant) in a structured manner, identifying strengths &amp; weaknesses leading to a judgement as to whether the business case is technically sound and is likely to deliver the energy savings &amp; payback period presented.  If the business case is unsound or needs further consideration, the assessment should identify what further information is needed from the client. </t>
  </si>
  <si>
    <t>Public Sector Body:</t>
  </si>
  <si>
    <t>1. Technical case</t>
  </si>
  <si>
    <t xml:space="preserve">Score Green for High Quality, Amber for With Conditions and Red for Requires Improvement </t>
  </si>
  <si>
    <t xml:space="preserve">Consider the project description provided in terms of clarity, completeness, asset lifetime, energy saving potential and other benefits.  Consider the contextual information provided by the applicant in support of the project.
</t>
  </si>
  <si>
    <t>1.1 Project Description including any background material (For Wales Applications: Future Generations Act 2015)</t>
  </si>
  <si>
    <t>1.2 Technical Feasibility &amp; Future Resilience</t>
  </si>
  <si>
    <t>Consider the project's technical feasibility in terms of good evidence for delivering the expected energy savings from the information provided by the applicant.
Take into account proven track record in technology installation and if applicant has previously used supplier successfully. In addition, for CHP, take into account the future resilience of the proposal in terms of carbon savings and grid resilience.</t>
  </si>
  <si>
    <t>1.3 Material provided on the technology, has the final product been chosen?</t>
  </si>
  <si>
    <t>Consider the material provided to support the creditability of the supplier/contractor to deliver the project.
Consider additional technical information provided in the business case e.g. supplier technology specifications.</t>
  </si>
  <si>
    <t>1.4 Energy/Carbon Savings Calculations</t>
  </si>
  <si>
    <t>Consider whether energy savings estimate is robust being based on realistic data, assumptions and estimations for the technology. Take into account if the applicant can demonstrate or reference energy savings from similar projects.  Consider whether it's likely to deliver benefits in addition to the cost &amp; energy savings claimed; e.g. CRC, maintenance, reliability, safety, etc.</t>
  </si>
  <si>
    <t>1.5 Energy/Carbon Monitoring Plan</t>
  </si>
  <si>
    <t>Consider the monitoring plan for assessing the energy savings made by the project; i.e. project specific metering, manual measurements etc.</t>
  </si>
  <si>
    <t>2. Financial case</t>
  </si>
  <si>
    <t>2.1 Main Equipment Costs</t>
  </si>
  <si>
    <t xml:space="preserve">Consider whether the project capital cost is clearly structured and complete, or if there are significant elements missing or unclear. </t>
  </si>
  <si>
    <t>2.2 Installation Cost</t>
  </si>
  <si>
    <t>Considering whether any installation costs are clearly identified and appropriate.</t>
  </si>
  <si>
    <t>2.3 Other Project Costs</t>
  </si>
  <si>
    <t>Are there any other project costs identified such as design or project management fees.</t>
  </si>
  <si>
    <t>2.4 Operating &amp; Maintenance Cost</t>
  </si>
  <si>
    <t>Ensure that any operating &amp; maintenance costs are clearly identified, appropriate and realistic.
If there are no significant ongoing maintenance or operating costs score highly. Are the Maintenance costs expected to increase or decrease?</t>
  </si>
  <si>
    <t>Comments on Project Costs (2.1-2.4):</t>
  </si>
  <si>
    <t>2.5 Evidence of Firm Pricing or close budgets having been received</t>
  </si>
  <si>
    <t>Consider the costing source information validity; i.e. single quotation, multiple quotations, cross referenced to similar projects etc.</t>
  </si>
  <si>
    <t>2.6 Project Cost Savings Calculations with particular reference to the fuel prices being considered</t>
  </si>
  <si>
    <t>Consider how robust the cost saving calculations are by referring to the project energy saving estimation and unit energy costs.  Take into account if the applicant can demonstrate or reference savings from similar projects</t>
  </si>
  <si>
    <t>2.7 Simple Payback Period Realistic / Is the payback period &amp; cost of carbon in line with similar projects</t>
  </si>
  <si>
    <t xml:space="preserve">Consider if the project payback period estimation is robust and complete. </t>
  </si>
  <si>
    <t>3. Project governance, risks, mitigation</t>
  </si>
  <si>
    <t>3.1 Project Risks &amp; Mitigations</t>
  </si>
  <si>
    <t>Consider the project risk management and mitigation proposed; i.e. scheduling, shutdowns, contractor access, milestones to give overview of applicant's risk management assessment.
Consider negative consequences of project installation &amp; any negative implications of  installing or not installing the project.
Highlight any potential significant risks not specifically identified by the applicant.</t>
  </si>
  <si>
    <t>3.2 Project Implementation / Schedule - Timings included; for example key milestones for installation and commissioning</t>
  </si>
  <si>
    <t>How do the timeframes compare to other similar projects? 
Are there any key consideration that may delay the project, such as PFI, board sign off? Is sufficient contingency evidenced to mitigate delays to key processes?</t>
  </si>
  <si>
    <t>3.3 Applicant/Contractors' previous experience capability</t>
  </si>
  <si>
    <t>Has the applicant and/or contractor had previous experience of similar projects?  Consider case studies or other supporting information provided.</t>
  </si>
  <si>
    <t>3.4 Is the project governance sufficient for the size and complexity of the work to be completed?</t>
  </si>
  <si>
    <t>Number of months to commission?</t>
  </si>
  <si>
    <t xml:space="preserve">Is this timeframe feasible for the technologies included in the project? </t>
  </si>
  <si>
    <t>Number of months contingency?</t>
  </si>
  <si>
    <t>If no contingency provided, what should there be? Is there likely to be slippage in the project milestones?</t>
  </si>
  <si>
    <t>Board/councillors approval?</t>
  </si>
  <si>
    <t>If not approved, when will approval be given?</t>
  </si>
  <si>
    <t>Is procurement complete?</t>
  </si>
  <si>
    <t>If not complete, then what is the process and timescale?</t>
  </si>
  <si>
    <t>Assessor review and recommendations</t>
  </si>
  <si>
    <t>Based on the overall score achieved, the business case for this project is:</t>
  </si>
  <si>
    <t>Green = Passed
Amber = Passed with conditions
Red = Requires improvement</t>
  </si>
  <si>
    <t>Assessor summary including improvement points:</t>
  </si>
  <si>
    <t>Summary notes supporting the assessment recommendation including picking out good features of sound business cases.
Add any additional notes, observations, reservations or comments regarding the business case which may not be covered elsewhere.</t>
  </si>
  <si>
    <t>Conditions (if any further information required) for passing business case:</t>
  </si>
  <si>
    <t>Summary notes for what needs to be done to make unsound business cases sound or any conditions that need to be met at a later stage of the application, upon passing the business case with conditions.</t>
  </si>
  <si>
    <t>Disclaimer</t>
  </si>
  <si>
    <t>This assessment is made on the information as provided by the applicant. Whilst reasonable steps have been taken to ensure that the information provided within this assessment is correct, Salix, the assessor, and the Government give no warranty and make no representation as to its accuracy and accept no liability for any errors or omissions.</t>
  </si>
  <si>
    <t>To be completed by Salix/Atkins Assessor</t>
  </si>
  <si>
    <t>Project reference</t>
  </si>
  <si>
    <t>Time Allocated</t>
  </si>
  <si>
    <t>hours</t>
  </si>
  <si>
    <t>Assessor</t>
  </si>
  <si>
    <t>QA</t>
  </si>
  <si>
    <t>Approved by</t>
  </si>
  <si>
    <t xml:space="preserve">Scoring </t>
  </si>
  <si>
    <t>Number of score</t>
  </si>
  <si>
    <t>Column2</t>
  </si>
  <si>
    <t>Red</t>
  </si>
  <si>
    <t>Amber</t>
  </si>
  <si>
    <t>Green</t>
  </si>
  <si>
    <t>Total ranking</t>
  </si>
  <si>
    <t>Meini Prawf Ychwanegedd:</t>
  </si>
  <si>
    <t xml:space="preserve">Rhaid i brosiectau fod yn "ychwanegol" hefyd – h.y. ni fyddent wedi digwydd heb y cyllid. Ar gyfer prosiectau sydd eisoes yn rhan o'r rhaglen cynnal a chadw y cytunwyd arni ac a ariannwyd, dim ond y buddsoddiad ychwanegol sydd ei angen i ddewis opsiwn arbed ynni drutach y gall y gronfa ei gefnogi. Nid yw hyn yn atal prosiectau sydd wedi'u nodi a'u costio rhag gwneud cais, ar yr amod nad yw arian wedi cael ei ddyrannu. Mae nifer o feini prawf a ddefnyddir i asesu a yw prosiect yn "ychwanegol", gan gynnwys: 
    • A yw'r prosiect yn ofynnol yn unol â deddfwriaeth? Os ydy, "nid yw'n ychwanegol". 
    • A yw Rheoliadau Adeiladu neu swyddogion cynllunio yn nodi ei fod yn ofynnol (e.e. gofyniad i ganran o'r galw am drydan mewn adeiladau newydd gael ei fodloni gan ynni adnewyddadwy ar y safle)? Os ydyn, "nid yw'n ychwanegol".
    • A yw wedi dechrau yn barod neu a yw cyllid wedi'i gytuno eisoes? Os ydy, "nid yw'n ychwanegol".
Os mai NA yw'r ateb i'r holl gwestiynau uchod, yna gall y prosiect gael ei ariannu o dan y Cynllun. </t>
  </si>
  <si>
    <t>Diffiniadau:</t>
  </si>
  <si>
    <t>Model Ffactor Dyfalrwydd:</t>
  </si>
  <si>
    <t>Mae'r Ffactorau Dyfalrwydd ar gyfer technolegau unigol a ddefnyddir gan Salix yn seiliedig ar y rhai a nodwyd gan yr Ymddiriedolaeth Garbon, ac yn gyson â nhw. Ar ddechrau 2009/10, cynhaliodd yr Ymddiriedolaeth Garbon adolygiad o'r Fethodoleg Ffactorau Dyfalrwydd bresennol. Yn dilyn ymgynghoriad ar ddechrau 2010, mae model diwygiedig wedi cael ei fabwysiadu.</t>
  </si>
  <si>
    <t xml:space="preserve">Oes: </t>
  </si>
  <si>
    <t xml:space="preserve">Dyma'r oes a ragwelir ar gyfer technoleg gwresogi carbon isel a ddefnyddir i gyfrifo arbedion oes. Defnyddir yr oes i gyfrifo cost arbed tunnell o CO2e dros oes cais. </t>
  </si>
  <si>
    <t>% kWh a arbedwyd:</t>
  </si>
  <si>
    <t xml:space="preserve">Dylai cleientiaid gynnwys % kWh y rhagwelir y byddant yn ei harbed. </t>
  </si>
  <si>
    <t>tCO2e y flwyddyn:</t>
  </si>
  <si>
    <r>
      <t>Tunelli o CO</t>
    </r>
    <r>
      <rPr>
        <vertAlign val="subscript"/>
        <sz val="10"/>
        <color theme="1"/>
        <rFont val="Verdana"/>
        <family val="2"/>
      </rPr>
      <t>2</t>
    </r>
    <r>
      <rPr>
        <sz val="10"/>
        <color theme="1"/>
        <rFont val="Verdana"/>
        <family val="2"/>
      </rPr>
      <t>e a arbedir y flwyddyn</t>
    </r>
  </si>
  <si>
    <t>£/tCO2e LT:</t>
  </si>
  <si>
    <r>
      <t>Cost (£) fesul tunnell CO</t>
    </r>
    <r>
      <rPr>
        <vertAlign val="subscript"/>
        <sz val="10"/>
        <rFont val="Verdana"/>
        <family val="2"/>
      </rPr>
      <t>2</t>
    </r>
    <r>
      <rPr>
        <sz val="10"/>
        <rFont val="Verdana"/>
        <family val="2"/>
      </rPr>
      <t>e a arbedir - oes</t>
    </r>
  </si>
  <si>
    <t>Ver</t>
  </si>
  <si>
    <t>Change</t>
  </si>
  <si>
    <t>By</t>
  </si>
  <si>
    <t>Jul-24</t>
  </si>
  <si>
    <t>Application form SEELS Wales specific.
Changes to design to bring in line with other Salix schemes.
Addition of loan amortisation tab.</t>
  </si>
  <si>
    <t>CS</t>
  </si>
  <si>
    <t>Nov-23</t>
  </si>
  <si>
    <t>Updated carbon factors for electricity</t>
  </si>
  <si>
    <t xml:space="preserve">Upgrade form to become universal tool for all loan schemes.
Update carbon factors and addition of bespoke option (for distict heating).
Removal of boilers and voltage optimisation as an eligible technology.
Business case includes question for Welsh applicants.
Re-wording of questions in business case section.
</t>
  </si>
  <si>
    <t>CCT to £500 for all England clients (in effect from Aprill 2022) and match technology list to Phase 3.</t>
  </si>
  <si>
    <t>AC</t>
  </si>
  <si>
    <t xml:space="preserve">Updated carbon factors
</t>
  </si>
  <si>
    <t>NH</t>
  </si>
  <si>
    <t>Updated carbon factors
Technology list updated:
⦁ LED Lighting work types simplified to 'LED - new fitting' and 'LED - same fitting'
⦁ 'Retrofit Single Glazing' removed 
⦁ Two Floor Insulation work types added</t>
  </si>
  <si>
    <t>Added 'Salix Decarbonisation Fund' programme.
Added a pre-tender assessment form and removed the 'Project can be supported' sign-off from the normal assessment form.
Updated Heat Pump work types and updated ASHP PF from 10.83 to 12.54.
Added project cost commentary box in the business case.
Added 'Voltage Management' work types to 'Technologies Under Review' and removed:
•	CRT to flat screen LCD
•	Compact Fluorescent including changing the fitting
•	Compact Fluorescent using same fitting
•	Electronic ballast with dimming control
•	HP Sodium including new fitting
•	Induction Fluorescent including changing the fitting
•	Replace halogen with HID metal halide
•	T12/T8 to CCFL including new fitting
•	T12/T8 to CCFL using same fitting
•	T5 lighting including changing the fitting
•	T5 lighting retrofit using adaptors
•	T8 lighting including changing the fitting
•	T8 lighting retrofit using adaptors</t>
  </si>
  <si>
    <t>Rebranded</t>
  </si>
  <si>
    <t>NM &amp; BH</t>
  </si>
  <si>
    <t>Added Work Types 'Energy efficient combi-oven', 'Energy efficient convection-oven' &amp; 'Small Hydropower'.
Updated Carbon Conversion Factors.
Revised all Compliance Tools into one version.
Added 'Technologies Under Review Tab' &amp; updated Compliancy Criteria</t>
  </si>
  <si>
    <t>BH &amp; NH</t>
  </si>
  <si>
    <t>Added Work Types 'Energy Efficient X-Ray Generator'.</t>
  </si>
  <si>
    <t>BL</t>
  </si>
  <si>
    <t>Added Work Types 'CHP - Private Wire Connection', 'Direct electric heating to heat pump (water source)' and updated the ground source work types persistence factor.
Removed Work Types:
⦁ Electric to Gas - heating using CHP
⦁ Electric to Gas - heating using condensing boilers
⦁ Electric to Gas - tumble driers
Updated Compliancy Criteria to remove 5 year payback from SEELS England and Increase to £172/tCO2
Updated SEELS Scotland compliancy to £250/tCO2
Updated Carbon Conversion Factors
Added in 'Forecast p/kWh' &amp; Forecast % Change' fields</t>
  </si>
  <si>
    <t>BH &amp; BC</t>
  </si>
  <si>
    <t xml:space="preserve">Added Work Type 'Ultrasonic Humidifiers' and 'Direct electric heating to heat pump (ground source)'
</t>
  </si>
  <si>
    <t>BC</t>
  </si>
  <si>
    <t>Removed Recycling Fund Programme
Removed Work Type 'Liquid Pool Covers'
Updated to BEIS latest CO2 factors</t>
  </si>
  <si>
    <t>BH</t>
  </si>
  <si>
    <t>Added Technology 'Solar PV'</t>
  </si>
  <si>
    <t>Changed PF of Hand Dryers from 4.18 to 8.21
Added Technology 'Energy Efficient Chillers' and 'Flow restrictors'
£/tCO2 criteria revised to £120 from £100</t>
  </si>
  <si>
    <t>Added Terms and Conditions
Update to DECC CO2 factors
New PF factors
Acadamies removed as applicant type
Double glazing with metal or plastic frames added to 'Insulation - building fabric'
Phase change material added to ' Ventilation'
Efficient taps added to 'Hot Water'
Renamed Heat pump (air source) to Direct electric heating to heat pump (air source) and moved from 'renewables' to 'heating'
Added new work type for energy efficient drying cabinets
Order of work type changed to be alphabetical
Street lighting work types revised
Removed
   - Replace controls but not ballasts
   - Fit centralised controls but not ballasts</t>
  </si>
  <si>
    <t>JC</t>
  </si>
  <si>
    <t>Update to DEFRA CO2 factors
Addition of new work types
Cell for total project value included within CT
Salix % contribution field is now a calculated field
Minor formatting changes</t>
  </si>
  <si>
    <r>
      <t>Update to DEFRA CO</t>
    </r>
    <r>
      <rPr>
        <vertAlign val="subscript"/>
        <sz val="10"/>
        <rFont val="Verdana"/>
        <family val="2"/>
      </rPr>
      <t>2</t>
    </r>
    <r>
      <rPr>
        <sz val="10"/>
        <rFont val="Verdana"/>
        <family val="2"/>
      </rPr>
      <t xml:space="preserve"> factors
Minor adjustments to assessment criteria tab
Minor formatting changes</t>
    </r>
  </si>
  <si>
    <t>Added new work type for energy efficient growth cabinets
Minor formatting changes</t>
  </si>
  <si>
    <t>MC</t>
  </si>
  <si>
    <t>Added new work type for connection to district heating
Increased compatability for Excel 2003 and older</t>
  </si>
  <si>
    <r>
      <t>Major formatting changes
Consolidation of Programme-specfic Compliance Tools
Addition of new project work types
Update to DEFRA CO</t>
    </r>
    <r>
      <rPr>
        <vertAlign val="subscript"/>
        <sz val="10"/>
        <rFont val="Verdana"/>
        <family val="2"/>
      </rPr>
      <t>2</t>
    </r>
    <r>
      <rPr>
        <sz val="10"/>
        <rFont val="Verdana"/>
        <family val="2"/>
      </rPr>
      <t xml:space="preserve"> factors</t>
    </r>
  </si>
  <si>
    <t xml:space="preserve">Major formatting changes to increase backwards compatability
Break down of cost for each measure being installed </t>
  </si>
  <si>
    <t xml:space="preserve">Amended Assessment Criteria sheet (submission email)
Minor formatting changes </t>
  </si>
  <si>
    <t xml:space="preserve">Major formatting changes
CO2 factors updated to reflect new figures from DEFRA </t>
  </si>
  <si>
    <t>Version created for SEELS
Fields for pre/post kWh added
New work types added:
 - T12/T8 to CCFL including new fitting
 - T12/T8 to CCFL using same fitting</t>
  </si>
  <si>
    <t>CM</t>
  </si>
  <si>
    <t>26.1 RF SF</t>
  </si>
  <si>
    <t>Amended Voltage Management work type.</t>
  </si>
  <si>
    <t>26 RF MPS</t>
  </si>
  <si>
    <t>New compliance tool developed from v25 SF
Notes from v26 SF tool:
New DEFRA carbon conversion factors
Improved PFs for some ICT work types
Additional work types (denoted in red)
Additional work types can now be used in Multiple Fuel tool
Site life can now only be entered as numerical value
Some minor formatting fixes in percentage fields
'Voltage reduction' renamed to 'Voltage management - fixed ratio' and 'Voltage management - variable ratio' in line with Carbon Trust guide CTG045</t>
  </si>
  <si>
    <t>Project Code:</t>
  </si>
  <si>
    <t>PET entry:</t>
  </si>
  <si>
    <t>Project Ref</t>
  </si>
  <si>
    <t>Start 
date</t>
  </si>
  <si>
    <t>Completion date</t>
  </si>
  <si>
    <t>Site name</t>
  </si>
  <si>
    <t>Site life (yrs)</t>
  </si>
  <si>
    <t>Project /
description</t>
  </si>
  <si>
    <t xml:space="preserve">Total Project Value </t>
  </si>
  <si>
    <t>Salix Funding Requested</t>
  </si>
  <si>
    <t>Salix % contribution of total project cost</t>
  </si>
  <si>
    <t>Energy Type</t>
  </si>
  <si>
    <t>Energy Cost (p/kWh)</t>
  </si>
  <si>
    <t>Forecast p/kWh</t>
  </si>
  <si>
    <t>Forecast % Change</t>
  </si>
  <si>
    <t>Work Type</t>
  </si>
  <si>
    <t>Annual kWh Pre-Project</t>
  </si>
  <si>
    <t>Annual kWh Post-Project</t>
  </si>
  <si>
    <t>Annual kWh Saving</t>
  </si>
  <si>
    <t>% kWh savings</t>
  </si>
  <si>
    <t>Annual Financial Savings</t>
  </si>
  <si>
    <t>Payback Period</t>
  </si>
  <si>
    <t>kg/kWh</t>
  </si>
  <si>
    <t>tCO2 pa</t>
  </si>
  <si>
    <t>tCO2 LT Savings</t>
  </si>
  <si>
    <t>£/tCO2 LT</t>
  </si>
  <si>
    <t>LT Financial Saving</t>
  </si>
  <si>
    <t>Back Data:</t>
  </si>
  <si>
    <t>Measure Reference:</t>
  </si>
  <si>
    <t>Energy
type</t>
  </si>
  <si>
    <t>p/kWh</t>
  </si>
  <si>
    <t>Technology - Work Type</t>
  </si>
  <si>
    <t>Annual kWhrs Pre-Project</t>
  </si>
  <si>
    <t>Annual kWhrs Post-Project</t>
  </si>
  <si>
    <t>Annual kWh savings</t>
  </si>
  <si>
    <t>Annual Financial Saving</t>
  </si>
  <si>
    <t>tCO2 LT</t>
  </si>
  <si>
    <t>Cost per Measure</t>
  </si>
  <si>
    <t>Number</t>
  </si>
  <si>
    <t>Energy type</t>
  </si>
  <si>
    <t xml:space="preserve">Mae Salix Finance Ltd (“Salix”) yn cynnig cyllid benthyciad ar gyfer phrosiectau effeithlonrwydd ynni a datgarboneiddio ar gyfer cyrff sector cyhoeddus sydd wedi’u cofrestru yng Nghymru ar gyfradd llog sefydlog o 2.05%. Mae'n rhaid i fenthyciadau Salix gydymffurfio ag amodau penodol o ran y math o gyfarpar sy'n cael ei osod a'i effeithlonrwydd o ran arbedion ariannol ac arbedion carbon. Mae Salix wedi datblygu cyfres o "offer" syml sydd ar gael i ddefnyddwyr eu lawrlwytho am ddim i'w helpu i amcangyfrif  yr arbedion ariannol a'r arbedion carbon a ragwelir ar gyfer pob cynllun y maent am ei asesu gan ddefnyddio data a ddarperir gan y defnyddiwr.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</si>
</sst>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8" formatCode="&quot;£&quot;#,##0.00;[Red]\-&quot;£&quot;#,##0.00"/>
    <numFmt numFmtId="44" formatCode="_-&quot;£&quot;* #,##0.00_-;\-&quot;£&quot;* #,##0.00_-;_-&quot;£&quot;* &quot;-&quot;??_-;_-@_-"/>
    <numFmt numFmtId="43" formatCode="_-* #,##0.00_-;\-* #,##0.00_-;_-* &quot;-&quot;??_-;_-@_-"/>
    <numFmt numFmtId="164" formatCode="&quot;£&quot;#,##0"/>
    <numFmt numFmtId="165" formatCode="#,##0_ ;\-#,##0\ "/>
    <numFmt numFmtId="166" formatCode="d/m/yy;@"/>
    <numFmt numFmtId="167" formatCode="_-* #,##0.000_-;\-* #,##0.000_-;_-* &quot;-&quot;??_-;_-@_-"/>
    <numFmt numFmtId="168" formatCode="#,##0.00_ ;\-#,##0.00\ "/>
    <numFmt numFmtId="169" formatCode="0.00000"/>
    <numFmt numFmtId="170" formatCode="_-* #,##0_-;\-* #,##0_-;_-* &quot;-&quot;??_-;_-@_-"/>
    <numFmt numFmtId="171" formatCode="&quot;£&quot;#,##0.00"/>
    <numFmt numFmtId="172" formatCode="[$-F800]dddd\,\ mmmm\ dd\,\ yyyy"/>
    <numFmt numFmtId="173" formatCode="0.000"/>
    <numFmt numFmtId="174" formatCode="_-* #,##0.00000_-;\-* #,##0.00000_-;_-* &quot;-&quot;??_-;_-@_-"/>
    <numFmt numFmtId="175" formatCode="dd/mm/yyyy;@"/>
  </numFmts>
  <fonts count="126"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theme="1"/>
      <name val="Arial"/>
      <family val="2"/>
    </font>
    <font>
      <u/>
      <sz val="10"/>
      <color theme="10"/>
      <name val="Arial"/>
      <family val="2"/>
    </font>
    <font>
      <sz val="11"/>
      <color theme="1"/>
      <name val="Calibri"/>
      <family val="2"/>
      <scheme val="minor"/>
    </font>
    <font>
      <sz val="10"/>
      <color theme="1"/>
      <name val="Gill Sans MT"/>
      <family val="2"/>
    </font>
    <font>
      <b/>
      <sz val="10"/>
      <color theme="1"/>
      <name val="Gill Sans MT"/>
      <family val="2"/>
    </font>
    <font>
      <sz val="10"/>
      <name val="Gill Sans MT"/>
      <family val="2"/>
    </font>
    <font>
      <sz val="10"/>
      <color theme="1"/>
      <name val="Calibri"/>
      <family val="2"/>
      <scheme val="minor"/>
    </font>
    <font>
      <sz val="10"/>
      <name val="Calibri"/>
      <family val="2"/>
      <scheme val="minor"/>
    </font>
    <font>
      <u/>
      <sz val="10"/>
      <color theme="10"/>
      <name val="Gill Sans MT"/>
      <family val="2"/>
    </font>
    <font>
      <b/>
      <sz val="10"/>
      <color theme="1"/>
      <name val="Calibri"/>
      <family val="2"/>
      <scheme val="minor"/>
    </font>
    <font>
      <b/>
      <sz val="10"/>
      <name val="Calibri"/>
      <family val="2"/>
      <scheme val="minor"/>
    </font>
    <font>
      <sz val="12"/>
      <color theme="1"/>
      <name val="Calibri"/>
      <family val="2"/>
      <scheme val="minor"/>
    </font>
    <font>
      <b/>
      <u/>
      <sz val="12"/>
      <name val="Calibri"/>
      <family val="2"/>
      <scheme val="minor"/>
    </font>
    <font>
      <b/>
      <u/>
      <sz val="12"/>
      <color theme="1"/>
      <name val="Calibri"/>
      <family val="2"/>
      <scheme val="minor"/>
    </font>
    <font>
      <sz val="10"/>
      <color theme="0"/>
      <name val="Calibri"/>
      <family val="2"/>
      <scheme val="minor"/>
    </font>
    <font>
      <b/>
      <sz val="11"/>
      <color theme="1"/>
      <name val="Calibri"/>
      <family val="2"/>
      <scheme val="minor"/>
    </font>
    <font>
      <b/>
      <sz val="12"/>
      <color theme="1"/>
      <name val="Calibri"/>
      <family val="2"/>
      <scheme val="minor"/>
    </font>
    <font>
      <sz val="10"/>
      <name val="Verdana"/>
      <family val="2"/>
    </font>
    <font>
      <u/>
      <sz val="12"/>
      <color theme="6" tint="-0.24994659260841701"/>
      <name val="Calibri"/>
      <family val="2"/>
    </font>
    <font>
      <b/>
      <sz val="10"/>
      <color theme="0"/>
      <name val="Calibri"/>
      <family val="2"/>
      <scheme val="minor"/>
    </font>
    <font>
      <b/>
      <u/>
      <sz val="10"/>
      <color theme="1"/>
      <name val="Calibri"/>
      <family val="2"/>
      <scheme val="minor"/>
    </font>
    <font>
      <i/>
      <sz val="10"/>
      <color theme="1"/>
      <name val="Calibri"/>
      <family val="2"/>
      <scheme val="minor"/>
    </font>
    <font>
      <sz val="9"/>
      <color theme="1"/>
      <name val="Calibri"/>
      <family val="2"/>
      <scheme val="minor"/>
    </font>
    <font>
      <b/>
      <sz val="10"/>
      <color theme="0"/>
      <name val="Verdana"/>
      <family val="2"/>
    </font>
    <font>
      <sz val="10"/>
      <color rgb="FFFF0000"/>
      <name val="Verdana"/>
      <family val="2"/>
    </font>
    <font>
      <b/>
      <sz val="10"/>
      <color theme="1"/>
      <name val="Verdana"/>
      <family val="2"/>
    </font>
    <font>
      <sz val="10"/>
      <color theme="0"/>
      <name val="Verdana"/>
      <family val="2"/>
    </font>
    <font>
      <sz val="12"/>
      <color theme="1"/>
      <name val="Verdana"/>
      <family val="2"/>
    </font>
    <font>
      <sz val="16"/>
      <color theme="1"/>
      <name val="Verdana"/>
      <family val="2"/>
    </font>
    <font>
      <b/>
      <sz val="12"/>
      <color theme="1"/>
      <name val="Verdana"/>
      <family val="2"/>
    </font>
    <font>
      <u/>
      <sz val="20"/>
      <name val="Verdana"/>
      <family val="2"/>
    </font>
    <font>
      <b/>
      <u/>
      <sz val="12"/>
      <name val="Verdana"/>
      <family val="2"/>
    </font>
    <font>
      <u/>
      <sz val="10"/>
      <color theme="10"/>
      <name val="Verdana"/>
      <family val="2"/>
    </font>
    <font>
      <u/>
      <sz val="12"/>
      <color theme="1"/>
      <name val="Verdana"/>
      <family val="2"/>
    </font>
    <font>
      <u/>
      <sz val="10"/>
      <color theme="1"/>
      <name val="Verdana"/>
      <family val="2"/>
    </font>
    <font>
      <sz val="16"/>
      <name val="Verdana"/>
      <family val="2"/>
    </font>
    <font>
      <sz val="9"/>
      <name val="Verdana"/>
      <family val="2"/>
    </font>
    <font>
      <b/>
      <sz val="10"/>
      <name val="Verdana"/>
      <family val="2"/>
    </font>
    <font>
      <u/>
      <sz val="14"/>
      <name val="Verdana"/>
      <family val="2"/>
    </font>
    <font>
      <b/>
      <vertAlign val="subscript"/>
      <sz val="10"/>
      <color theme="1"/>
      <name val="Verdana"/>
      <family val="2"/>
    </font>
    <font>
      <u/>
      <sz val="10"/>
      <name val="Verdana"/>
      <family val="2"/>
    </font>
    <font>
      <sz val="11"/>
      <color rgb="FFFF0000"/>
      <name val="Verdana"/>
      <family val="2"/>
    </font>
    <font>
      <b/>
      <sz val="9"/>
      <color theme="1"/>
      <name val="Verdana"/>
      <family val="2"/>
    </font>
    <font>
      <sz val="10"/>
      <color indexed="8"/>
      <name val="Verdana"/>
      <family val="2"/>
    </font>
    <font>
      <b/>
      <vertAlign val="subscript"/>
      <sz val="10"/>
      <color theme="0"/>
      <name val="Verdana"/>
      <family val="2"/>
    </font>
    <font>
      <u/>
      <sz val="18"/>
      <color rgb="FF425426"/>
      <name val="Verdana"/>
      <family val="2"/>
    </font>
    <font>
      <sz val="18"/>
      <color rgb="FF425426"/>
      <name val="Verdana"/>
      <family val="2"/>
    </font>
    <font>
      <sz val="16"/>
      <color rgb="FF98A03B"/>
      <name val="Verdana"/>
      <family val="2"/>
    </font>
    <font>
      <b/>
      <sz val="12"/>
      <color rgb="FF425426"/>
      <name val="Verdana"/>
      <family val="2"/>
    </font>
    <font>
      <sz val="12"/>
      <name val="Verdana"/>
      <family val="2"/>
    </font>
    <font>
      <u/>
      <sz val="12"/>
      <color indexed="8"/>
      <name val="Verdana"/>
      <family val="2"/>
    </font>
    <font>
      <sz val="12"/>
      <color theme="0"/>
      <name val="Verdana"/>
      <family val="2"/>
    </font>
    <font>
      <u/>
      <sz val="12"/>
      <color theme="0"/>
      <name val="Verdana"/>
      <family val="2"/>
    </font>
    <font>
      <vertAlign val="subscript"/>
      <sz val="10"/>
      <name val="Verdana"/>
      <family val="2"/>
    </font>
    <font>
      <vertAlign val="subscript"/>
      <sz val="10"/>
      <color theme="1"/>
      <name val="Verdana"/>
      <family val="2"/>
    </font>
    <font>
      <b/>
      <sz val="9"/>
      <color theme="0"/>
      <name val="Verdana"/>
      <family val="2"/>
    </font>
    <font>
      <b/>
      <vertAlign val="subscript"/>
      <sz val="9"/>
      <color theme="0"/>
      <name val="Verdana"/>
      <family val="2"/>
    </font>
    <font>
      <b/>
      <sz val="11"/>
      <color theme="1"/>
      <name val="Verdana"/>
      <family val="2"/>
    </font>
    <font>
      <b/>
      <sz val="10"/>
      <color rgb="FF425426"/>
      <name val="Calibri"/>
      <family val="2"/>
      <scheme val="minor"/>
    </font>
    <font>
      <b/>
      <sz val="14"/>
      <color rgb="FF425426"/>
      <name val="Calibri"/>
      <family val="2"/>
      <scheme val="minor"/>
    </font>
    <font>
      <b/>
      <sz val="11"/>
      <color rgb="FF425426"/>
      <name val="Verdana"/>
      <family val="2"/>
    </font>
    <font>
      <sz val="12"/>
      <name val="Calibri"/>
      <family val="2"/>
      <scheme val="minor"/>
    </font>
    <font>
      <sz val="12"/>
      <color rgb="FFFF0000"/>
      <name val="Calibri"/>
      <family val="2"/>
      <scheme val="minor"/>
    </font>
    <font>
      <b/>
      <sz val="14"/>
      <color theme="1"/>
      <name val="Calibri"/>
      <family val="2"/>
      <scheme val="minor"/>
    </font>
    <font>
      <sz val="12"/>
      <color theme="0"/>
      <name val="Calibri"/>
      <family val="2"/>
      <scheme val="minor"/>
    </font>
    <font>
      <sz val="11"/>
      <color theme="1"/>
      <name val="Verdana"/>
      <family val="2"/>
    </font>
    <font>
      <sz val="11"/>
      <name val="Verdana"/>
      <family val="2"/>
    </font>
    <font>
      <sz val="9"/>
      <color theme="1"/>
      <name val="Verdana"/>
      <family val="2"/>
    </font>
    <font>
      <b/>
      <sz val="10"/>
      <color rgb="FFFF0000"/>
      <name val="Verdana"/>
      <family val="2"/>
    </font>
    <font>
      <b/>
      <sz val="11"/>
      <color rgb="FF382573"/>
      <name val="Verdana"/>
      <family val="2"/>
    </font>
    <font>
      <sz val="11"/>
      <color rgb="FF382573"/>
      <name val="Verdana"/>
      <family val="2"/>
    </font>
    <font>
      <b/>
      <sz val="11"/>
      <color rgb="FF382573"/>
      <name val="Gill Sans MT"/>
      <family val="2"/>
    </font>
    <font>
      <b/>
      <sz val="11"/>
      <color theme="0"/>
      <name val="Verdana"/>
      <family val="2"/>
    </font>
    <font>
      <sz val="11"/>
      <color theme="1"/>
      <name val="Gill Sans MT"/>
      <family val="2"/>
    </font>
    <font>
      <sz val="14"/>
      <name val="Verdana"/>
      <family val="2"/>
    </font>
    <font>
      <sz val="12"/>
      <color rgb="FF382573"/>
      <name val="Verdana"/>
      <family val="2"/>
    </font>
    <font>
      <b/>
      <sz val="28"/>
      <color rgb="FF382573"/>
      <name val="Verdana"/>
      <family val="2"/>
    </font>
    <font>
      <b/>
      <sz val="12"/>
      <color theme="0"/>
      <name val="Calibri"/>
      <family val="2"/>
      <scheme val="minor"/>
    </font>
    <font>
      <sz val="10"/>
      <color rgb="FF000000"/>
      <name val="Calibri"/>
      <family val="2"/>
      <scheme val="minor"/>
    </font>
    <font>
      <b/>
      <sz val="11"/>
      <color rgb="FFF4FFF5"/>
      <name val="Verdana"/>
      <family val="2"/>
    </font>
    <font>
      <u/>
      <sz val="11"/>
      <color theme="10"/>
      <name val="Calibri"/>
      <family val="2"/>
      <scheme val="minor"/>
    </font>
    <font>
      <sz val="10"/>
      <color rgb="FF000000"/>
      <name val="Verdana"/>
      <family val="2"/>
    </font>
    <font>
      <b/>
      <sz val="9"/>
      <color rgb="FFFF0000"/>
      <name val="Verdana"/>
      <family val="2"/>
    </font>
    <font>
      <sz val="10"/>
      <color rgb="FFFF0000"/>
      <name val="Arial"/>
      <family val="2"/>
    </font>
    <font>
      <b/>
      <sz val="28"/>
      <color theme="6"/>
      <name val="Verdana"/>
      <family val="2"/>
    </font>
    <font>
      <b/>
      <sz val="16"/>
      <color theme="0"/>
      <name val="Verdana"/>
      <family val="2"/>
    </font>
    <font>
      <b/>
      <sz val="14"/>
      <color theme="6"/>
      <name val="Verdana"/>
      <family val="2"/>
    </font>
    <font>
      <sz val="8"/>
      <color rgb="FFFF0000"/>
      <name val="Verdana"/>
      <family val="2"/>
    </font>
    <font>
      <sz val="8"/>
      <color theme="1"/>
      <name val="Verdana"/>
      <family val="2"/>
    </font>
    <font>
      <b/>
      <sz val="14"/>
      <color rgb="FF382573"/>
      <name val="Verdana"/>
      <family val="2"/>
    </font>
    <font>
      <sz val="14"/>
      <color rgb="FF382573"/>
      <name val="Verdana"/>
      <family val="2"/>
    </font>
    <font>
      <sz val="12"/>
      <color rgb="FFFF0000"/>
      <name val="Verdana"/>
      <family val="2"/>
    </font>
    <font>
      <sz val="9"/>
      <color rgb="FFFF0000"/>
      <name val="Verdana"/>
      <family val="2"/>
    </font>
    <font>
      <sz val="12"/>
      <color theme="6"/>
      <name val="Calibri"/>
      <family val="2"/>
      <scheme val="minor"/>
    </font>
    <font>
      <sz val="11"/>
      <color theme="0"/>
      <name val="Verdana"/>
      <family val="2"/>
    </font>
    <font>
      <sz val="9"/>
      <color theme="0"/>
      <name val="Verdana"/>
      <family val="2"/>
    </font>
    <font>
      <b/>
      <sz val="9"/>
      <name val="Verdana"/>
      <family val="2"/>
    </font>
    <font>
      <sz val="9"/>
      <color theme="0"/>
      <name val="Arial"/>
      <family val="2"/>
    </font>
    <font>
      <sz val="9"/>
      <color rgb="FFFF0000"/>
      <name val="Arial"/>
      <family val="2"/>
    </font>
    <font>
      <b/>
      <sz val="8"/>
      <color theme="0"/>
      <name val="Verdana"/>
      <family val="2"/>
    </font>
    <font>
      <sz val="8"/>
      <color theme="0"/>
      <name val="Verdana"/>
      <family val="2"/>
    </font>
    <font>
      <sz val="8"/>
      <color rgb="FF000000"/>
      <name val="Verdana"/>
      <family val="2"/>
    </font>
    <font>
      <sz val="8"/>
      <name val="Verdana"/>
      <family val="2"/>
    </font>
    <font>
      <b/>
      <sz val="8"/>
      <color theme="1"/>
      <name val="Verdana"/>
      <family val="2"/>
    </font>
    <font>
      <b/>
      <sz val="16"/>
      <color rgb="FF382573"/>
      <name val="Verdana"/>
      <family val="2"/>
    </font>
    <font>
      <sz val="8"/>
      <color rgb="FF382573"/>
      <name val="Verdana"/>
      <family val="2"/>
    </font>
    <font>
      <b/>
      <sz val="12"/>
      <color rgb="FF382573"/>
      <name val="Verdana"/>
      <family val="2"/>
    </font>
    <font>
      <sz val="10"/>
      <color rgb="FF382573"/>
      <name val="Verdana"/>
      <family val="2"/>
    </font>
    <font>
      <u/>
      <sz val="12"/>
      <color rgb="FF382573"/>
      <name val="Verdana"/>
      <family val="2"/>
    </font>
    <font>
      <b/>
      <sz val="10"/>
      <color rgb="FF382573"/>
      <name val="Verdana"/>
      <family val="2"/>
    </font>
    <font>
      <u/>
      <sz val="10"/>
      <color rgb="FF382573"/>
      <name val="Verdana"/>
      <family val="2"/>
    </font>
    <font>
      <b/>
      <sz val="9"/>
      <color rgb="FF382573"/>
      <name val="Verdana"/>
      <family val="2"/>
    </font>
    <font>
      <sz val="9"/>
      <color rgb="FF382573"/>
      <name val="Verdana"/>
      <family val="2"/>
    </font>
    <font>
      <sz val="8"/>
      <name val="Arial"/>
      <family val="2"/>
    </font>
    <font>
      <b/>
      <sz val="11"/>
      <color rgb="FFFF0000"/>
      <name val="Verdana"/>
      <family val="2"/>
    </font>
    <font>
      <b/>
      <sz val="8"/>
      <color theme="1"/>
      <name val="Verdana"/>
    </font>
  </fonts>
  <fills count="31">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6" tint="-0.499984740745262"/>
        <bgColor indexed="64"/>
      </patternFill>
    </fill>
    <fill>
      <patternFill patternType="solid">
        <fgColor theme="0"/>
        <bgColor indexed="64"/>
      </patternFill>
    </fill>
    <fill>
      <patternFill patternType="solid">
        <fgColor theme="6" tint="0.59999389629810485"/>
        <bgColor indexed="64"/>
      </patternFill>
    </fill>
    <fill>
      <patternFill patternType="solid">
        <fgColor rgb="FFF2F2F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2DAE76"/>
        <bgColor indexed="64"/>
      </patternFill>
    </fill>
    <fill>
      <patternFill patternType="solid">
        <fgColor rgb="FFF4FFF5"/>
        <bgColor indexed="64"/>
      </patternFill>
    </fill>
    <fill>
      <patternFill patternType="solid">
        <fgColor rgb="FF382573"/>
        <bgColor indexed="64"/>
      </patternFill>
    </fill>
    <fill>
      <patternFill patternType="solid">
        <fgColor rgb="FF6BC3C4"/>
        <bgColor indexed="64"/>
      </patternFill>
    </fill>
    <fill>
      <patternFill patternType="solid">
        <fgColor rgb="FFCAF2E1"/>
        <bgColor indexed="64"/>
      </patternFill>
    </fill>
    <fill>
      <patternFill patternType="solid">
        <fgColor theme="2"/>
        <bgColor indexed="64"/>
      </patternFill>
    </fill>
    <fill>
      <patternFill patternType="solid">
        <fgColor rgb="FFFFFFFF"/>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6"/>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bgColor rgb="FFA6A6A6"/>
      </patternFill>
    </fill>
    <fill>
      <patternFill patternType="solid">
        <fgColor theme="0"/>
        <bgColor rgb="FFD9D9D9"/>
      </patternFill>
    </fill>
    <fill>
      <patternFill patternType="solid">
        <fgColor theme="0" tint="-0.14999847407452621"/>
        <bgColor indexed="64"/>
      </patternFill>
    </fill>
    <fill>
      <patternFill patternType="solid">
        <fgColor rgb="FFD0F2E3"/>
        <bgColor indexed="64"/>
      </patternFill>
    </fill>
    <fill>
      <patternFill patternType="solid">
        <fgColor rgb="FF2DAE76"/>
        <bgColor rgb="FF000000"/>
      </patternFill>
    </fill>
  </fills>
  <borders count="20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hair">
        <color theme="0" tint="-0.24994659260841701"/>
      </left>
      <right style="hair">
        <color theme="0" tint="-0.24994659260841701"/>
      </right>
      <top style="medium">
        <color indexed="64"/>
      </top>
      <bottom style="medium">
        <color indexed="64"/>
      </bottom>
      <diagonal/>
    </border>
    <border>
      <left style="hair">
        <color theme="0" tint="-0.24994659260841701"/>
      </left>
      <right style="hair">
        <color theme="0" tint="-0.24994659260841701"/>
      </right>
      <top/>
      <bottom style="hair">
        <color indexed="64"/>
      </bottom>
      <diagonal/>
    </border>
    <border>
      <left style="hair">
        <color theme="0" tint="-0.24994659260841701"/>
      </left>
      <right/>
      <top style="medium">
        <color indexed="64"/>
      </top>
      <bottom style="medium">
        <color indexed="64"/>
      </bottom>
      <diagonal/>
    </border>
    <border>
      <left/>
      <right style="hair">
        <color theme="0" tint="-0.24994659260841701"/>
      </right>
      <top style="medium">
        <color indexed="64"/>
      </top>
      <bottom style="medium">
        <color indexed="64"/>
      </bottom>
      <diagonal/>
    </border>
    <border>
      <left style="medium">
        <color indexed="64"/>
      </left>
      <right/>
      <top style="medium">
        <color indexed="64"/>
      </top>
      <bottom style="hair">
        <color theme="1"/>
      </bottom>
      <diagonal/>
    </border>
    <border>
      <left/>
      <right/>
      <top style="medium">
        <color indexed="64"/>
      </top>
      <bottom style="hair">
        <color theme="1"/>
      </bottom>
      <diagonal/>
    </border>
    <border>
      <left style="medium">
        <color indexed="64"/>
      </left>
      <right/>
      <top style="hair">
        <color theme="1"/>
      </top>
      <bottom style="hair">
        <color theme="1"/>
      </bottom>
      <diagonal/>
    </border>
    <border>
      <left/>
      <right/>
      <top style="hair">
        <color theme="1"/>
      </top>
      <bottom style="hair">
        <color theme="1"/>
      </bottom>
      <diagonal/>
    </border>
    <border>
      <left/>
      <right/>
      <top style="medium">
        <color indexed="64"/>
      </top>
      <bottom style="hair">
        <color auto="1"/>
      </bottom>
      <diagonal/>
    </border>
    <border>
      <left/>
      <right/>
      <top style="hair">
        <color auto="1"/>
      </top>
      <bottom style="hair">
        <color auto="1"/>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top style="thin">
        <color indexed="64"/>
      </top>
      <bottom/>
      <diagonal/>
    </border>
    <border>
      <left/>
      <right/>
      <top/>
      <bottom style="thin">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theme="0" tint="-0.24994659260841701"/>
      </left>
      <right style="medium">
        <color indexed="64"/>
      </right>
      <top style="medium">
        <color indexed="64"/>
      </top>
      <bottom style="medium">
        <color indexed="64"/>
      </bottom>
      <diagonal/>
    </border>
    <border>
      <left/>
      <right style="hair">
        <color theme="0" tint="-0.24994659260841701"/>
      </right>
      <top/>
      <bottom style="hair">
        <color indexed="64"/>
      </bottom>
      <diagonal/>
    </border>
    <border>
      <left style="hair">
        <color theme="0" tint="-0.24994659260841701"/>
      </left>
      <right style="medium">
        <color indexed="64"/>
      </right>
      <top/>
      <bottom style="hair">
        <color indexed="64"/>
      </bottom>
      <diagonal/>
    </border>
    <border>
      <left style="medium">
        <color indexed="64"/>
      </left>
      <right style="medium">
        <color indexed="64"/>
      </right>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theme="0" tint="-0.2499465926084170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right style="medium">
        <color indexed="64"/>
      </right>
      <top style="medium">
        <color indexed="64"/>
      </top>
      <bottom style="hair">
        <color indexed="64"/>
      </bottom>
      <diagonal/>
    </border>
    <border>
      <left style="hair">
        <color theme="0" tint="-0.24994659260841701"/>
      </left>
      <right style="hair">
        <color theme="0" tint="-0.24994659260841701"/>
      </right>
      <top style="medium">
        <color indexed="64"/>
      </top>
      <bottom style="hair">
        <color indexed="64"/>
      </bottom>
      <diagonal/>
    </border>
    <border>
      <left style="hair">
        <color theme="0" tint="-0.24994659260841701"/>
      </left>
      <right style="hair">
        <color theme="0" tint="-0.24994659260841701"/>
      </right>
      <top style="hair">
        <color indexed="64"/>
      </top>
      <bottom style="hair">
        <color indexed="64"/>
      </bottom>
      <diagonal/>
    </border>
    <border>
      <left style="hair">
        <color theme="0" tint="-0.24994659260841701"/>
      </left>
      <right style="hair">
        <color theme="0" tint="-0.24994659260841701"/>
      </right>
      <top/>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style="medium">
        <color indexed="64"/>
      </top>
      <bottom style="medium">
        <color theme="1"/>
      </bottom>
      <diagonal/>
    </border>
    <border>
      <left/>
      <right/>
      <top style="medium">
        <color indexed="64"/>
      </top>
      <bottom style="medium">
        <color theme="1"/>
      </bottom>
      <diagonal/>
    </border>
    <border>
      <left/>
      <right style="medium">
        <color theme="1"/>
      </right>
      <top style="medium">
        <color indexed="64"/>
      </top>
      <bottom style="medium">
        <color theme="1"/>
      </bottom>
      <diagonal/>
    </border>
    <border>
      <left style="thin">
        <color theme="1"/>
      </left>
      <right style="thin">
        <color theme="1"/>
      </right>
      <top style="thin">
        <color theme="1"/>
      </top>
      <bottom style="thin">
        <color theme="1"/>
      </bottom>
      <diagonal/>
    </border>
    <border>
      <left style="medium">
        <color theme="1"/>
      </left>
      <right style="medium">
        <color indexed="64"/>
      </right>
      <top style="medium">
        <color indexed="64"/>
      </top>
      <bottom style="hair">
        <color indexed="64"/>
      </bottom>
      <diagonal/>
    </border>
    <border>
      <left style="medium">
        <color theme="1"/>
      </left>
      <right style="medium">
        <color indexed="64"/>
      </right>
      <top style="hair">
        <color indexed="64"/>
      </top>
      <bottom style="hair">
        <color indexed="64"/>
      </bottom>
      <diagonal/>
    </border>
    <border>
      <left style="thin">
        <color indexed="64"/>
      </left>
      <right style="medium">
        <color indexed="64"/>
      </right>
      <top/>
      <bottom/>
      <diagonal/>
    </border>
    <border>
      <left/>
      <right style="medium">
        <color theme="1"/>
      </right>
      <top style="thin">
        <color indexed="64"/>
      </top>
      <bottom style="thin">
        <color indexed="64"/>
      </bottom>
      <diagonal/>
    </border>
    <border>
      <left style="thin">
        <color indexed="64"/>
      </left>
      <right style="medium">
        <color theme="1"/>
      </right>
      <top style="thin">
        <color indexed="64"/>
      </top>
      <bottom style="thin">
        <color indexed="64"/>
      </bottom>
      <diagonal/>
    </border>
    <border>
      <left/>
      <right style="medium">
        <color theme="1"/>
      </right>
      <top style="thin">
        <color auto="1"/>
      </top>
      <bottom/>
      <diagonal/>
    </border>
    <border>
      <left/>
      <right style="medium">
        <color theme="1"/>
      </right>
      <top/>
      <bottom style="thin">
        <color indexed="64"/>
      </bottom>
      <diagonal/>
    </border>
    <border>
      <left style="medium">
        <color theme="1"/>
      </left>
      <right/>
      <top/>
      <bottom style="thin">
        <color indexed="64"/>
      </bottom>
      <diagonal/>
    </border>
    <border>
      <left style="medium">
        <color theme="1"/>
      </left>
      <right style="thin">
        <color indexed="64"/>
      </right>
      <top style="thin">
        <color indexed="64"/>
      </top>
      <bottom style="thin">
        <color indexed="64"/>
      </bottom>
      <diagonal/>
    </border>
    <border>
      <left style="medium">
        <color theme="1"/>
      </left>
      <right/>
      <top style="thin">
        <color indexed="64"/>
      </top>
      <bottom style="thin">
        <color indexed="64"/>
      </bottom>
      <diagonal/>
    </border>
    <border>
      <left style="medium">
        <color theme="1"/>
      </left>
      <right style="thin">
        <color indexed="64"/>
      </right>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hair">
        <color indexed="64"/>
      </left>
      <right style="hair">
        <color theme="0" tint="-0.24994659260841701"/>
      </right>
      <top style="medium">
        <color indexed="64"/>
      </top>
      <bottom style="medium">
        <color indexed="64"/>
      </bottom>
      <diagonal/>
    </border>
    <border>
      <left style="medium">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medium">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theme="2" tint="-0.249977111117893"/>
      </left>
      <right style="medium">
        <color theme="2" tint="-0.249977111117893"/>
      </right>
      <top style="thin">
        <color theme="2" tint="-0.249977111117893"/>
      </top>
      <bottom style="medium">
        <color theme="2" tint="-0.249977111117893"/>
      </bottom>
      <diagonal/>
    </border>
    <border>
      <left style="thin">
        <color theme="2" tint="-0.249977111117893"/>
      </left>
      <right/>
      <top style="thin">
        <color theme="2" tint="-0.249977111117893"/>
      </top>
      <bottom style="medium">
        <color theme="2" tint="-0.249977111117893"/>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medium">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medium">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medium">
        <color theme="2" tint="-0.249977111117893"/>
      </right>
      <top style="medium">
        <color theme="2" tint="-0.249977111117893"/>
      </top>
      <bottom style="thin">
        <color theme="2" tint="-0.249977111117893"/>
      </bottom>
      <diagonal/>
    </border>
    <border>
      <left style="thin">
        <color theme="2" tint="-0.249977111117893"/>
      </left>
      <right/>
      <top style="medium">
        <color theme="2" tint="-0.249977111117893"/>
      </top>
      <bottom style="thin">
        <color theme="2" tint="-0.249977111117893"/>
      </bottom>
      <diagonal/>
    </border>
    <border>
      <left style="thin">
        <color theme="2" tint="-0.249977111117893"/>
      </left>
      <right style="thin">
        <color theme="2" tint="-0.249977111117893"/>
      </right>
      <top style="medium">
        <color theme="2" tint="-0.249977111117893"/>
      </top>
      <bottom style="thin">
        <color theme="2" tint="-0.249977111117893"/>
      </bottom>
      <diagonal/>
    </border>
    <border>
      <left style="medium">
        <color theme="2" tint="-0.249977111117893"/>
      </left>
      <right style="thin">
        <color theme="2" tint="-0.249977111117893"/>
      </right>
      <top style="medium">
        <color theme="2" tint="-0.249977111117893"/>
      </top>
      <bottom style="thin">
        <color theme="2" tint="-0.249977111117893"/>
      </bottom>
      <diagonal/>
    </border>
    <border>
      <left style="thin">
        <color theme="2" tint="-0.249977111117893"/>
      </left>
      <right style="medium">
        <color theme="2" tint="-0.249977111117893"/>
      </right>
      <top/>
      <bottom style="thin">
        <color theme="2" tint="-0.249977111117893"/>
      </bottom>
      <diagonal/>
    </border>
    <border>
      <left style="thin">
        <color theme="2" tint="-0.249977111117893"/>
      </left>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medium">
        <color theme="2" tint="-0.249977111117893"/>
      </left>
      <right style="thin">
        <color theme="2" tint="-0.249977111117893"/>
      </right>
      <top/>
      <bottom style="thin">
        <color theme="2" tint="-0.249977111117893"/>
      </bottom>
      <diagonal/>
    </border>
    <border>
      <left style="thin">
        <color theme="2" tint="-0.249977111117893"/>
      </left>
      <right style="medium">
        <color theme="2" tint="-0.249977111117893"/>
      </right>
      <top style="medium">
        <color theme="2" tint="-0.249977111117893"/>
      </top>
      <bottom style="medium">
        <color theme="2" tint="-0.249977111117893"/>
      </bottom>
      <diagonal/>
    </border>
    <border>
      <left style="thin">
        <color theme="2" tint="-0.249977111117893"/>
      </left>
      <right/>
      <top style="medium">
        <color theme="2" tint="-0.249977111117893"/>
      </top>
      <bottom style="medium">
        <color theme="2" tint="-0.249977111117893"/>
      </bottom>
      <diagonal/>
    </border>
    <border>
      <left style="thin">
        <color theme="2" tint="-0.249977111117893"/>
      </left>
      <right style="thin">
        <color theme="2" tint="-0.249977111117893"/>
      </right>
      <top style="medium">
        <color theme="2" tint="-0.249977111117893"/>
      </top>
      <bottom style="medium">
        <color theme="2" tint="-0.249977111117893"/>
      </bottom>
      <diagonal/>
    </border>
    <border>
      <left style="medium">
        <color theme="2" tint="-0.249977111117893"/>
      </left>
      <right style="thin">
        <color theme="2" tint="-0.249977111117893"/>
      </right>
      <top style="medium">
        <color theme="2" tint="-0.249977111117893"/>
      </top>
      <bottom style="medium">
        <color theme="2" tint="-0.249977111117893"/>
      </bottom>
      <diagonal/>
    </border>
    <border>
      <left style="thin">
        <color theme="2" tint="-0.249977111117893"/>
      </left>
      <right/>
      <top/>
      <bottom style="medium">
        <color theme="2" tint="-0.249977111117893"/>
      </bottom>
      <diagonal/>
    </border>
    <border>
      <left style="thin">
        <color theme="2" tint="-0.249977111117893"/>
      </left>
      <right style="thin">
        <color theme="2" tint="-0.249977111117893"/>
      </right>
      <top/>
      <bottom style="medium">
        <color theme="2" tint="-0.249977111117893"/>
      </bottom>
      <diagonal/>
    </border>
    <border>
      <left style="medium">
        <color theme="2" tint="-0.249977111117893"/>
      </left>
      <right style="thin">
        <color theme="2" tint="-0.249977111117893"/>
      </right>
      <top style="thin">
        <color theme="2" tint="-9.9978637043366805E-2"/>
      </top>
      <bottom style="medium">
        <color theme="2" tint="-0.249977111117893"/>
      </bottom>
      <diagonal/>
    </border>
    <border>
      <left style="medium">
        <color theme="2" tint="-0.249977111117893"/>
      </left>
      <right style="thin">
        <color theme="2" tint="-0.249977111117893"/>
      </right>
      <top style="medium">
        <color theme="2" tint="-0.249977111117893"/>
      </top>
      <bottom/>
      <diagonal/>
    </border>
    <border>
      <left style="thin">
        <color theme="2" tint="-0.249977111117893"/>
      </left>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medium">
        <color theme="2" tint="-0.249977111117893"/>
      </right>
      <top style="thin">
        <color theme="2" tint="-0.249977111117893"/>
      </top>
      <bottom/>
      <diagonal/>
    </border>
    <border>
      <left style="medium">
        <color theme="2" tint="-0.249977111117893"/>
      </left>
      <right style="thin">
        <color theme="2" tint="-0.249977111117893"/>
      </right>
      <top style="thin">
        <color theme="2" tint="-0.249977111117893"/>
      </top>
      <bottom/>
      <diagonal/>
    </border>
    <border>
      <left/>
      <right style="medium">
        <color theme="2" tint="-0.249977111117893"/>
      </right>
      <top style="medium">
        <color theme="2" tint="-0.249977111117893"/>
      </top>
      <bottom style="medium">
        <color theme="2" tint="-0.249977111117893"/>
      </bottom>
      <diagonal/>
    </border>
    <border>
      <left/>
      <right/>
      <top style="medium">
        <color theme="2" tint="-0.249977111117893"/>
      </top>
      <bottom style="medium">
        <color theme="2" tint="-0.249977111117893"/>
      </bottom>
      <diagonal/>
    </border>
    <border>
      <left/>
      <right/>
      <top/>
      <bottom style="medium">
        <color theme="2" tint="-0.249977111117893"/>
      </bottom>
      <diagonal/>
    </border>
    <border>
      <left style="medium">
        <color theme="2" tint="-0.249977111117893"/>
      </left>
      <right/>
      <top style="medium">
        <color theme="2" tint="-0.249977111117893"/>
      </top>
      <bottom style="medium">
        <color theme="2" tint="-0.249977111117893"/>
      </bottom>
      <diagonal/>
    </border>
    <border>
      <left/>
      <right/>
      <top style="thin">
        <color theme="4"/>
      </top>
      <bottom style="medium">
        <color theme="2" tint="-0.249977111117893"/>
      </bottom>
      <diagonal/>
    </border>
    <border>
      <left/>
      <right/>
      <top/>
      <bottom style="thin">
        <color theme="4"/>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medium">
        <color theme="1"/>
      </bottom>
      <diagonal/>
    </border>
    <border>
      <left style="medium">
        <color indexed="64"/>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theme="2" tint="-0.249977111117893"/>
      </left>
      <right style="thin">
        <color theme="2" tint="-0.249977111117893"/>
      </right>
      <top style="medium">
        <color indexed="64"/>
      </top>
      <bottom/>
      <diagonal/>
    </border>
    <border>
      <left style="medium">
        <color indexed="64"/>
      </left>
      <right style="thin">
        <color theme="2" tint="-0.249977111117893"/>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theme="1"/>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theme="2" tint="-0.249977111117893"/>
      </left>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top style="medium">
        <color theme="1"/>
      </top>
      <bottom/>
      <diagonal/>
    </border>
    <border>
      <left style="medium">
        <color indexed="64"/>
      </left>
      <right/>
      <top style="medium">
        <color indexed="64"/>
      </top>
      <bottom style="medium">
        <color theme="1"/>
      </bottom>
      <diagonal/>
    </border>
    <border>
      <left style="medium">
        <color indexed="64"/>
      </left>
      <right style="medium">
        <color indexed="64"/>
      </right>
      <top style="hair">
        <color theme="1"/>
      </top>
      <bottom style="hair">
        <color theme="1"/>
      </bottom>
      <diagonal/>
    </border>
    <border>
      <left style="medium">
        <color indexed="64"/>
      </left>
      <right style="medium">
        <color indexed="64"/>
      </right>
      <top style="hair">
        <color theme="1"/>
      </top>
      <bottom style="medium">
        <color indexed="64"/>
      </bottom>
      <diagonal/>
    </border>
    <border>
      <left/>
      <right style="medium">
        <color indexed="64"/>
      </right>
      <top style="medium">
        <color indexed="64"/>
      </top>
      <bottom style="medium">
        <color theme="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bottom style="thin">
        <color indexed="64"/>
      </bottom>
      <diagonal/>
    </border>
    <border>
      <left style="thin">
        <color indexed="64"/>
      </left>
      <right/>
      <top style="thin">
        <color rgb="FF000000"/>
      </top>
      <bottom style="thin">
        <color indexed="64"/>
      </bottom>
      <diagonal/>
    </border>
    <border>
      <left style="thin">
        <color indexed="64"/>
      </left>
      <right/>
      <top style="thin">
        <color rgb="FF000000"/>
      </top>
      <bottom/>
      <diagonal/>
    </border>
    <border>
      <left/>
      <right style="thin">
        <color indexed="64"/>
      </right>
      <top style="thin">
        <color indexed="64"/>
      </top>
      <bottom/>
      <diagonal/>
    </border>
    <border>
      <left/>
      <right/>
      <top/>
      <bottom style="thin">
        <color rgb="FF382573"/>
      </bottom>
      <diagonal/>
    </border>
    <border>
      <left style="thin">
        <color rgb="FF382573"/>
      </left>
      <right/>
      <top style="thin">
        <color rgb="FF382573"/>
      </top>
      <bottom style="thin">
        <color rgb="FF382573"/>
      </bottom>
      <diagonal/>
    </border>
    <border>
      <left/>
      <right/>
      <top style="thin">
        <color rgb="FF382573"/>
      </top>
      <bottom style="thin">
        <color rgb="FF382573"/>
      </bottom>
      <diagonal/>
    </border>
    <border>
      <left/>
      <right style="thin">
        <color rgb="FF382573"/>
      </right>
      <top style="thin">
        <color rgb="FF382573"/>
      </top>
      <bottom style="thin">
        <color rgb="FF382573"/>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rgb="FF382573"/>
      </right>
      <top style="medium">
        <color indexed="64"/>
      </top>
      <bottom style="thin">
        <color rgb="FF382573"/>
      </bottom>
      <diagonal/>
    </border>
    <border>
      <left/>
      <right style="medium">
        <color indexed="64"/>
      </right>
      <top style="medium">
        <color indexed="64"/>
      </top>
      <bottom style="thin">
        <color indexed="64"/>
      </bottom>
      <diagonal/>
    </border>
    <border>
      <left style="medium">
        <color indexed="64"/>
      </left>
      <right style="thin">
        <color rgb="FF382573"/>
      </right>
      <top style="thin">
        <color rgb="FF382573"/>
      </top>
      <bottom style="thin">
        <color rgb="FF382573"/>
      </bottom>
      <diagonal/>
    </border>
    <border>
      <left style="medium">
        <color indexed="64"/>
      </left>
      <right style="thin">
        <color rgb="FF382573"/>
      </right>
      <top style="thin">
        <color rgb="FF382573"/>
      </top>
      <bottom style="thin">
        <color theme="1"/>
      </bottom>
      <diagonal/>
    </border>
    <border>
      <left/>
      <right style="medium">
        <color indexed="64"/>
      </right>
      <top style="thin">
        <color theme="1"/>
      </top>
      <bottom style="thin">
        <color theme="1"/>
      </bottom>
      <diagonal/>
    </border>
    <border>
      <left style="medium">
        <color indexed="64"/>
      </left>
      <right style="thin">
        <color rgb="FF382573"/>
      </right>
      <top style="thin">
        <color theme="1"/>
      </top>
      <bottom style="thin">
        <color theme="1"/>
      </bottom>
      <diagonal/>
    </border>
    <border>
      <left style="medium">
        <color indexed="64"/>
      </left>
      <right style="thin">
        <color rgb="FF382573"/>
      </right>
      <top style="thin">
        <color theme="1"/>
      </top>
      <bottom style="medium">
        <color indexed="64"/>
      </bottom>
      <diagonal/>
    </border>
    <border>
      <left/>
      <right style="medium">
        <color indexed="64"/>
      </right>
      <top style="thin">
        <color theme="1"/>
      </top>
      <bottom style="medium">
        <color indexed="64"/>
      </bottom>
      <diagonal/>
    </border>
    <border>
      <left style="medium">
        <color indexed="64"/>
      </left>
      <right style="thin">
        <color rgb="FF382573"/>
      </right>
      <top style="thin">
        <color rgb="FF382573"/>
      </top>
      <bottom style="medium">
        <color indexed="64"/>
      </bottom>
      <diagonal/>
    </border>
    <border>
      <left/>
      <right style="medium">
        <color indexed="64"/>
      </right>
      <top style="thin">
        <color indexed="64"/>
      </top>
      <bottom style="medium">
        <color indexed="64"/>
      </bottom>
      <diagonal/>
    </border>
    <border>
      <left style="medium">
        <color indexed="64"/>
      </left>
      <right style="thin">
        <color rgb="FF382573"/>
      </right>
      <top style="thin">
        <color rgb="FF382573"/>
      </top>
      <bottom/>
      <diagonal/>
    </border>
    <border>
      <left style="medium">
        <color indexed="64"/>
      </left>
      <right style="thin">
        <color rgb="FF382573"/>
      </right>
      <top/>
      <bottom/>
      <diagonal/>
    </border>
    <border>
      <left style="medium">
        <color indexed="64"/>
      </left>
      <right style="thin">
        <color rgb="FF382573"/>
      </right>
      <top/>
      <bottom style="thin">
        <color rgb="FF382573"/>
      </bottom>
      <diagonal/>
    </border>
  </borders>
  <cellStyleXfs count="28">
    <xf numFmtId="0" fontId="0" fillId="0" borderId="0"/>
    <xf numFmtId="43" fontId="10" fillId="0" borderId="0" applyFont="0" applyFill="0" applyBorder="0" applyAlignment="0" applyProtection="0"/>
    <xf numFmtId="0" fontId="11" fillId="0" borderId="0" applyNumberFormat="0" applyFill="0" applyBorder="0" applyAlignment="0" applyProtection="0">
      <alignment vertical="top"/>
      <protection locked="0"/>
    </xf>
    <xf numFmtId="0" fontId="12" fillId="0" borderId="0"/>
    <xf numFmtId="0" fontId="9" fillId="0" borderId="0"/>
    <xf numFmtId="9" fontId="10" fillId="0" borderId="0" applyFont="0" applyFill="0" applyBorder="0" applyAlignment="0" applyProtection="0"/>
    <xf numFmtId="0" fontId="10" fillId="0" borderId="0"/>
    <xf numFmtId="0" fontId="8" fillId="0" borderId="0"/>
    <xf numFmtId="0" fontId="7" fillId="0" borderId="0"/>
    <xf numFmtId="9" fontId="7" fillId="0" borderId="0" applyFont="0" applyFill="0" applyBorder="0" applyAlignment="0" applyProtection="0"/>
    <xf numFmtId="0" fontId="7" fillId="0" borderId="0"/>
    <xf numFmtId="0" fontId="10" fillId="0" borderId="0"/>
    <xf numFmtId="0" fontId="27" fillId="0" borderId="0"/>
    <xf numFmtId="0" fontId="21" fillId="0" borderId="0"/>
    <xf numFmtId="0" fontId="28" fillId="0" borderId="0" applyNumberFormat="0" applyFill="0" applyBorder="0" applyAlignment="0" applyProtection="0">
      <alignment vertical="top"/>
      <protection locked="0"/>
    </xf>
    <xf numFmtId="0" fontId="6" fillId="0" borderId="0"/>
    <xf numFmtId="43" fontId="10" fillId="0" borderId="0" applyFont="0" applyFill="0" applyBorder="0" applyAlignment="0" applyProtection="0"/>
    <xf numFmtId="0" fontId="10" fillId="0" borderId="0"/>
    <xf numFmtId="0" fontId="4" fillId="0" borderId="0"/>
    <xf numFmtId="9" fontId="4" fillId="0" borderId="0" applyFont="0" applyFill="0" applyBorder="0" applyAlignment="0" applyProtection="0"/>
    <xf numFmtId="0" fontId="3" fillId="0" borderId="0"/>
    <xf numFmtId="0" fontId="2" fillId="0" borderId="0"/>
    <xf numFmtId="0" fontId="11" fillId="0" borderId="0" applyNumberFormat="0" applyFill="0" applyBorder="0" applyAlignment="0" applyProtection="0">
      <alignment vertical="top"/>
      <protection locked="0"/>
    </xf>
    <xf numFmtId="0" fontId="2" fillId="0" borderId="0"/>
    <xf numFmtId="0" fontId="90" fillId="0" borderId="0" applyNumberFormat="0" applyFill="0" applyBorder="0" applyAlignment="0" applyProtection="0"/>
    <xf numFmtId="0" fontId="1" fillId="0" borderId="0"/>
    <xf numFmtId="0" fontId="1" fillId="0" borderId="0"/>
    <xf numFmtId="44" fontId="10" fillId="0" borderId="0" applyFont="0" applyFill="0" applyBorder="0" applyAlignment="0" applyProtection="0"/>
  </cellStyleXfs>
  <cellXfs count="1047">
    <xf numFmtId="0" fontId="0" fillId="0" borderId="0" xfId="0"/>
    <xf numFmtId="0" fontId="0" fillId="0" borderId="0" xfId="0" quotePrefix="1"/>
    <xf numFmtId="0" fontId="0" fillId="3" borderId="0" xfId="0" applyFill="1"/>
    <xf numFmtId="0" fontId="13" fillId="0" borderId="0" xfId="0" applyFont="1"/>
    <xf numFmtId="0" fontId="13" fillId="0" borderId="0" xfId="0" applyFont="1" applyAlignment="1">
      <alignment vertical="center"/>
    </xf>
    <xf numFmtId="0" fontId="19" fillId="5" borderId="0" xfId="0" applyFont="1" applyFill="1" applyAlignment="1">
      <alignment horizontal="center" vertical="center" wrapText="1"/>
    </xf>
    <xf numFmtId="0" fontId="16" fillId="5" borderId="0" xfId="0" applyFont="1" applyFill="1" applyAlignment="1">
      <alignment vertical="center"/>
    </xf>
    <xf numFmtId="0" fontId="19" fillId="5" borderId="0" xfId="0" applyFont="1" applyFill="1" applyAlignment="1">
      <alignment vertical="center"/>
    </xf>
    <xf numFmtId="0" fontId="16" fillId="5" borderId="0" xfId="0" applyFont="1" applyFill="1" applyAlignment="1">
      <alignment horizontal="left" vertical="top" wrapText="1"/>
    </xf>
    <xf numFmtId="0" fontId="16" fillId="5" borderId="0" xfId="0" applyFont="1" applyFill="1" applyAlignment="1" applyProtection="1">
      <alignment horizontal="left" vertical="top" wrapText="1"/>
      <protection hidden="1"/>
    </xf>
    <xf numFmtId="0" fontId="16" fillId="5" borderId="0" xfId="0" applyFont="1" applyFill="1" applyAlignment="1">
      <alignment vertical="center" wrapText="1"/>
    </xf>
    <xf numFmtId="0" fontId="16" fillId="5" borderId="0" xfId="0" applyFont="1" applyFill="1"/>
    <xf numFmtId="0" fontId="16" fillId="5" borderId="0" xfId="0" applyFont="1" applyFill="1" applyAlignment="1">
      <alignment wrapText="1"/>
    </xf>
    <xf numFmtId="0" fontId="21" fillId="3" borderId="0" xfId="0" applyFont="1" applyFill="1"/>
    <xf numFmtId="0" fontId="22" fillId="3" borderId="0" xfId="0" applyFont="1" applyFill="1" applyAlignment="1">
      <alignment vertical="top"/>
    </xf>
    <xf numFmtId="0" fontId="23" fillId="3" borderId="0" xfId="0" applyFont="1" applyFill="1" applyAlignment="1">
      <alignment horizontal="left" vertical="top"/>
    </xf>
    <xf numFmtId="0" fontId="21" fillId="3" borderId="0" xfId="0" applyFont="1" applyFill="1" applyAlignment="1">
      <alignment vertical="top" wrapText="1"/>
    </xf>
    <xf numFmtId="0" fontId="16" fillId="0" borderId="0" xfId="0" applyFont="1" applyAlignment="1">
      <alignment horizontal="center"/>
    </xf>
    <xf numFmtId="166" fontId="16" fillId="0" borderId="0" xfId="0" applyNumberFormat="1" applyFont="1" applyAlignment="1">
      <alignment horizontal="center"/>
    </xf>
    <xf numFmtId="0" fontId="16" fillId="0" borderId="0" xfId="0" applyFont="1" applyAlignment="1">
      <alignment horizontal="left" wrapText="1"/>
    </xf>
    <xf numFmtId="1" fontId="16" fillId="0" borderId="0" xfId="0" applyNumberFormat="1" applyFont="1" applyAlignment="1">
      <alignment horizontal="center"/>
    </xf>
    <xf numFmtId="0" fontId="16" fillId="0" borderId="0" xfId="0" applyFont="1" applyAlignment="1">
      <alignment horizontal="left"/>
    </xf>
    <xf numFmtId="5" fontId="16" fillId="0" borderId="0" xfId="1" applyNumberFormat="1" applyFont="1"/>
    <xf numFmtId="164" fontId="16" fillId="0" borderId="0" xfId="0" applyNumberFormat="1" applyFont="1"/>
    <xf numFmtId="0" fontId="16" fillId="0" borderId="0" xfId="0" applyFont="1"/>
    <xf numFmtId="0" fontId="16" fillId="0" borderId="0" xfId="0" applyFont="1" applyAlignment="1">
      <alignment vertical="center"/>
    </xf>
    <xf numFmtId="0" fontId="19" fillId="5" borderId="0" xfId="0" applyFont="1" applyFill="1" applyAlignment="1" applyProtection="1">
      <alignment horizontal="left" vertical="top" wrapText="1"/>
      <protection hidden="1"/>
    </xf>
    <xf numFmtId="0" fontId="0" fillId="5" borderId="0" xfId="0" applyFill="1"/>
    <xf numFmtId="0" fontId="19" fillId="5" borderId="0" xfId="0" applyFont="1" applyFill="1" applyAlignment="1">
      <alignment horizontal="left" vertical="top" wrapText="1"/>
    </xf>
    <xf numFmtId="0" fontId="21" fillId="0" borderId="0" xfId="8" applyFont="1" applyAlignment="1" applyProtection="1">
      <alignment vertical="center"/>
      <protection hidden="1"/>
    </xf>
    <xf numFmtId="0" fontId="21" fillId="0" borderId="0" xfId="8" applyFont="1" applyAlignment="1" applyProtection="1">
      <alignment horizontal="center" vertical="center"/>
      <protection hidden="1"/>
    </xf>
    <xf numFmtId="0" fontId="21" fillId="5" borderId="0" xfId="13" applyFill="1" applyAlignment="1" applyProtection="1">
      <alignment horizontal="left" vertical="top"/>
      <protection hidden="1"/>
    </xf>
    <xf numFmtId="0" fontId="21" fillId="5" borderId="0" xfId="13" applyFill="1" applyAlignment="1" applyProtection="1">
      <alignment horizontal="left" vertical="top" wrapText="1"/>
      <protection hidden="1"/>
    </xf>
    <xf numFmtId="0" fontId="16" fillId="5" borderId="1" xfId="0" applyFont="1" applyFill="1" applyBorder="1" applyAlignment="1" applyProtection="1">
      <alignment horizontal="left" vertical="top" wrapText="1"/>
      <protection hidden="1"/>
    </xf>
    <xf numFmtId="14" fontId="16" fillId="5" borderId="0" xfId="0" applyNumberFormat="1" applyFont="1" applyFill="1" applyAlignment="1">
      <alignment vertical="center"/>
    </xf>
    <xf numFmtId="0" fontId="29" fillId="4" borderId="1" xfId="0" applyFont="1" applyFill="1" applyBorder="1" applyAlignment="1" applyProtection="1">
      <alignment vertical="top" wrapText="1"/>
      <protection locked="0" hidden="1"/>
    </xf>
    <xf numFmtId="0" fontId="16" fillId="0" borderId="0" xfId="0" applyFont="1" applyAlignment="1" applyProtection="1">
      <alignment vertical="top" wrapText="1"/>
      <protection locked="0" hidden="1"/>
    </xf>
    <xf numFmtId="0" fontId="16" fillId="2" borderId="1" xfId="0" applyFont="1" applyFill="1" applyBorder="1" applyAlignment="1" applyProtection="1">
      <alignment horizontal="left" vertical="top" wrapText="1"/>
      <protection locked="0" hidden="1"/>
    </xf>
    <xf numFmtId="1" fontId="16" fillId="0" borderId="0" xfId="0" applyNumberFormat="1" applyFont="1" applyAlignment="1" applyProtection="1">
      <alignment vertical="top" wrapText="1"/>
      <protection locked="0" hidden="1"/>
    </xf>
    <xf numFmtId="5" fontId="16" fillId="0" borderId="0" xfId="0" applyNumberFormat="1" applyFont="1" applyAlignment="1" applyProtection="1">
      <alignment vertical="top" wrapText="1"/>
      <protection locked="0" hidden="1"/>
    </xf>
    <xf numFmtId="9" fontId="16" fillId="0" borderId="0" xfId="0" applyNumberFormat="1" applyFont="1" applyAlignment="1" applyProtection="1">
      <alignment vertical="top" wrapText="1"/>
      <protection locked="0" hidden="1"/>
    </xf>
    <xf numFmtId="2" fontId="16" fillId="0" borderId="0" xfId="0" applyNumberFormat="1" applyFont="1" applyAlignment="1" applyProtection="1">
      <alignment vertical="top" wrapText="1"/>
      <protection locked="0" hidden="1"/>
    </xf>
    <xf numFmtId="43" fontId="16" fillId="0" borderId="0" xfId="0" applyNumberFormat="1" applyFont="1" applyAlignment="1" applyProtection="1">
      <alignment vertical="top" wrapText="1"/>
      <protection locked="0" hidden="1"/>
    </xf>
    <xf numFmtId="0" fontId="30" fillId="0" borderId="0" xfId="0" applyFont="1" applyAlignment="1" applyProtection="1">
      <alignment vertical="top" wrapText="1"/>
      <protection locked="0" hidden="1"/>
    </xf>
    <xf numFmtId="0" fontId="29" fillId="4" borderId="1" xfId="0" applyFont="1" applyFill="1" applyBorder="1" applyAlignment="1" applyProtection="1">
      <alignment horizontal="left" vertical="top" wrapText="1"/>
      <protection locked="0" hidden="1"/>
    </xf>
    <xf numFmtId="14" fontId="16" fillId="2" borderId="1" xfId="0" applyNumberFormat="1" applyFont="1" applyFill="1" applyBorder="1" applyAlignment="1" applyProtection="1">
      <alignment horizontal="left" vertical="top" wrapText="1"/>
      <protection locked="0" hidden="1"/>
    </xf>
    <xf numFmtId="1" fontId="16" fillId="2" borderId="1" xfId="0" applyNumberFormat="1" applyFont="1" applyFill="1" applyBorder="1" applyAlignment="1" applyProtection="1">
      <alignment horizontal="left" vertical="top" wrapText="1"/>
      <protection locked="0" hidden="1"/>
    </xf>
    <xf numFmtId="171" fontId="16" fillId="2" borderId="1" xfId="0" applyNumberFormat="1" applyFont="1" applyFill="1" applyBorder="1" applyAlignment="1" applyProtection="1">
      <alignment horizontal="left" vertical="top" wrapText="1"/>
      <protection locked="0" hidden="1"/>
    </xf>
    <xf numFmtId="9" fontId="16" fillId="2" borderId="1" xfId="5" applyFont="1" applyFill="1" applyBorder="1" applyAlignment="1" applyProtection="1">
      <alignment horizontal="left" vertical="top" wrapText="1"/>
      <protection locked="0" hidden="1"/>
    </xf>
    <xf numFmtId="0" fontId="31" fillId="2" borderId="1" xfId="0" applyFont="1" applyFill="1" applyBorder="1" applyAlignment="1" applyProtection="1">
      <alignment horizontal="left" vertical="top" wrapText="1"/>
      <protection locked="0" hidden="1"/>
    </xf>
    <xf numFmtId="9" fontId="31" fillId="2" borderId="1" xfId="5" applyFont="1" applyFill="1" applyBorder="1" applyAlignment="1" applyProtection="1">
      <alignment horizontal="left" vertical="top" wrapText="1"/>
      <protection locked="0" hidden="1"/>
    </xf>
    <xf numFmtId="2" fontId="16" fillId="2" borderId="1" xfId="0" applyNumberFormat="1" applyFont="1" applyFill="1" applyBorder="1" applyAlignment="1" applyProtection="1">
      <alignment horizontal="left" vertical="top" wrapText="1"/>
      <protection locked="0" hidden="1"/>
    </xf>
    <xf numFmtId="43" fontId="16" fillId="2" borderId="1" xfId="0" applyNumberFormat="1" applyFont="1" applyFill="1" applyBorder="1" applyAlignment="1" applyProtection="1">
      <alignment horizontal="left" vertical="top" wrapText="1"/>
      <protection locked="0" hidden="1"/>
    </xf>
    <xf numFmtId="43" fontId="16" fillId="2" borderId="1" xfId="1" applyFont="1" applyFill="1" applyBorder="1" applyAlignment="1" applyProtection="1">
      <alignment horizontal="left" vertical="top" wrapText="1"/>
      <protection locked="0" hidden="1"/>
    </xf>
    <xf numFmtId="10" fontId="16" fillId="2" borderId="1" xfId="0" applyNumberFormat="1" applyFont="1" applyFill="1" applyBorder="1" applyAlignment="1" applyProtection="1">
      <alignment horizontal="left" vertical="top" wrapText="1"/>
      <protection locked="0" hidden="1"/>
    </xf>
    <xf numFmtId="0" fontId="24" fillId="0" borderId="0" xfId="0" applyFont="1" applyAlignment="1" applyProtection="1">
      <alignment vertical="top" wrapText="1"/>
      <protection locked="0" hidden="1"/>
    </xf>
    <xf numFmtId="0" fontId="16" fillId="0" borderId="0" xfId="0" applyFont="1" applyAlignment="1">
      <alignment horizontal="left" vertical="top"/>
    </xf>
    <xf numFmtId="2" fontId="16" fillId="0" borderId="0" xfId="0" applyNumberFormat="1" applyFont="1"/>
    <xf numFmtId="0" fontId="20" fillId="0" borderId="0" xfId="0" applyFont="1" applyAlignment="1">
      <alignment horizontal="left" vertical="top"/>
    </xf>
    <xf numFmtId="0" fontId="19" fillId="0" borderId="0" xfId="0" applyFont="1" applyAlignment="1">
      <alignment horizontal="left" vertical="center"/>
    </xf>
    <xf numFmtId="0" fontId="19" fillId="0" borderId="0" xfId="0" applyFont="1" applyAlignment="1">
      <alignment vertical="center"/>
    </xf>
    <xf numFmtId="2" fontId="19" fillId="0" borderId="0" xfId="0" applyNumberFormat="1" applyFont="1" applyAlignment="1">
      <alignment vertical="center"/>
    </xf>
    <xf numFmtId="0" fontId="17" fillId="0" borderId="0" xfId="0" applyFont="1" applyAlignment="1">
      <alignment horizontal="left" vertical="top"/>
    </xf>
    <xf numFmtId="0" fontId="16" fillId="0" borderId="0" xfId="0" applyFont="1" applyProtection="1">
      <protection hidden="1"/>
    </xf>
    <xf numFmtId="0" fontId="16" fillId="0" borderId="1" xfId="0" applyFont="1" applyBorder="1" applyProtection="1">
      <protection hidden="1"/>
    </xf>
    <xf numFmtId="2" fontId="16" fillId="0" borderId="0" xfId="0" applyNumberFormat="1" applyFont="1" applyProtection="1">
      <protection hidden="1"/>
    </xf>
    <xf numFmtId="43" fontId="16" fillId="0" borderId="0" xfId="0" applyNumberFormat="1" applyFont="1" applyProtection="1">
      <protection hidden="1"/>
    </xf>
    <xf numFmtId="2" fontId="16" fillId="9" borderId="0" xfId="0" applyNumberFormat="1" applyFont="1" applyFill="1"/>
    <xf numFmtId="0" fontId="16" fillId="9" borderId="0" xfId="0" applyFont="1" applyFill="1"/>
    <xf numFmtId="0" fontId="16" fillId="11" borderId="0" xfId="0" applyFont="1" applyFill="1"/>
    <xf numFmtId="2" fontId="16" fillId="12" borderId="0" xfId="0" applyNumberFormat="1" applyFont="1" applyFill="1"/>
    <xf numFmtId="0" fontId="16" fillId="12" borderId="0" xfId="0" applyFont="1" applyFill="1"/>
    <xf numFmtId="0" fontId="16" fillId="6" borderId="0" xfId="0" applyFont="1" applyFill="1"/>
    <xf numFmtId="2" fontId="16" fillId="10" borderId="0" xfId="0" applyNumberFormat="1" applyFont="1" applyFill="1"/>
    <xf numFmtId="0" fontId="16" fillId="10" borderId="0" xfId="0" applyFont="1" applyFill="1"/>
    <xf numFmtId="0" fontId="16" fillId="13" borderId="0" xfId="0" applyFont="1" applyFill="1"/>
    <xf numFmtId="0" fontId="16" fillId="13" borderId="0" xfId="0" applyFont="1" applyFill="1" applyAlignment="1">
      <alignment horizontal="center"/>
    </xf>
    <xf numFmtId="0" fontId="16" fillId="8" borderId="0" xfId="0" applyFont="1" applyFill="1"/>
    <xf numFmtId="0" fontId="16" fillId="2" borderId="0" xfId="0" applyFont="1" applyFill="1"/>
    <xf numFmtId="49" fontId="16" fillId="2" borderId="1" xfId="0" applyNumberFormat="1" applyFont="1" applyFill="1" applyBorder="1" applyAlignment="1" applyProtection="1">
      <alignment horizontal="left" vertical="top" wrapText="1"/>
      <protection locked="0" hidden="1"/>
    </xf>
    <xf numFmtId="0" fontId="21" fillId="5" borderId="77" xfId="13" applyFill="1" applyBorder="1" applyAlignment="1" applyProtection="1">
      <alignment horizontal="left" vertical="top" wrapText="1"/>
      <protection hidden="1"/>
    </xf>
    <xf numFmtId="0" fontId="38" fillId="5" borderId="78" xfId="13" applyFont="1" applyFill="1" applyBorder="1" applyAlignment="1" applyProtection="1">
      <alignment horizontal="left" vertical="top" wrapText="1"/>
      <protection hidden="1"/>
    </xf>
    <xf numFmtId="0" fontId="5" fillId="5" borderId="78" xfId="0" applyFont="1" applyFill="1" applyBorder="1" applyAlignment="1">
      <alignment vertical="center"/>
    </xf>
    <xf numFmtId="0" fontId="39" fillId="5" borderId="78" xfId="13" applyFont="1" applyFill="1" applyBorder="1" applyAlignment="1" applyProtection="1">
      <alignment horizontal="left" vertical="top" wrapText="1"/>
      <protection hidden="1"/>
    </xf>
    <xf numFmtId="0" fontId="5" fillId="5" borderId="78" xfId="13" applyFont="1" applyFill="1" applyBorder="1" applyAlignment="1" applyProtection="1">
      <alignment horizontal="left" vertical="top" wrapText="1"/>
      <protection hidden="1"/>
    </xf>
    <xf numFmtId="0" fontId="21" fillId="14" borderId="79" xfId="13" applyFill="1" applyBorder="1" applyAlignment="1" applyProtection="1">
      <alignment horizontal="left" vertical="top" wrapText="1"/>
      <protection hidden="1"/>
    </xf>
    <xf numFmtId="0" fontId="21" fillId="5" borderId="83" xfId="0" applyFont="1" applyFill="1" applyBorder="1"/>
    <xf numFmtId="0" fontId="21" fillId="5" borderId="0" xfId="0" applyFont="1" applyFill="1"/>
    <xf numFmtId="0" fontId="21" fillId="5" borderId="84" xfId="0" applyFont="1" applyFill="1" applyBorder="1"/>
    <xf numFmtId="0" fontId="22" fillId="5" borderId="83" xfId="0" applyFont="1" applyFill="1" applyBorder="1" applyAlignment="1">
      <alignment vertical="top"/>
    </xf>
    <xf numFmtId="0" fontId="23" fillId="5" borderId="83" xfId="0" applyFont="1" applyFill="1" applyBorder="1" applyAlignment="1">
      <alignment horizontal="left" vertical="top"/>
    </xf>
    <xf numFmtId="0" fontId="21" fillId="5" borderId="84" xfId="0" applyFont="1" applyFill="1" applyBorder="1" applyAlignment="1">
      <alignment horizontal="left" vertical="top" wrapText="1"/>
    </xf>
    <xf numFmtId="0" fontId="40" fillId="5" borderId="0" xfId="0" applyFont="1" applyFill="1" applyAlignment="1">
      <alignment horizontal="left" vertical="top"/>
    </xf>
    <xf numFmtId="0" fontId="37" fillId="5" borderId="84" xfId="0" applyFont="1" applyFill="1" applyBorder="1"/>
    <xf numFmtId="0" fontId="41" fillId="5" borderId="0" xfId="0" applyFont="1" applyFill="1" applyAlignment="1">
      <alignment vertical="top"/>
    </xf>
    <xf numFmtId="0" fontId="37" fillId="5" borderId="0" xfId="0" applyFont="1" applyFill="1"/>
    <xf numFmtId="0" fontId="37" fillId="5" borderId="0" xfId="0" applyFont="1" applyFill="1" applyAlignment="1">
      <alignment horizontal="left" vertical="top" wrapText="1"/>
    </xf>
    <xf numFmtId="0" fontId="5" fillId="5" borderId="0" xfId="0" applyFont="1" applyFill="1" applyAlignment="1">
      <alignment horizontal="left" vertical="top" wrapText="1"/>
    </xf>
    <xf numFmtId="0" fontId="5" fillId="5" borderId="84" xfId="0" applyFont="1" applyFill="1" applyBorder="1" applyAlignment="1">
      <alignment horizontal="left" vertical="top" wrapText="1"/>
    </xf>
    <xf numFmtId="0" fontId="5" fillId="5" borderId="0" xfId="0" applyFont="1" applyFill="1"/>
    <xf numFmtId="0" fontId="5" fillId="5" borderId="84" xfId="0" applyFont="1" applyFill="1" applyBorder="1"/>
    <xf numFmtId="0" fontId="39" fillId="5" borderId="0" xfId="0" applyFont="1" applyFill="1" applyAlignment="1">
      <alignment horizontal="left" vertical="top"/>
    </xf>
    <xf numFmtId="165" fontId="35" fillId="5" borderId="1" xfId="1" applyNumberFormat="1" applyFont="1" applyFill="1" applyBorder="1" applyAlignment="1" applyProtection="1">
      <alignment horizontal="left" vertical="center"/>
      <protection hidden="1"/>
    </xf>
    <xf numFmtId="165" fontId="5" fillId="5" borderId="1" xfId="1" applyNumberFormat="1" applyFont="1" applyFill="1" applyBorder="1" applyAlignment="1" applyProtection="1">
      <alignment vertical="center"/>
      <protection hidden="1"/>
    </xf>
    <xf numFmtId="49" fontId="5" fillId="0" borderId="49" xfId="0" applyNumberFormat="1" applyFont="1" applyBorder="1" applyAlignment="1" applyProtection="1">
      <alignment horizontal="left" vertical="center" wrapText="1"/>
      <protection locked="0"/>
    </xf>
    <xf numFmtId="14" fontId="5" fillId="0" borderId="74" xfId="0" applyNumberFormat="1"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2" fontId="5" fillId="0" borderId="36" xfId="0" applyNumberFormat="1" applyFont="1" applyBorder="1" applyAlignment="1" applyProtection="1">
      <alignment horizontal="center" vertical="center" wrapText="1"/>
      <protection locked="0"/>
    </xf>
    <xf numFmtId="2" fontId="5" fillId="0" borderId="58" xfId="0" applyNumberFormat="1" applyFont="1" applyBorder="1" applyAlignment="1" applyProtection="1">
      <alignment horizontal="center" vertical="center" wrapText="1"/>
      <protection locked="0"/>
    </xf>
    <xf numFmtId="165" fontId="5" fillId="0" borderId="36" xfId="1" applyNumberFormat="1" applyFont="1" applyBorder="1" applyAlignment="1" applyProtection="1">
      <alignment horizontal="center" vertical="center" wrapText="1"/>
      <protection locked="0"/>
    </xf>
    <xf numFmtId="165" fontId="5" fillId="0" borderId="9" xfId="1" applyNumberFormat="1" applyFont="1" applyBorder="1" applyAlignment="1" applyProtection="1">
      <alignment horizontal="center" vertical="center" wrapText="1"/>
      <protection locked="0"/>
    </xf>
    <xf numFmtId="171" fontId="5" fillId="0" borderId="70" xfId="1" applyNumberFormat="1" applyFont="1" applyBorder="1" applyAlignment="1" applyProtection="1">
      <alignment horizontal="center" vertical="center" wrapText="1"/>
      <protection locked="0"/>
    </xf>
    <xf numFmtId="14" fontId="5" fillId="0" borderId="76" xfId="0" applyNumberFormat="1" applyFont="1" applyBorder="1" applyAlignment="1" applyProtection="1">
      <alignment horizontal="center" vertical="center" wrapText="1"/>
      <protection locked="0"/>
    </xf>
    <xf numFmtId="14" fontId="5" fillId="0" borderId="75" xfId="0" applyNumberFormat="1" applyFont="1" applyBorder="1" applyAlignment="1" applyProtection="1">
      <alignment horizontal="center" vertical="center" wrapText="1"/>
      <protection locked="0"/>
    </xf>
    <xf numFmtId="14" fontId="5" fillId="0" borderId="36" xfId="0" applyNumberFormat="1" applyFont="1" applyBorder="1" applyAlignment="1" applyProtection="1">
      <alignment horizontal="center" vertical="center" wrapText="1"/>
      <protection locked="0"/>
    </xf>
    <xf numFmtId="0" fontId="5" fillId="5" borderId="0" xfId="0" applyFont="1" applyFill="1" applyAlignment="1">
      <alignment horizontal="center"/>
    </xf>
    <xf numFmtId="166" fontId="5" fillId="5" borderId="0" xfId="0" applyNumberFormat="1" applyFont="1" applyFill="1" applyAlignment="1">
      <alignment horizontal="center"/>
    </xf>
    <xf numFmtId="0" fontId="5" fillId="5" borderId="0" xfId="0" applyFont="1" applyFill="1" applyAlignment="1">
      <alignment horizontal="left" wrapText="1"/>
    </xf>
    <xf numFmtId="1" fontId="5" fillId="5" borderId="0" xfId="0" applyNumberFormat="1" applyFont="1" applyFill="1" applyAlignment="1">
      <alignment horizontal="center"/>
    </xf>
    <xf numFmtId="0" fontId="5" fillId="5" borderId="0" xfId="0" applyFont="1" applyFill="1" applyAlignment="1">
      <alignment horizontal="left"/>
    </xf>
    <xf numFmtId="5" fontId="5" fillId="5" borderId="0" xfId="1" applyNumberFormat="1" applyFont="1" applyFill="1"/>
    <xf numFmtId="164" fontId="5" fillId="5" borderId="0" xfId="0" applyNumberFormat="1" applyFont="1" applyFill="1"/>
    <xf numFmtId="165" fontId="33" fillId="14" borderId="18" xfId="1" applyNumberFormat="1" applyFont="1" applyFill="1" applyBorder="1" applyAlignment="1" applyProtection="1">
      <alignment vertical="center" wrapText="1"/>
      <protection hidden="1"/>
    </xf>
    <xf numFmtId="165" fontId="35" fillId="14" borderId="30" xfId="1" applyNumberFormat="1" applyFont="1" applyFill="1" applyBorder="1" applyAlignment="1" applyProtection="1">
      <alignment vertical="center"/>
      <protection hidden="1"/>
    </xf>
    <xf numFmtId="0" fontId="33" fillId="14" borderId="12" xfId="0" applyFont="1" applyFill="1" applyBorder="1" applyAlignment="1">
      <alignment horizontal="center" vertical="center" wrapText="1"/>
    </xf>
    <xf numFmtId="0" fontId="33" fillId="14" borderId="35" xfId="0" applyFont="1" applyFill="1" applyBorder="1" applyAlignment="1">
      <alignment vertical="center" wrapText="1"/>
    </xf>
    <xf numFmtId="0" fontId="33" fillId="14" borderId="35" xfId="0" applyFont="1" applyFill="1" applyBorder="1" applyAlignment="1">
      <alignment horizontal="center" vertical="center" wrapText="1"/>
    </xf>
    <xf numFmtId="0" fontId="33" fillId="14" borderId="56" xfId="0" applyFont="1" applyFill="1" applyBorder="1" applyAlignment="1">
      <alignment horizontal="center" vertical="center" wrapText="1"/>
    </xf>
    <xf numFmtId="0" fontId="33" fillId="14" borderId="13" xfId="0" applyFont="1" applyFill="1" applyBorder="1" applyAlignment="1">
      <alignment horizontal="center" vertical="center" wrapText="1"/>
    </xf>
    <xf numFmtId="0" fontId="33" fillId="14" borderId="6" xfId="0" applyFont="1" applyFill="1" applyBorder="1" applyAlignment="1">
      <alignment horizontal="center" vertical="center" wrapText="1"/>
    </xf>
    <xf numFmtId="165" fontId="33" fillId="14" borderId="12" xfId="1" applyNumberFormat="1" applyFont="1" applyFill="1" applyBorder="1" applyAlignment="1">
      <alignment horizontal="center" vertical="center" wrapText="1"/>
    </xf>
    <xf numFmtId="0" fontId="33" fillId="14" borderId="12" xfId="0" applyFont="1" applyFill="1" applyBorder="1" applyAlignment="1">
      <alignment horizontal="center" vertical="center"/>
    </xf>
    <xf numFmtId="0" fontId="33" fillId="14" borderId="17" xfId="0" applyFont="1" applyFill="1" applyBorder="1" applyAlignment="1">
      <alignment horizontal="center" vertical="center" wrapText="1"/>
    </xf>
    <xf numFmtId="9" fontId="5" fillId="15" borderId="59" xfId="5" applyFont="1" applyFill="1" applyBorder="1" applyAlignment="1" applyProtection="1">
      <alignment horizontal="center" vertical="center" wrapText="1"/>
      <protection hidden="1"/>
    </xf>
    <xf numFmtId="170" fontId="5" fillId="15" borderId="71" xfId="1" applyNumberFormat="1" applyFont="1" applyFill="1" applyBorder="1" applyAlignment="1" applyProtection="1">
      <alignment horizontal="center" vertical="center" wrapText="1"/>
      <protection hidden="1"/>
    </xf>
    <xf numFmtId="9" fontId="5" fillId="15" borderId="73" xfId="5" applyFont="1" applyFill="1" applyBorder="1" applyAlignment="1" applyProtection="1">
      <alignment horizontal="center" vertical="center" wrapText="1"/>
      <protection hidden="1"/>
    </xf>
    <xf numFmtId="170" fontId="5" fillId="15" borderId="49" xfId="1" applyNumberFormat="1" applyFont="1" applyFill="1" applyBorder="1" applyAlignment="1" applyProtection="1">
      <alignment horizontal="center" vertical="center" wrapText="1"/>
      <protection hidden="1"/>
    </xf>
    <xf numFmtId="9" fontId="5" fillId="15" borderId="46" xfId="5" applyFont="1" applyFill="1" applyBorder="1" applyAlignment="1" applyProtection="1">
      <alignment horizontal="center" vertical="center" wrapText="1"/>
      <protection hidden="1"/>
    </xf>
    <xf numFmtId="170" fontId="5" fillId="15" borderId="15" xfId="1" applyNumberFormat="1" applyFont="1" applyFill="1" applyBorder="1" applyAlignment="1" applyProtection="1">
      <alignment horizontal="center" vertical="center" wrapText="1"/>
      <protection hidden="1"/>
    </xf>
    <xf numFmtId="170" fontId="5" fillId="15" borderId="72" xfId="1" applyNumberFormat="1" applyFont="1" applyFill="1" applyBorder="1" applyAlignment="1" applyProtection="1">
      <alignment horizontal="center" vertical="center" wrapText="1"/>
      <protection hidden="1"/>
    </xf>
    <xf numFmtId="164" fontId="5" fillId="15" borderId="39" xfId="1" applyNumberFormat="1" applyFont="1" applyFill="1" applyBorder="1" applyAlignment="1" applyProtection="1">
      <alignment horizontal="center" vertical="center" wrapText="1"/>
      <protection hidden="1"/>
    </xf>
    <xf numFmtId="43" fontId="5" fillId="15" borderId="2" xfId="1" applyFont="1" applyFill="1" applyBorder="1" applyAlignment="1" applyProtection="1">
      <alignment horizontal="right" vertical="center" wrapText="1" indent="1"/>
      <protection hidden="1"/>
    </xf>
    <xf numFmtId="167" fontId="5" fillId="15" borderId="43" xfId="1" applyNumberFormat="1" applyFont="1" applyFill="1" applyBorder="1" applyAlignment="1" applyProtection="1">
      <alignment horizontal="right" vertical="center" wrapText="1" indent="1"/>
      <protection hidden="1"/>
    </xf>
    <xf numFmtId="43" fontId="5" fillId="15" borderId="40" xfId="1" applyFont="1" applyFill="1" applyBorder="1" applyAlignment="1" applyProtection="1">
      <alignment horizontal="right" vertical="center" wrapText="1" indent="1"/>
      <protection hidden="1"/>
    </xf>
    <xf numFmtId="43" fontId="5" fillId="15" borderId="3" xfId="1" applyFont="1" applyFill="1" applyBorder="1" applyAlignment="1" applyProtection="1">
      <alignment horizontal="right" vertical="center" wrapText="1" indent="1"/>
      <protection hidden="1"/>
    </xf>
    <xf numFmtId="164" fontId="5" fillId="15" borderId="41" xfId="1" applyNumberFormat="1" applyFont="1" applyFill="1" applyBorder="1" applyAlignment="1" applyProtection="1">
      <alignment horizontal="center" vertical="center" wrapText="1"/>
      <protection hidden="1"/>
    </xf>
    <xf numFmtId="43" fontId="5" fillId="15" borderId="44" xfId="1" applyFont="1" applyFill="1" applyBorder="1" applyAlignment="1" applyProtection="1">
      <alignment horizontal="right" vertical="center" wrapText="1" indent="1"/>
      <protection hidden="1"/>
    </xf>
    <xf numFmtId="43" fontId="5" fillId="15" borderId="42" xfId="1" applyFont="1" applyFill="1" applyBorder="1" applyAlignment="1" applyProtection="1">
      <alignment horizontal="right" vertical="center" wrapText="1" indent="1"/>
      <protection hidden="1"/>
    </xf>
    <xf numFmtId="43" fontId="5" fillId="15" borderId="45" xfId="1" applyFont="1" applyFill="1" applyBorder="1" applyAlignment="1" applyProtection="1">
      <alignment horizontal="right" vertical="center" wrapText="1" indent="1"/>
      <protection hidden="1"/>
    </xf>
    <xf numFmtId="164" fontId="5" fillId="5" borderId="0" xfId="1" applyNumberFormat="1" applyFont="1" applyFill="1" applyBorder="1" applyAlignment="1" applyProtection="1">
      <alignment horizontal="center" vertical="center" wrapText="1"/>
      <protection hidden="1"/>
    </xf>
    <xf numFmtId="43" fontId="5" fillId="5" borderId="0" xfId="1" applyFont="1" applyFill="1" applyBorder="1" applyAlignment="1" applyProtection="1">
      <alignment horizontal="right" vertical="center" wrapText="1" indent="2"/>
      <protection hidden="1"/>
    </xf>
    <xf numFmtId="167" fontId="5" fillId="5" borderId="0" xfId="1" applyNumberFormat="1" applyFont="1" applyFill="1" applyBorder="1" applyAlignment="1" applyProtection="1">
      <alignment horizontal="right" vertical="center" wrapText="1" indent="1"/>
      <protection hidden="1"/>
    </xf>
    <xf numFmtId="43" fontId="5" fillId="5" borderId="0" xfId="1" applyFont="1" applyFill="1" applyBorder="1" applyAlignment="1" applyProtection="1">
      <alignment horizontal="right" vertical="center" wrapText="1" indent="1"/>
      <protection hidden="1"/>
    </xf>
    <xf numFmtId="43" fontId="5" fillId="5" borderId="0" xfId="1" applyFont="1" applyFill="1" applyBorder="1" applyAlignment="1" applyProtection="1">
      <alignment horizontal="left" vertical="center" wrapText="1"/>
      <protection hidden="1"/>
    </xf>
    <xf numFmtId="0" fontId="35" fillId="5" borderId="0" xfId="0" applyFont="1" applyFill="1" applyAlignment="1" applyProtection="1">
      <alignment horizontal="center" vertical="center" wrapText="1"/>
      <protection hidden="1"/>
    </xf>
    <xf numFmtId="0" fontId="5" fillId="5" borderId="83" xfId="0" applyFont="1" applyFill="1" applyBorder="1" applyAlignment="1">
      <alignment horizontal="center" vertical="center"/>
    </xf>
    <xf numFmtId="0" fontId="5" fillId="0" borderId="83" xfId="0" applyFont="1" applyBorder="1" applyAlignment="1">
      <alignment horizontal="center" vertical="center"/>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5" fillId="0" borderId="83" xfId="0" applyFont="1" applyBorder="1" applyAlignment="1">
      <alignment vertical="center"/>
    </xf>
    <xf numFmtId="166" fontId="33" fillId="14" borderId="6" xfId="0" applyNumberFormat="1" applyFont="1" applyFill="1" applyBorder="1" applyAlignment="1">
      <alignment horizontal="center" vertical="center" wrapText="1"/>
    </xf>
    <xf numFmtId="14" fontId="37" fillId="0" borderId="65" xfId="10" applyNumberFormat="1" applyFont="1" applyBorder="1" applyAlignment="1" applyProtection="1">
      <alignment horizontal="center" vertical="center"/>
      <protection locked="0"/>
    </xf>
    <xf numFmtId="1" fontId="37" fillId="0" borderId="26" xfId="10" applyNumberFormat="1" applyFont="1" applyBorder="1" applyAlignment="1" applyProtection="1">
      <alignment horizontal="center" vertical="center"/>
      <protection locked="0"/>
    </xf>
    <xf numFmtId="14" fontId="37" fillId="0" borderId="30" xfId="10" applyNumberFormat="1" applyFont="1" applyBorder="1" applyAlignment="1" applyProtection="1">
      <alignment horizontal="center" vertical="center"/>
      <protection locked="0"/>
    </xf>
    <xf numFmtId="0" fontId="39" fillId="0" borderId="62" xfId="0" applyFont="1" applyBorder="1" applyAlignment="1" applyProtection="1">
      <alignment horizontal="right" vertical="center" wrapText="1"/>
      <protection hidden="1"/>
    </xf>
    <xf numFmtId="14" fontId="37" fillId="0" borderId="63" xfId="10" applyNumberFormat="1" applyFont="1" applyBorder="1" applyAlignment="1" applyProtection="1">
      <alignment horizontal="center" vertical="center"/>
      <protection locked="0"/>
    </xf>
    <xf numFmtId="1" fontId="37" fillId="0" borderId="91" xfId="10" applyNumberFormat="1" applyFont="1" applyBorder="1" applyAlignment="1" applyProtection="1">
      <alignment horizontal="center" vertical="center"/>
      <protection locked="0"/>
    </xf>
    <xf numFmtId="14" fontId="37" fillId="0" borderId="88" xfId="10" applyNumberFormat="1" applyFont="1" applyBorder="1" applyAlignment="1" applyProtection="1">
      <alignment horizontal="center" vertical="center"/>
      <protection locked="0"/>
    </xf>
    <xf numFmtId="0" fontId="42" fillId="0" borderId="0" xfId="2" applyFont="1" applyBorder="1" applyAlignment="1" applyProtection="1">
      <alignment vertical="center"/>
      <protection hidden="1"/>
    </xf>
    <xf numFmtId="15" fontId="62" fillId="14" borderId="53" xfId="0" applyNumberFormat="1" applyFont="1" applyFill="1" applyBorder="1" applyAlignment="1">
      <alignment horizontal="center"/>
    </xf>
    <xf numFmtId="0" fontId="62" fillId="14" borderId="54" xfId="0" applyFont="1" applyFill="1" applyBorder="1" applyAlignment="1">
      <alignment horizontal="center"/>
    </xf>
    <xf numFmtId="0" fontId="62" fillId="14" borderId="54" xfId="0" applyFont="1" applyFill="1" applyBorder="1" applyAlignment="1">
      <alignment horizontal="left"/>
    </xf>
    <xf numFmtId="0" fontId="62" fillId="14" borderId="55" xfId="0" applyFont="1" applyFill="1" applyBorder="1" applyAlignment="1">
      <alignment horizontal="left"/>
    </xf>
    <xf numFmtId="17" fontId="27" fillId="5" borderId="25" xfId="0" applyNumberFormat="1" applyFont="1" applyFill="1" applyBorder="1" applyAlignment="1">
      <alignment horizontal="center" vertical="top"/>
    </xf>
    <xf numFmtId="0" fontId="27" fillId="5" borderId="20" xfId="0" applyFont="1" applyFill="1" applyBorder="1" applyAlignment="1">
      <alignment horizontal="center" vertical="top"/>
    </xf>
    <xf numFmtId="0" fontId="27" fillId="5" borderId="20" xfId="0" applyFont="1" applyFill="1" applyBorder="1" applyAlignment="1">
      <alignment horizontal="left" vertical="top" wrapText="1"/>
    </xf>
    <xf numFmtId="0" fontId="27" fillId="5" borderId="26" xfId="0" applyFont="1" applyFill="1" applyBorder="1" applyAlignment="1">
      <alignment horizontal="left" vertical="top"/>
    </xf>
    <xf numFmtId="17" fontId="27" fillId="5" borderId="19" xfId="0" applyNumberFormat="1" applyFont="1" applyFill="1" applyBorder="1" applyAlignment="1">
      <alignment horizontal="center" vertical="top"/>
    </xf>
    <xf numFmtId="0" fontId="27" fillId="5" borderId="1" xfId="0" applyFont="1" applyFill="1" applyBorder="1" applyAlignment="1">
      <alignment horizontal="center" vertical="top"/>
    </xf>
    <xf numFmtId="0" fontId="27" fillId="5" borderId="1" xfId="0" applyFont="1" applyFill="1" applyBorder="1" applyAlignment="1">
      <alignment horizontal="left" vertical="top" wrapText="1"/>
    </xf>
    <xf numFmtId="0" fontId="27" fillId="5" borderId="21" xfId="0" applyFont="1" applyFill="1" applyBorder="1" applyAlignment="1">
      <alignment horizontal="left" vertical="top"/>
    </xf>
    <xf numFmtId="0" fontId="27" fillId="5" borderId="1" xfId="0" applyFont="1" applyFill="1" applyBorder="1" applyAlignment="1">
      <alignment horizontal="left" wrapText="1"/>
    </xf>
    <xf numFmtId="17" fontId="5" fillId="5" borderId="25" xfId="0" applyNumberFormat="1" applyFont="1" applyFill="1" applyBorder="1" applyAlignment="1">
      <alignment horizontal="center" vertical="top"/>
    </xf>
    <xf numFmtId="0" fontId="27" fillId="5" borderId="27" xfId="0" applyFont="1" applyFill="1" applyBorder="1" applyAlignment="1">
      <alignment horizontal="left" vertical="top" wrapText="1"/>
    </xf>
    <xf numFmtId="0" fontId="5" fillId="5" borderId="20" xfId="0" applyFont="1" applyFill="1" applyBorder="1" applyAlignment="1">
      <alignment horizontal="center" vertical="top"/>
    </xf>
    <xf numFmtId="0" fontId="5" fillId="5" borderId="20" xfId="0" applyFont="1" applyFill="1" applyBorder="1" applyAlignment="1">
      <alignment vertical="top" wrapText="1"/>
    </xf>
    <xf numFmtId="0" fontId="27" fillId="5" borderId="26" xfId="0" applyFont="1" applyFill="1" applyBorder="1" applyAlignment="1">
      <alignment vertical="top"/>
    </xf>
    <xf numFmtId="17" fontId="5" fillId="5" borderId="19" xfId="0" applyNumberFormat="1" applyFont="1" applyFill="1" applyBorder="1" applyAlignment="1">
      <alignment horizontal="center" vertical="top"/>
    </xf>
    <xf numFmtId="0" fontId="5" fillId="5" borderId="1" xfId="0" applyFont="1" applyFill="1" applyBorder="1" applyAlignment="1">
      <alignment horizontal="center" vertical="top"/>
    </xf>
    <xf numFmtId="0" fontId="5" fillId="5" borderId="1" xfId="0" applyFont="1" applyFill="1" applyBorder="1" applyAlignment="1">
      <alignment vertical="top" wrapText="1"/>
    </xf>
    <xf numFmtId="0" fontId="27" fillId="5" borderId="21" xfId="0" applyFont="1" applyFill="1" applyBorder="1" applyAlignment="1">
      <alignment vertical="top"/>
    </xf>
    <xf numFmtId="17" fontId="5" fillId="5" borderId="22" xfId="0" applyNumberFormat="1" applyFont="1" applyFill="1" applyBorder="1" applyAlignment="1">
      <alignment horizontal="center" vertical="top"/>
    </xf>
    <xf numFmtId="0" fontId="5" fillId="5" borderId="23" xfId="0" applyFont="1" applyFill="1" applyBorder="1" applyAlignment="1">
      <alignment horizontal="center" vertical="top"/>
    </xf>
    <xf numFmtId="0" fontId="5" fillId="5" borderId="23" xfId="0" applyFont="1" applyFill="1" applyBorder="1" applyAlignment="1">
      <alignment vertical="top" wrapText="1"/>
    </xf>
    <xf numFmtId="0" fontId="27" fillId="5" borderId="24" xfId="0" applyFont="1" applyFill="1" applyBorder="1" applyAlignment="1">
      <alignment vertical="top"/>
    </xf>
    <xf numFmtId="0" fontId="18" fillId="0" borderId="0" xfId="2" applyFont="1" applyFill="1" applyAlignment="1" applyProtection="1">
      <alignment vertical="center"/>
    </xf>
    <xf numFmtId="0" fontId="18" fillId="14" borderId="14" xfId="2" applyFont="1" applyFill="1" applyBorder="1" applyAlignment="1" applyProtection="1">
      <alignment vertical="center"/>
    </xf>
    <xf numFmtId="0" fontId="13" fillId="14" borderId="12" xfId="0" applyFont="1" applyFill="1" applyBorder="1" applyAlignment="1">
      <alignment vertical="center"/>
    </xf>
    <xf numFmtId="0" fontId="13" fillId="14" borderId="17" xfId="0" applyFont="1" applyFill="1" applyBorder="1" applyAlignment="1">
      <alignment vertical="center"/>
    </xf>
    <xf numFmtId="0" fontId="18" fillId="0" borderId="0" xfId="2" applyFont="1" applyFill="1" applyAlignment="1" applyProtection="1"/>
    <xf numFmtId="0" fontId="27" fillId="0" borderId="50" xfId="4" applyFont="1" applyBorder="1" applyAlignment="1">
      <alignment horizontal="left" vertical="center"/>
    </xf>
    <xf numFmtId="169" fontId="27" fillId="0" borderId="31" xfId="0" applyNumberFormat="1" applyFont="1" applyBorder="1" applyAlignment="1">
      <alignment horizontal="center" vertical="center"/>
    </xf>
    <xf numFmtId="0" fontId="27" fillId="0" borderId="52" xfId="4" applyFont="1" applyBorder="1" applyAlignment="1">
      <alignment horizontal="left" vertical="center"/>
    </xf>
    <xf numFmtId="169" fontId="27" fillId="0" borderId="28" xfId="0" applyNumberFormat="1" applyFont="1" applyBorder="1" applyAlignment="1">
      <alignment horizontal="center" vertical="center"/>
    </xf>
    <xf numFmtId="0" fontId="5" fillId="0" borderId="51" xfId="0" applyFont="1" applyBorder="1" applyAlignment="1">
      <alignment horizontal="left" vertical="center"/>
    </xf>
    <xf numFmtId="0" fontId="27" fillId="0" borderId="51" xfId="4" applyFont="1" applyBorder="1" applyAlignment="1">
      <alignment horizontal="left" vertical="center"/>
    </xf>
    <xf numFmtId="169" fontId="27" fillId="0" borderId="28" xfId="4" applyNumberFormat="1" applyFont="1" applyBorder="1" applyAlignment="1">
      <alignment horizontal="center" vertical="center"/>
    </xf>
    <xf numFmtId="0" fontId="5" fillId="0" borderId="51" xfId="0" applyFont="1" applyBorder="1" applyAlignment="1">
      <alignment vertical="center"/>
    </xf>
    <xf numFmtId="0" fontId="5" fillId="0" borderId="15" xfId="0" applyFont="1" applyBorder="1" applyAlignment="1">
      <alignment vertical="center"/>
    </xf>
    <xf numFmtId="0" fontId="27" fillId="0" borderId="51" xfId="0" applyFont="1" applyBorder="1" applyAlignment="1">
      <alignment vertical="center"/>
    </xf>
    <xf numFmtId="169" fontId="27" fillId="0" borderId="29" xfId="4" applyNumberFormat="1" applyFont="1" applyBorder="1" applyAlignment="1">
      <alignment horizontal="center" vertical="center"/>
    </xf>
    <xf numFmtId="14" fontId="27" fillId="5" borderId="48" xfId="6" applyNumberFormat="1" applyFont="1" applyFill="1" applyBorder="1" applyAlignment="1">
      <alignment horizontal="left" vertical="center"/>
    </xf>
    <xf numFmtId="0" fontId="27" fillId="5" borderId="48" xfId="6" applyFont="1" applyFill="1" applyBorder="1" applyAlignment="1">
      <alignment horizontal="left" vertical="center"/>
    </xf>
    <xf numFmtId="0" fontId="27" fillId="5" borderId="32" xfId="6" applyFont="1" applyFill="1" applyBorder="1" applyAlignment="1">
      <alignment horizontal="left" vertical="center" wrapText="1"/>
    </xf>
    <xf numFmtId="0" fontId="27" fillId="5" borderId="34" xfId="6" applyFont="1" applyFill="1" applyBorder="1" applyAlignment="1">
      <alignment horizontal="left" vertical="center"/>
    </xf>
    <xf numFmtId="0" fontId="27" fillId="5" borderId="47" xfId="6" applyFont="1" applyFill="1" applyBorder="1" applyAlignment="1">
      <alignment horizontal="left" vertical="center"/>
    </xf>
    <xf numFmtId="0" fontId="27" fillId="5" borderId="33" xfId="6" applyFont="1" applyFill="1" applyBorder="1" applyAlignment="1">
      <alignment horizontal="left" vertical="center" wrapText="1"/>
    </xf>
    <xf numFmtId="0" fontId="35" fillId="5" borderId="8" xfId="0" applyFont="1" applyFill="1" applyBorder="1" applyAlignment="1">
      <alignment vertical="top" wrapText="1"/>
    </xf>
    <xf numFmtId="0" fontId="14" fillId="14" borderId="100" xfId="0" applyFont="1" applyFill="1" applyBorder="1" applyAlignment="1">
      <alignment vertical="top" wrapText="1"/>
    </xf>
    <xf numFmtId="0" fontId="14" fillId="14" borderId="101" xfId="0" applyFont="1" applyFill="1" applyBorder="1" applyAlignment="1">
      <alignment vertical="top" wrapText="1"/>
    </xf>
    <xf numFmtId="0" fontId="14" fillId="14" borderId="102" xfId="0" applyFont="1" applyFill="1" applyBorder="1" applyAlignment="1">
      <alignment vertical="top" wrapText="1"/>
    </xf>
    <xf numFmtId="164" fontId="65" fillId="14" borderId="14" xfId="1" applyNumberFormat="1" applyFont="1" applyFill="1" applyBorder="1" applyAlignment="1" applyProtection="1">
      <alignment horizontal="center" vertical="center" wrapText="1"/>
      <protection hidden="1"/>
    </xf>
    <xf numFmtId="0" fontId="5" fillId="14" borderId="14" xfId="0" applyFont="1" applyFill="1" applyBorder="1" applyAlignment="1">
      <alignment vertical="center"/>
    </xf>
    <xf numFmtId="0" fontId="5" fillId="14" borderId="12" xfId="0" applyFont="1" applyFill="1" applyBorder="1" applyAlignment="1">
      <alignment vertical="center"/>
    </xf>
    <xf numFmtId="0" fontId="5" fillId="14" borderId="17" xfId="0" applyFont="1" applyFill="1" applyBorder="1" applyAlignment="1">
      <alignment vertical="center"/>
    </xf>
    <xf numFmtId="171" fontId="5" fillId="5" borderId="5" xfId="1" applyNumberFormat="1" applyFont="1" applyFill="1" applyBorder="1" applyAlignment="1" applyProtection="1">
      <alignment horizontal="center" vertical="center" wrapText="1"/>
      <protection locked="0"/>
    </xf>
    <xf numFmtId="171" fontId="5" fillId="15" borderId="5" xfId="1" applyNumberFormat="1" applyFont="1" applyFill="1" applyBorder="1" applyAlignment="1" applyProtection="1">
      <alignment horizontal="center" vertical="center" wrapText="1"/>
      <protection hidden="1"/>
    </xf>
    <xf numFmtId="164" fontId="5" fillId="15" borderId="6" xfId="1" applyNumberFormat="1" applyFont="1" applyFill="1" applyBorder="1" applyAlignment="1" applyProtection="1">
      <alignment horizontal="center" vertical="center" wrapText="1"/>
      <protection hidden="1"/>
    </xf>
    <xf numFmtId="2" fontId="5" fillId="15" borderId="6" xfId="1" applyNumberFormat="1" applyFont="1" applyFill="1" applyBorder="1" applyAlignment="1" applyProtection="1">
      <alignment horizontal="center" vertical="center" wrapText="1"/>
      <protection hidden="1"/>
    </xf>
    <xf numFmtId="167" fontId="5" fillId="15" borderId="6" xfId="1" applyNumberFormat="1" applyFont="1" applyFill="1" applyBorder="1" applyAlignment="1" applyProtection="1">
      <alignment horizontal="right" vertical="center" wrapText="1" indent="1"/>
      <protection hidden="1"/>
    </xf>
    <xf numFmtId="43" fontId="5" fillId="15" borderId="6" xfId="1" applyFont="1" applyFill="1" applyBorder="1" applyAlignment="1" applyProtection="1">
      <alignment horizontal="right" vertical="center" wrapText="1" indent="1"/>
      <protection hidden="1"/>
    </xf>
    <xf numFmtId="43" fontId="5" fillId="15" borderId="6" xfId="1" applyFont="1" applyFill="1" applyBorder="1" applyAlignment="1" applyProtection="1">
      <alignment horizontal="left" vertical="center" wrapText="1"/>
      <protection hidden="1"/>
    </xf>
    <xf numFmtId="43" fontId="5" fillId="15" borderId="7" xfId="1" applyFont="1" applyFill="1" applyBorder="1" applyAlignment="1" applyProtection="1">
      <alignment horizontal="left" vertical="center" wrapText="1"/>
      <protection hidden="1"/>
    </xf>
    <xf numFmtId="0" fontId="35" fillId="15" borderId="7" xfId="0" applyFont="1" applyFill="1" applyBorder="1" applyAlignment="1" applyProtection="1">
      <alignment horizontal="center" vertical="center" wrapText="1"/>
      <protection hidden="1"/>
    </xf>
    <xf numFmtId="164" fontId="33" fillId="14" borderId="14" xfId="0" applyNumberFormat="1" applyFont="1" applyFill="1" applyBorder="1" applyAlignment="1">
      <alignment horizontal="center" vertical="center" wrapText="1"/>
    </xf>
    <xf numFmtId="164" fontId="33" fillId="14" borderId="12" xfId="0" applyNumberFormat="1" applyFont="1" applyFill="1" applyBorder="1" applyAlignment="1">
      <alignment horizontal="center" vertical="center" wrapText="1"/>
    </xf>
    <xf numFmtId="0" fontId="33" fillId="14" borderId="17" xfId="0" applyFont="1" applyFill="1" applyBorder="1" applyAlignment="1">
      <alignment horizontal="center" vertical="center"/>
    </xf>
    <xf numFmtId="165" fontId="33" fillId="14" borderId="14" xfId="1" applyNumberFormat="1" applyFont="1" applyFill="1" applyBorder="1" applyAlignment="1">
      <alignment horizontal="center" vertical="center" wrapText="1"/>
    </xf>
    <xf numFmtId="165" fontId="33" fillId="14" borderId="17" xfId="1" applyNumberFormat="1" applyFont="1" applyFill="1" applyBorder="1" applyAlignment="1">
      <alignment horizontal="center" vertical="center" wrapText="1"/>
    </xf>
    <xf numFmtId="9" fontId="35" fillId="0" borderId="15" xfId="5" applyFont="1" applyBorder="1" applyAlignment="1" applyProtection="1">
      <alignment horizontal="center" vertical="center" wrapText="1"/>
      <protection hidden="1"/>
    </xf>
    <xf numFmtId="166" fontId="5" fillId="0" borderId="35" xfId="0" applyNumberFormat="1" applyFont="1" applyBorder="1" applyAlignment="1" applyProtection="1">
      <alignment horizontal="center" vertical="center" wrapText="1"/>
      <protection locked="0"/>
    </xf>
    <xf numFmtId="49" fontId="5" fillId="0" borderId="35" xfId="0" applyNumberFormat="1" applyFont="1" applyBorder="1" applyAlignment="1" applyProtection="1">
      <alignment horizontal="left" vertical="center" wrapText="1"/>
      <protection locked="0"/>
    </xf>
    <xf numFmtId="1" fontId="5" fillId="0" borderId="35" xfId="0" applyNumberFormat="1" applyFont="1" applyBorder="1" applyAlignment="1" applyProtection="1">
      <alignment horizontal="center" vertical="center" wrapText="1"/>
      <protection locked="0"/>
    </xf>
    <xf numFmtId="14" fontId="37" fillId="0" borderId="106" xfId="10" applyNumberFormat="1" applyFont="1" applyBorder="1" applyAlignment="1" applyProtection="1">
      <alignment horizontal="center" vertical="center"/>
      <protection locked="0"/>
    </xf>
    <xf numFmtId="1" fontId="37" fillId="0" borderId="107" xfId="10" applyNumberFormat="1" applyFont="1" applyBorder="1" applyAlignment="1" applyProtection="1">
      <alignment horizontal="center" vertical="center"/>
      <protection locked="0"/>
    </xf>
    <xf numFmtId="14" fontId="37" fillId="0" borderId="108" xfId="10" applyNumberFormat="1" applyFont="1" applyBorder="1" applyAlignment="1" applyProtection="1">
      <alignment horizontal="center" vertical="center"/>
      <protection locked="0"/>
    </xf>
    <xf numFmtId="14" fontId="37" fillId="0" borderId="109" xfId="10" applyNumberFormat="1" applyFont="1" applyBorder="1" applyAlignment="1" applyProtection="1">
      <alignment horizontal="center" vertical="center"/>
      <protection locked="0"/>
    </xf>
    <xf numFmtId="1" fontId="37" fillId="0" borderId="110" xfId="10" applyNumberFormat="1" applyFont="1" applyBorder="1" applyAlignment="1" applyProtection="1">
      <alignment horizontal="center" vertical="center"/>
      <protection locked="0"/>
    </xf>
    <xf numFmtId="14" fontId="37" fillId="0" borderId="112" xfId="10" applyNumberFormat="1" applyFont="1" applyBorder="1" applyAlignment="1" applyProtection="1">
      <alignment horizontal="center" vertical="center"/>
      <protection locked="0"/>
    </xf>
    <xf numFmtId="14" fontId="37" fillId="0" borderId="113" xfId="10" applyNumberFormat="1" applyFont="1" applyBorder="1" applyAlignment="1" applyProtection="1">
      <alignment horizontal="center" vertical="center"/>
      <protection locked="0"/>
    </xf>
    <xf numFmtId="1" fontId="37" fillId="0" borderId="114" xfId="10" applyNumberFormat="1" applyFont="1" applyBorder="1" applyAlignment="1" applyProtection="1">
      <alignment horizontal="center" vertical="center"/>
      <protection locked="0"/>
    </xf>
    <xf numFmtId="0" fontId="5" fillId="5" borderId="12" xfId="0" applyFont="1" applyFill="1" applyBorder="1"/>
    <xf numFmtId="0" fontId="5" fillId="5" borderId="17" xfId="0" applyFont="1" applyFill="1" applyBorder="1"/>
    <xf numFmtId="0" fontId="38" fillId="0" borderId="14" xfId="0" applyFont="1" applyBorder="1" applyAlignment="1">
      <alignment horizontal="left" vertical="center"/>
    </xf>
    <xf numFmtId="0" fontId="5" fillId="0" borderId="12" xfId="0" applyFont="1" applyBorder="1"/>
    <xf numFmtId="0" fontId="5" fillId="0" borderId="17" xfId="0" applyFont="1" applyBorder="1"/>
    <xf numFmtId="0" fontId="38" fillId="5" borderId="14" xfId="0" applyFont="1" applyFill="1" applyBorder="1" applyAlignment="1">
      <alignment horizontal="left" vertical="center"/>
    </xf>
    <xf numFmtId="0" fontId="21" fillId="0" borderId="0" xfId="18" applyFont="1" applyAlignment="1" applyProtection="1">
      <alignment vertical="center"/>
      <protection hidden="1"/>
    </xf>
    <xf numFmtId="0" fontId="26" fillId="0" borderId="0" xfId="18" applyFont="1" applyAlignment="1" applyProtection="1">
      <alignment vertical="center"/>
      <protection hidden="1"/>
    </xf>
    <xf numFmtId="0" fontId="16" fillId="0" borderId="0" xfId="18" applyFont="1" applyAlignment="1" applyProtection="1">
      <alignment vertical="center"/>
      <protection hidden="1"/>
    </xf>
    <xf numFmtId="0" fontId="26" fillId="0" borderId="80" xfId="18" applyFont="1" applyBorder="1" applyAlignment="1" applyProtection="1">
      <alignment vertical="center"/>
      <protection hidden="1"/>
    </xf>
    <xf numFmtId="0" fontId="21" fillId="0" borderId="81" xfId="18" applyFont="1" applyBorder="1" applyAlignment="1" applyProtection="1">
      <alignment vertical="center"/>
      <protection hidden="1"/>
    </xf>
    <xf numFmtId="0" fontId="21" fillId="0" borderId="82" xfId="18" applyFont="1" applyBorder="1" applyAlignment="1" applyProtection="1">
      <alignment vertical="center"/>
      <protection hidden="1"/>
    </xf>
    <xf numFmtId="0" fontId="26" fillId="0" borderId="83" xfId="18" applyFont="1" applyBorder="1" applyAlignment="1" applyProtection="1">
      <alignment vertical="center"/>
      <protection hidden="1"/>
    </xf>
    <xf numFmtId="0" fontId="21" fillId="0" borderId="84" xfId="18" applyFont="1" applyBorder="1" applyAlignment="1" applyProtection="1">
      <alignment vertical="center"/>
      <protection hidden="1"/>
    </xf>
    <xf numFmtId="0" fontId="26" fillId="5" borderId="83" xfId="18" applyFont="1" applyFill="1" applyBorder="1" applyAlignment="1" applyProtection="1">
      <alignment vertical="center"/>
      <protection hidden="1"/>
    </xf>
    <xf numFmtId="0" fontId="21" fillId="5" borderId="0" xfId="18" applyFont="1" applyFill="1" applyAlignment="1" applyProtection="1">
      <alignment vertical="center"/>
      <protection hidden="1"/>
    </xf>
    <xf numFmtId="0" fontId="21" fillId="5" borderId="84" xfId="18" applyFont="1" applyFill="1" applyBorder="1" applyAlignment="1" applyProtection="1">
      <alignment vertical="center"/>
      <protection hidden="1"/>
    </xf>
    <xf numFmtId="0" fontId="39" fillId="0" borderId="83" xfId="18" applyFont="1" applyBorder="1" applyAlignment="1" applyProtection="1">
      <alignment vertical="center"/>
      <protection hidden="1"/>
    </xf>
    <xf numFmtId="0" fontId="67" fillId="0" borderId="83" xfId="18" applyFont="1" applyBorder="1" applyAlignment="1" applyProtection="1">
      <alignment vertical="center"/>
      <protection hidden="1"/>
    </xf>
    <xf numFmtId="0" fontId="39" fillId="0" borderId="0" xfId="18" applyFont="1" applyAlignment="1" applyProtection="1">
      <alignment vertical="center"/>
      <protection hidden="1"/>
    </xf>
    <xf numFmtId="0" fontId="5" fillId="0" borderId="83" xfId="18" applyFont="1" applyBorder="1" applyAlignment="1" applyProtection="1">
      <alignment vertical="center"/>
      <protection hidden="1"/>
    </xf>
    <xf numFmtId="0" fontId="35" fillId="0" borderId="83" xfId="18" applyFont="1" applyBorder="1" applyAlignment="1" applyProtection="1">
      <alignment vertical="center"/>
      <protection hidden="1"/>
    </xf>
    <xf numFmtId="0" fontId="5" fillId="0" borderId="0" xfId="18" applyFont="1" applyAlignment="1" applyProtection="1">
      <alignment vertical="center"/>
      <protection hidden="1"/>
    </xf>
    <xf numFmtId="0" fontId="21" fillId="0" borderId="0" xfId="18" applyFont="1" applyAlignment="1" applyProtection="1">
      <alignment vertical="center" wrapText="1"/>
      <protection hidden="1"/>
    </xf>
    <xf numFmtId="0" fontId="27" fillId="0" borderId="83" xfId="17" applyFont="1" applyBorder="1" applyAlignment="1" applyProtection="1">
      <alignment vertical="center" wrapText="1"/>
      <protection hidden="1"/>
    </xf>
    <xf numFmtId="0" fontId="47" fillId="0" borderId="0" xfId="17" applyFont="1" applyAlignment="1" applyProtection="1">
      <alignment horizontal="center" vertical="center" wrapText="1"/>
      <protection hidden="1"/>
    </xf>
    <xf numFmtId="0" fontId="27" fillId="0" borderId="0" xfId="17" applyFont="1" applyAlignment="1" applyProtection="1">
      <alignment horizontal="left" vertical="top" wrapText="1"/>
      <protection hidden="1"/>
    </xf>
    <xf numFmtId="0" fontId="5" fillId="0" borderId="0" xfId="18" applyFont="1" applyAlignment="1" applyProtection="1">
      <alignment horizontal="left" vertical="top"/>
      <protection hidden="1"/>
    </xf>
    <xf numFmtId="0" fontId="5" fillId="0" borderId="84" xfId="18" applyFont="1" applyBorder="1" applyAlignment="1" applyProtection="1">
      <alignment horizontal="left" vertical="top"/>
      <protection hidden="1"/>
    </xf>
    <xf numFmtId="0" fontId="16" fillId="0" borderId="0" xfId="18" applyFont="1" applyAlignment="1" applyProtection="1">
      <alignment vertical="center" wrapText="1"/>
      <protection hidden="1"/>
    </xf>
    <xf numFmtId="0" fontId="27" fillId="0" borderId="0" xfId="17" applyFont="1" applyAlignment="1" applyProtection="1">
      <alignment vertical="center" wrapText="1"/>
      <protection hidden="1"/>
    </xf>
    <xf numFmtId="0" fontId="5" fillId="0" borderId="84" xfId="18" applyFont="1" applyBorder="1" applyAlignment="1" applyProtection="1">
      <alignment vertical="center"/>
      <protection hidden="1"/>
    </xf>
    <xf numFmtId="0" fontId="27" fillId="0" borderId="0" xfId="17" applyFont="1" applyAlignment="1" applyProtection="1">
      <alignment vertical="top" wrapText="1"/>
      <protection hidden="1"/>
    </xf>
    <xf numFmtId="0" fontId="5" fillId="0" borderId="0" xfId="18" applyFont="1" applyAlignment="1" applyProtection="1">
      <alignment vertical="top"/>
      <protection hidden="1"/>
    </xf>
    <xf numFmtId="0" fontId="5" fillId="0" borderId="84" xfId="18" applyFont="1" applyBorder="1" applyAlignment="1" applyProtection="1">
      <alignment vertical="top"/>
      <protection hidden="1"/>
    </xf>
    <xf numFmtId="0" fontId="21" fillId="0" borderId="0" xfId="18" applyFont="1" applyAlignment="1" applyProtection="1">
      <alignment vertical="top"/>
      <protection hidden="1"/>
    </xf>
    <xf numFmtId="0" fontId="21" fillId="0" borderId="84" xfId="18" applyFont="1" applyBorder="1" applyAlignment="1" applyProtection="1">
      <alignment vertical="top"/>
      <protection hidden="1"/>
    </xf>
    <xf numFmtId="0" fontId="36" fillId="16" borderId="97" xfId="17" applyFont="1" applyFill="1" applyBorder="1" applyAlignment="1" applyProtection="1">
      <alignment vertical="top" wrapText="1"/>
      <protection hidden="1"/>
    </xf>
    <xf numFmtId="0" fontId="68" fillId="0" borderId="83" xfId="18" applyFont="1" applyBorder="1" applyAlignment="1" applyProtection="1">
      <alignment horizontal="left" vertical="center"/>
      <protection hidden="1"/>
    </xf>
    <xf numFmtId="0" fontId="68" fillId="0" borderId="0" xfId="18" applyFont="1" applyAlignment="1" applyProtection="1">
      <alignment horizontal="left" vertical="center"/>
      <protection hidden="1"/>
    </xf>
    <xf numFmtId="0" fontId="68" fillId="0" borderId="84" xfId="18" applyFont="1" applyBorder="1" applyAlignment="1" applyProtection="1">
      <alignment horizontal="left" vertical="center"/>
      <protection hidden="1"/>
    </xf>
    <xf numFmtId="0" fontId="69" fillId="0" borderId="0" xfId="18" applyFont="1" applyAlignment="1" applyProtection="1">
      <alignment horizontal="left" vertical="center"/>
      <protection hidden="1"/>
    </xf>
    <xf numFmtId="0" fontId="39" fillId="0" borderId="83" xfId="18" applyFont="1" applyBorder="1" applyAlignment="1" applyProtection="1">
      <alignment horizontal="left" vertical="center"/>
      <protection hidden="1"/>
    </xf>
    <xf numFmtId="0" fontId="70" fillId="0" borderId="0" xfId="18" applyFont="1" applyAlignment="1" applyProtection="1">
      <alignment horizontal="left" vertical="center"/>
      <protection hidden="1"/>
    </xf>
    <xf numFmtId="0" fontId="70" fillId="0" borderId="84" xfId="18" applyFont="1" applyBorder="1" applyAlignment="1" applyProtection="1">
      <alignment horizontal="left" vertical="center"/>
      <protection hidden="1"/>
    </xf>
    <xf numFmtId="0" fontId="72" fillId="0" borderId="0" xfId="18" applyFont="1" applyAlignment="1" applyProtection="1">
      <alignment vertical="center"/>
      <protection hidden="1"/>
    </xf>
    <xf numFmtId="0" fontId="73" fillId="0" borderId="0" xfId="18" applyFont="1" applyAlignment="1" applyProtection="1">
      <alignment horizontal="center" vertical="center"/>
      <protection hidden="1"/>
    </xf>
    <xf numFmtId="9" fontId="73" fillId="0" borderId="0" xfId="19" applyFont="1" applyBorder="1" applyAlignment="1" applyProtection="1">
      <alignment horizontal="center" vertical="center"/>
      <protection hidden="1"/>
    </xf>
    <xf numFmtId="9" fontId="73" fillId="0" borderId="84" xfId="19" applyFont="1" applyBorder="1" applyAlignment="1" applyProtection="1">
      <alignment horizontal="center" vertical="center"/>
      <protection hidden="1"/>
    </xf>
    <xf numFmtId="0" fontId="74" fillId="0" borderId="0" xfId="18" applyFont="1" applyAlignment="1" applyProtection="1">
      <alignment vertical="center"/>
      <protection hidden="1"/>
    </xf>
    <xf numFmtId="9" fontId="74" fillId="0" borderId="0" xfId="18" applyNumberFormat="1" applyFont="1" applyAlignment="1" applyProtection="1">
      <alignment vertical="center"/>
      <protection hidden="1"/>
    </xf>
    <xf numFmtId="0" fontId="26" fillId="0" borderId="96" xfId="18" applyFont="1" applyBorder="1" applyAlignment="1" applyProtection="1">
      <alignment vertical="center"/>
      <protection hidden="1"/>
    </xf>
    <xf numFmtId="0" fontId="21" fillId="0" borderId="48" xfId="18" applyFont="1" applyBorder="1" applyAlignment="1" applyProtection="1">
      <alignment vertical="center"/>
      <protection hidden="1"/>
    </xf>
    <xf numFmtId="0" fontId="73" fillId="0" borderId="48" xfId="18" applyFont="1" applyBorder="1" applyAlignment="1" applyProtection="1">
      <alignment horizontal="center" vertical="center"/>
      <protection hidden="1"/>
    </xf>
    <xf numFmtId="9" fontId="73" fillId="0" borderId="48" xfId="19" applyFont="1" applyBorder="1" applyAlignment="1" applyProtection="1">
      <alignment horizontal="center" vertical="center"/>
      <protection hidden="1"/>
    </xf>
    <xf numFmtId="9" fontId="73" fillId="0" borderId="95" xfId="19" applyFont="1" applyBorder="1" applyAlignment="1" applyProtection="1">
      <alignment horizontal="center" vertical="center"/>
      <protection hidden="1"/>
    </xf>
    <xf numFmtId="0" fontId="35" fillId="0" borderId="83" xfId="18" applyFont="1" applyBorder="1" applyAlignment="1" applyProtection="1">
      <alignment vertical="top"/>
      <protection hidden="1"/>
    </xf>
    <xf numFmtId="0" fontId="47" fillId="0" borderId="83" xfId="17" applyFont="1" applyBorder="1" applyAlignment="1" applyProtection="1">
      <alignment horizontal="left" vertical="top" wrapText="1"/>
      <protection hidden="1"/>
    </xf>
    <xf numFmtId="0" fontId="35" fillId="0" borderId="0" xfId="18" applyFont="1" applyAlignment="1" applyProtection="1">
      <alignment horizontal="center" vertical="center"/>
      <protection hidden="1"/>
    </xf>
    <xf numFmtId="0" fontId="21" fillId="0" borderId="0" xfId="18" applyFont="1" applyAlignment="1" applyProtection="1">
      <alignment horizontal="left" vertical="top"/>
      <protection hidden="1"/>
    </xf>
    <xf numFmtId="0" fontId="21" fillId="0" borderId="84" xfId="18" applyFont="1" applyBorder="1" applyAlignment="1" applyProtection="1">
      <alignment horizontal="left" vertical="top"/>
      <protection hidden="1"/>
    </xf>
    <xf numFmtId="0" fontId="47" fillId="0" borderId="97" xfId="17" applyFont="1" applyBorder="1" applyAlignment="1" applyProtection="1">
      <alignment vertical="top" wrapText="1"/>
      <protection hidden="1"/>
    </xf>
    <xf numFmtId="1" fontId="35" fillId="0" borderId="1" xfId="18" applyNumberFormat="1" applyFont="1" applyBorder="1" applyAlignment="1" applyProtection="1">
      <alignment horizontal="center" vertical="center"/>
      <protection hidden="1"/>
    </xf>
    <xf numFmtId="0" fontId="75" fillId="0" borderId="0" xfId="18" applyFont="1" applyAlignment="1" applyProtection="1">
      <alignment vertical="center"/>
      <protection hidden="1"/>
    </xf>
    <xf numFmtId="0" fontId="75" fillId="0" borderId="84" xfId="18" applyFont="1" applyBorder="1" applyAlignment="1" applyProtection="1">
      <alignment vertical="center"/>
      <protection hidden="1"/>
    </xf>
    <xf numFmtId="0" fontId="76" fillId="0" borderId="83" xfId="17" applyFont="1" applyBorder="1" applyAlignment="1" applyProtection="1">
      <alignment vertical="center" wrapText="1"/>
      <protection hidden="1"/>
    </xf>
    <xf numFmtId="0" fontId="76" fillId="5" borderId="0" xfId="17" applyFont="1" applyFill="1" applyAlignment="1" applyProtection="1">
      <alignment horizontal="center" vertical="center" wrapText="1"/>
      <protection hidden="1"/>
    </xf>
    <xf numFmtId="0" fontId="76" fillId="5" borderId="0" xfId="17" applyFont="1" applyFill="1" applyAlignment="1" applyProtection="1">
      <alignment vertical="center" wrapText="1"/>
      <protection hidden="1"/>
    </xf>
    <xf numFmtId="0" fontId="77" fillId="0" borderId="0" xfId="18" applyFont="1" applyAlignment="1" applyProtection="1">
      <alignment vertical="center"/>
      <protection hidden="1"/>
    </xf>
    <xf numFmtId="0" fontId="32" fillId="0" borderId="0" xfId="18" applyFont="1" applyAlignment="1" applyProtection="1">
      <alignment vertical="center"/>
      <protection hidden="1"/>
    </xf>
    <xf numFmtId="49" fontId="5" fillId="0" borderId="0" xfId="18" applyNumberFormat="1" applyFont="1" applyAlignment="1" applyProtection="1">
      <alignment vertical="center" wrapText="1"/>
      <protection hidden="1"/>
    </xf>
    <xf numFmtId="0" fontId="5" fillId="0" borderId="27" xfId="18" applyFont="1" applyBorder="1" applyAlignment="1" applyProtection="1">
      <alignment vertical="center" wrapText="1"/>
      <protection hidden="1"/>
    </xf>
    <xf numFmtId="0" fontId="5" fillId="0" borderId="48" xfId="18" applyFont="1" applyBorder="1" applyAlignment="1" applyProtection="1">
      <alignment vertical="center" wrapText="1"/>
      <protection hidden="1"/>
    </xf>
    <xf numFmtId="0" fontId="5" fillId="0" borderId="84" xfId="18" applyFont="1" applyBorder="1" applyAlignment="1" applyProtection="1">
      <alignment horizontal="right" vertical="center"/>
      <protection hidden="1"/>
    </xf>
    <xf numFmtId="0" fontId="26" fillId="14" borderId="100" xfId="18" applyFont="1" applyFill="1" applyBorder="1" applyAlignment="1" applyProtection="1">
      <alignment vertical="center"/>
      <protection hidden="1"/>
    </xf>
    <xf numFmtId="0" fontId="21" fillId="14" borderId="101" xfId="18" applyFont="1" applyFill="1" applyBorder="1" applyAlignment="1" applyProtection="1">
      <alignment vertical="center"/>
      <protection hidden="1"/>
    </xf>
    <xf numFmtId="0" fontId="21" fillId="14" borderId="102" xfId="18" applyFont="1" applyFill="1" applyBorder="1" applyAlignment="1" applyProtection="1">
      <alignment vertical="center"/>
      <protection hidden="1"/>
    </xf>
    <xf numFmtId="0" fontId="77" fillId="0" borderId="57" xfId="0" applyFont="1" applyBorder="1" applyAlignment="1" applyProtection="1">
      <alignment horizontal="left" vertical="center" wrapText="1"/>
      <protection locked="0"/>
    </xf>
    <xf numFmtId="0" fontId="5" fillId="0" borderId="0" xfId="18" applyFont="1" applyAlignment="1" applyProtection="1">
      <alignment vertical="center" wrapText="1"/>
      <protection hidden="1"/>
    </xf>
    <xf numFmtId="0" fontId="5" fillId="0" borderId="0" xfId="18" applyFont="1" applyAlignment="1" applyProtection="1">
      <alignment horizontal="left" vertical="center"/>
      <protection hidden="1"/>
    </xf>
    <xf numFmtId="0" fontId="16" fillId="18" borderId="0" xfId="0" applyFont="1" applyFill="1"/>
    <xf numFmtId="0" fontId="21" fillId="5" borderId="0" xfId="0" applyFont="1" applyFill="1" applyAlignment="1">
      <alignment horizontal="left" vertical="top" wrapText="1"/>
    </xf>
    <xf numFmtId="0" fontId="5" fillId="0" borderId="0" xfId="0" applyFont="1"/>
    <xf numFmtId="0" fontId="33" fillId="14" borderId="14" xfId="0" applyFont="1" applyFill="1" applyBorder="1" applyAlignment="1">
      <alignment horizontal="center" vertical="center" wrapText="1"/>
    </xf>
    <xf numFmtId="0" fontId="33" fillId="14" borderId="38" xfId="0" applyFont="1" applyFill="1" applyBorder="1" applyAlignment="1">
      <alignment horizontal="center" vertical="center"/>
    </xf>
    <xf numFmtId="0" fontId="5" fillId="0" borderId="0" xfId="0" applyFont="1" applyAlignment="1">
      <alignment vertical="center"/>
    </xf>
    <xf numFmtId="0" fontId="36" fillId="0" borderId="0" xfId="0" applyFont="1" applyAlignment="1">
      <alignment vertical="center"/>
    </xf>
    <xf numFmtId="0" fontId="5" fillId="0" borderId="0" xfId="0" applyFont="1" applyAlignment="1">
      <alignment horizontal="center" vertical="center" wrapText="1"/>
    </xf>
    <xf numFmtId="2" fontId="5" fillId="0" borderId="0" xfId="0" applyNumberFormat="1" applyFont="1" applyAlignment="1">
      <alignment horizontal="center" vertical="center" wrapText="1"/>
    </xf>
    <xf numFmtId="2" fontId="5" fillId="0" borderId="0" xfId="0" applyNumberFormat="1" applyFont="1" applyAlignment="1">
      <alignment horizontal="left" vertical="center" wrapText="1"/>
    </xf>
    <xf numFmtId="170" fontId="5" fillId="0" borderId="0" xfId="1" applyNumberFormat="1" applyFont="1" applyBorder="1" applyAlignment="1" applyProtection="1">
      <alignment horizontal="center" vertical="center" wrapText="1"/>
    </xf>
    <xf numFmtId="0" fontId="5" fillId="5" borderId="0" xfId="0" applyFont="1" applyFill="1" applyAlignment="1">
      <alignment horizontal="center" vertical="center" wrapText="1"/>
    </xf>
    <xf numFmtId="2" fontId="5" fillId="5" borderId="0" xfId="0" applyNumberFormat="1" applyFont="1" applyFill="1" applyAlignment="1">
      <alignment horizontal="center" vertical="center" wrapText="1"/>
    </xf>
    <xf numFmtId="2" fontId="5" fillId="5" borderId="0" xfId="0" applyNumberFormat="1" applyFont="1" applyFill="1" applyAlignment="1">
      <alignment horizontal="left" vertical="center" wrapText="1"/>
    </xf>
    <xf numFmtId="170" fontId="5" fillId="5" borderId="0" xfId="1" applyNumberFormat="1" applyFont="1" applyFill="1" applyBorder="1" applyAlignment="1" applyProtection="1">
      <alignment horizontal="center" vertical="center" wrapText="1"/>
    </xf>
    <xf numFmtId="9" fontId="5" fillId="5" borderId="0" xfId="1" applyNumberFormat="1" applyFont="1" applyFill="1" applyBorder="1" applyAlignment="1" applyProtection="1">
      <alignment horizontal="center" vertical="center" wrapText="1"/>
    </xf>
    <xf numFmtId="0" fontId="5" fillId="0" borderId="11" xfId="0" applyFont="1" applyBorder="1" applyAlignment="1">
      <alignment horizontal="center" vertical="center"/>
    </xf>
    <xf numFmtId="0" fontId="5" fillId="0" borderId="0" xfId="0" applyFont="1" applyAlignment="1">
      <alignment horizontal="center" vertical="center"/>
    </xf>
    <xf numFmtId="0" fontId="53" fillId="0" borderId="0" xfId="0" applyFont="1" applyAlignment="1">
      <alignment horizontal="left" vertical="top" wrapText="1"/>
    </xf>
    <xf numFmtId="0" fontId="5" fillId="5" borderId="0" xfId="0" applyFont="1" applyFill="1" applyAlignment="1">
      <alignment vertical="center"/>
    </xf>
    <xf numFmtId="166" fontId="50" fillId="5" borderId="6" xfId="0" applyNumberFormat="1" applyFont="1" applyFill="1" applyBorder="1" applyAlignment="1">
      <alignment horizontal="center"/>
    </xf>
    <xf numFmtId="0" fontId="50" fillId="5" borderId="6" xfId="0" applyFont="1" applyFill="1" applyBorder="1" applyAlignment="1">
      <alignment horizontal="left" wrapText="1"/>
    </xf>
    <xf numFmtId="1" fontId="50" fillId="5" borderId="6" xfId="0" applyNumberFormat="1" applyFont="1" applyFill="1" applyBorder="1" applyAlignment="1">
      <alignment horizontal="center"/>
    </xf>
    <xf numFmtId="0" fontId="50" fillId="5" borderId="6" xfId="0" applyFont="1" applyFill="1" applyBorder="1" applyAlignment="1">
      <alignment horizontal="left"/>
    </xf>
    <xf numFmtId="5" fontId="50" fillId="5" borderId="6" xfId="1" applyNumberFormat="1" applyFont="1" applyFill="1" applyBorder="1" applyProtection="1"/>
    <xf numFmtId="166" fontId="48" fillId="5" borderId="15" xfId="0" applyNumberFormat="1" applyFont="1" applyFill="1" applyBorder="1"/>
    <xf numFmtId="5" fontId="5" fillId="5" borderId="0" xfId="1" applyNumberFormat="1" applyFont="1" applyFill="1" applyBorder="1" applyAlignment="1" applyProtection="1">
      <alignment vertical="center"/>
    </xf>
    <xf numFmtId="0" fontId="27" fillId="5" borderId="6" xfId="0" applyFont="1" applyFill="1" applyBorder="1"/>
    <xf numFmtId="0" fontId="27" fillId="5" borderId="6" xfId="0" applyFont="1" applyFill="1" applyBorder="1" applyAlignment="1">
      <alignment horizontal="left"/>
    </xf>
    <xf numFmtId="5" fontId="35" fillId="0" borderId="0" xfId="1" applyNumberFormat="1" applyFont="1" applyBorder="1" applyAlignment="1" applyProtection="1">
      <alignment horizontal="center" vertical="center" wrapText="1"/>
    </xf>
    <xf numFmtId="0" fontId="13" fillId="7" borderId="0" xfId="0" applyFont="1" applyFill="1" applyProtection="1">
      <protection hidden="1"/>
    </xf>
    <xf numFmtId="15" fontId="13" fillId="7" borderId="0" xfId="0" applyNumberFormat="1" applyFont="1" applyFill="1" applyAlignment="1" applyProtection="1">
      <alignment horizontal="center"/>
      <protection hidden="1"/>
    </xf>
    <xf numFmtId="0" fontId="15" fillId="7" borderId="0" xfId="0" applyFont="1" applyFill="1" applyAlignment="1" applyProtection="1">
      <alignment vertical="top"/>
      <protection hidden="1"/>
    </xf>
    <xf numFmtId="0" fontId="13" fillId="7" borderId="0" xfId="0" applyFont="1" applyFill="1" applyAlignment="1" applyProtection="1">
      <alignment vertical="top"/>
      <protection hidden="1"/>
    </xf>
    <xf numFmtId="0" fontId="13" fillId="7" borderId="0" xfId="0" applyFont="1" applyFill="1" applyAlignment="1" applyProtection="1">
      <alignment horizontal="center" vertical="top"/>
      <protection hidden="1"/>
    </xf>
    <xf numFmtId="0" fontId="13" fillId="19" borderId="0" xfId="0" applyFont="1" applyFill="1" applyProtection="1">
      <protection hidden="1"/>
    </xf>
    <xf numFmtId="0" fontId="13" fillId="5" borderId="0" xfId="0" applyFont="1" applyFill="1" applyProtection="1">
      <protection hidden="1"/>
    </xf>
    <xf numFmtId="168" fontId="79" fillId="0" borderId="116" xfId="1" applyNumberFormat="1" applyFont="1" applyBorder="1" applyAlignment="1" applyProtection="1">
      <alignment horizontal="left" vertical="center" indent="1"/>
      <protection hidden="1"/>
    </xf>
    <xf numFmtId="0" fontId="80" fillId="0" borderId="117" xfId="0" applyFont="1" applyBorder="1" applyAlignment="1" applyProtection="1">
      <alignment horizontal="center" vertical="center"/>
      <protection hidden="1"/>
    </xf>
    <xf numFmtId="0" fontId="80" fillId="0" borderId="118" xfId="0" applyFont="1" applyBorder="1" applyAlignment="1" applyProtection="1">
      <alignment horizontal="left" vertical="center" indent="1"/>
      <protection hidden="1"/>
    </xf>
    <xf numFmtId="0" fontId="80" fillId="0" borderId="119" xfId="0" applyFont="1" applyBorder="1" applyAlignment="1" applyProtection="1">
      <alignment horizontal="left" vertical="center" indent="1"/>
      <protection hidden="1"/>
    </xf>
    <xf numFmtId="0" fontId="5" fillId="19" borderId="0" xfId="0" applyFont="1" applyFill="1" applyProtection="1">
      <protection hidden="1"/>
    </xf>
    <xf numFmtId="0" fontId="5" fillId="5" borderId="0" xfId="0" applyFont="1" applyFill="1" applyProtection="1">
      <protection hidden="1"/>
    </xf>
    <xf numFmtId="168" fontId="79" fillId="0" borderId="120" xfId="1" applyNumberFormat="1" applyFont="1" applyBorder="1" applyAlignment="1" applyProtection="1">
      <alignment horizontal="left" vertical="center" indent="1"/>
      <protection hidden="1"/>
    </xf>
    <xf numFmtId="0" fontId="80" fillId="0" borderId="121" xfId="0" applyFont="1" applyBorder="1" applyAlignment="1" applyProtection="1">
      <alignment horizontal="center" vertical="center"/>
      <protection hidden="1"/>
    </xf>
    <xf numFmtId="0" fontId="80" fillId="0" borderId="122" xfId="0" applyFont="1" applyBorder="1" applyAlignment="1" applyProtection="1">
      <alignment horizontal="left" vertical="center" indent="1"/>
      <protection hidden="1"/>
    </xf>
    <xf numFmtId="0" fontId="80" fillId="0" borderId="123" xfId="0" applyFont="1" applyBorder="1" applyAlignment="1" applyProtection="1">
      <alignment horizontal="left" vertical="center" indent="1"/>
      <protection hidden="1"/>
    </xf>
    <xf numFmtId="0" fontId="5" fillId="19" borderId="0" xfId="0" applyFont="1" applyFill="1" applyAlignment="1" applyProtection="1">
      <alignment horizontal="center"/>
      <protection hidden="1"/>
    </xf>
    <xf numFmtId="0" fontId="5" fillId="5" borderId="0" xfId="0" applyFont="1" applyFill="1" applyAlignment="1" applyProtection="1">
      <alignment horizontal="center"/>
      <protection hidden="1"/>
    </xf>
    <xf numFmtId="0" fontId="79" fillId="0" borderId="123" xfId="0" applyFont="1" applyBorder="1" applyAlignment="1" applyProtection="1">
      <alignment horizontal="left" vertical="center" indent="1"/>
      <protection hidden="1"/>
    </xf>
    <xf numFmtId="168" fontId="79" fillId="0" borderId="124" xfId="1" applyNumberFormat="1" applyFont="1" applyBorder="1" applyAlignment="1" applyProtection="1">
      <alignment horizontal="left" vertical="center" indent="1"/>
      <protection hidden="1"/>
    </xf>
    <xf numFmtId="0" fontId="80" fillId="0" borderId="125" xfId="0" applyFont="1" applyBorder="1" applyAlignment="1" applyProtection="1">
      <alignment horizontal="center" vertical="center"/>
      <protection hidden="1"/>
    </xf>
    <xf numFmtId="0" fontId="80" fillId="0" borderId="126" xfId="0" applyFont="1" applyBorder="1" applyAlignment="1" applyProtection="1">
      <alignment horizontal="left" vertical="center" indent="1"/>
      <protection hidden="1"/>
    </xf>
    <xf numFmtId="0" fontId="79" fillId="0" borderId="127" xfId="0" applyFont="1" applyBorder="1" applyAlignment="1" applyProtection="1">
      <alignment horizontal="left" vertical="center" indent="1"/>
      <protection hidden="1"/>
    </xf>
    <xf numFmtId="0" fontId="79" fillId="0" borderId="119" xfId="0" applyFont="1" applyBorder="1" applyAlignment="1" applyProtection="1">
      <alignment horizontal="left" vertical="center" indent="1"/>
      <protection hidden="1"/>
    </xf>
    <xf numFmtId="168" fontId="79" fillId="0" borderId="128" xfId="1" applyNumberFormat="1" applyFont="1" applyBorder="1" applyAlignment="1" applyProtection="1">
      <alignment horizontal="left" vertical="center" indent="1"/>
      <protection hidden="1"/>
    </xf>
    <xf numFmtId="0" fontId="80" fillId="0" borderId="129" xfId="0" applyFont="1" applyBorder="1" applyAlignment="1" applyProtection="1">
      <alignment horizontal="center" vertical="center"/>
      <protection hidden="1"/>
    </xf>
    <xf numFmtId="0" fontId="80" fillId="0" borderId="130" xfId="0" applyFont="1" applyBorder="1" applyAlignment="1" applyProtection="1">
      <alignment horizontal="left" vertical="center" indent="1"/>
      <protection hidden="1"/>
    </xf>
    <xf numFmtId="0" fontId="79" fillId="0" borderId="131" xfId="0" applyFont="1" applyBorder="1" applyAlignment="1" applyProtection="1">
      <alignment horizontal="left" vertical="center" indent="1"/>
      <protection hidden="1"/>
    </xf>
    <xf numFmtId="168" fontId="79" fillId="0" borderId="132" xfId="1" applyNumberFormat="1" applyFont="1" applyBorder="1" applyAlignment="1" applyProtection="1">
      <alignment horizontal="left" vertical="center" indent="1"/>
      <protection hidden="1"/>
    </xf>
    <xf numFmtId="0" fontId="80" fillId="0" borderId="133" xfId="0" applyFont="1" applyBorder="1" applyAlignment="1" applyProtection="1">
      <alignment horizontal="center" vertical="center"/>
      <protection hidden="1"/>
    </xf>
    <xf numFmtId="0" fontId="80" fillId="0" borderId="134" xfId="0" applyFont="1" applyBorder="1" applyAlignment="1" applyProtection="1">
      <alignment horizontal="left" vertical="center" indent="1"/>
      <protection hidden="1"/>
    </xf>
    <xf numFmtId="0" fontId="79" fillId="0" borderId="135" xfId="0" applyFont="1" applyBorder="1" applyAlignment="1" applyProtection="1">
      <alignment horizontal="left" vertical="center" indent="1"/>
      <protection hidden="1"/>
    </xf>
    <xf numFmtId="168" fontId="79" fillId="0" borderId="116" xfId="1" applyNumberFormat="1" applyFont="1" applyFill="1" applyBorder="1" applyAlignment="1" applyProtection="1">
      <alignment horizontal="left" vertical="center" indent="1"/>
      <protection hidden="1"/>
    </xf>
    <xf numFmtId="0" fontId="80" fillId="0" borderId="136" xfId="0" applyFont="1" applyBorder="1" applyAlignment="1" applyProtection="1">
      <alignment horizontal="center" vertical="center"/>
      <protection hidden="1"/>
    </xf>
    <xf numFmtId="0" fontId="80" fillId="0" borderId="137" xfId="0" applyFont="1" applyBorder="1" applyAlignment="1" applyProtection="1">
      <alignment horizontal="left" vertical="center" indent="1"/>
      <protection hidden="1"/>
    </xf>
    <xf numFmtId="0" fontId="80" fillId="0" borderId="138" xfId="0" applyFont="1" applyBorder="1" applyAlignment="1" applyProtection="1">
      <alignment horizontal="left" vertical="center" indent="1"/>
      <protection hidden="1"/>
    </xf>
    <xf numFmtId="0" fontId="80" fillId="0" borderId="117" xfId="0" applyFont="1" applyBorder="1" applyAlignment="1" applyProtection="1">
      <alignment horizontal="center" vertical="center" wrapText="1"/>
      <protection hidden="1"/>
    </xf>
    <xf numFmtId="0" fontId="80" fillId="0" borderId="118" xfId="0" applyFont="1" applyBorder="1" applyAlignment="1" applyProtection="1">
      <alignment horizontal="left" vertical="center" wrapText="1" indent="1"/>
      <protection hidden="1"/>
    </xf>
    <xf numFmtId="0" fontId="80" fillId="0" borderId="125" xfId="0" applyFont="1" applyBorder="1" applyAlignment="1" applyProtection="1">
      <alignment horizontal="center" vertical="center" wrapText="1"/>
      <protection hidden="1"/>
    </xf>
    <xf numFmtId="0" fontId="80" fillId="0" borderId="126" xfId="0" applyFont="1" applyBorder="1" applyAlignment="1" applyProtection="1">
      <alignment horizontal="left" vertical="center" wrapText="1" indent="1"/>
      <protection hidden="1"/>
    </xf>
    <xf numFmtId="0" fontId="80" fillId="0" borderId="121" xfId="0" applyFont="1" applyBorder="1" applyAlignment="1" applyProtection="1">
      <alignment horizontal="center" vertical="center" wrapText="1"/>
      <protection hidden="1"/>
    </xf>
    <xf numFmtId="0" fontId="80" fillId="0" borderId="122" xfId="0" applyFont="1" applyBorder="1" applyAlignment="1" applyProtection="1">
      <alignment horizontal="left" vertical="center" wrapText="1" indent="1"/>
      <protection hidden="1"/>
    </xf>
    <xf numFmtId="0" fontId="79" fillId="0" borderId="139" xfId="0" applyFont="1" applyBorder="1" applyAlignment="1" applyProtection="1">
      <alignment horizontal="left" vertical="center" indent="1"/>
      <protection hidden="1"/>
    </xf>
    <xf numFmtId="0" fontId="80" fillId="0" borderId="140" xfId="0" applyFont="1" applyBorder="1" applyAlignment="1" applyProtection="1">
      <alignment horizontal="center" vertical="center"/>
      <protection hidden="1"/>
    </xf>
    <xf numFmtId="168" fontId="79" fillId="20" borderId="120" xfId="1" applyNumberFormat="1" applyFont="1" applyFill="1" applyBorder="1" applyAlignment="1" applyProtection="1">
      <alignment horizontal="left" vertical="center" indent="1"/>
      <protection hidden="1"/>
    </xf>
    <xf numFmtId="0" fontId="80" fillId="20" borderId="122" xfId="0" applyFont="1" applyFill="1" applyBorder="1" applyAlignment="1" applyProtection="1">
      <alignment horizontal="left" vertical="center" indent="1"/>
      <protection hidden="1"/>
    </xf>
    <xf numFmtId="0" fontId="79" fillId="20" borderId="123" xfId="0" applyFont="1" applyFill="1" applyBorder="1" applyAlignment="1" applyProtection="1">
      <alignment horizontal="left" vertical="center" indent="1"/>
      <protection hidden="1"/>
    </xf>
    <xf numFmtId="168" fontId="79" fillId="20" borderId="128" xfId="1" applyNumberFormat="1" applyFont="1" applyFill="1" applyBorder="1" applyAlignment="1" applyProtection="1">
      <alignment horizontal="left" vertical="center" indent="1"/>
      <protection hidden="1"/>
    </xf>
    <xf numFmtId="0" fontId="80" fillId="20" borderId="130" xfId="0" applyFont="1" applyFill="1" applyBorder="1" applyAlignment="1" applyProtection="1">
      <alignment horizontal="left" vertical="center" indent="1"/>
      <protection hidden="1"/>
    </xf>
    <xf numFmtId="0" fontId="81" fillId="20" borderId="123" xfId="0" applyFont="1" applyFill="1" applyBorder="1" applyAlignment="1" applyProtection="1">
      <alignment horizontal="left" indent="1"/>
      <protection hidden="1"/>
    </xf>
    <xf numFmtId="0" fontId="79" fillId="20" borderId="139" xfId="0" applyFont="1" applyFill="1" applyBorder="1" applyAlignment="1" applyProtection="1">
      <alignment horizontal="left" vertical="center" indent="1"/>
      <protection hidden="1"/>
    </xf>
    <xf numFmtId="0" fontId="80" fillId="0" borderId="126" xfId="0" applyFont="1" applyBorder="1" applyAlignment="1" applyProtection="1">
      <alignment horizontal="center" vertical="center"/>
      <protection hidden="1"/>
    </xf>
    <xf numFmtId="0" fontId="80" fillId="0" borderId="141" xfId="0" applyFont="1" applyBorder="1" applyAlignment="1" applyProtection="1">
      <alignment horizontal="center" vertical="center"/>
      <protection hidden="1"/>
    </xf>
    <xf numFmtId="0" fontId="80" fillId="5" borderId="122" xfId="0" applyFont="1" applyFill="1" applyBorder="1" applyAlignment="1" applyProtection="1">
      <alignment horizontal="left" vertical="center" indent="1"/>
      <protection hidden="1"/>
    </xf>
    <xf numFmtId="168" fontId="79" fillId="0" borderId="142" xfId="1" applyNumberFormat="1" applyFont="1" applyBorder="1" applyAlignment="1" applyProtection="1">
      <alignment horizontal="left" vertical="center" indent="1"/>
      <protection hidden="1"/>
    </xf>
    <xf numFmtId="0" fontId="80" fillId="0" borderId="141" xfId="0" applyFont="1" applyBorder="1" applyAlignment="1" applyProtection="1">
      <alignment horizontal="left" vertical="center" indent="1"/>
      <protection hidden="1"/>
    </xf>
    <xf numFmtId="0" fontId="79" fillId="0" borderId="143" xfId="0" applyFont="1" applyBorder="1" applyAlignment="1" applyProtection="1">
      <alignment horizontal="left" vertical="center" indent="1"/>
      <protection hidden="1"/>
    </xf>
    <xf numFmtId="0" fontId="79" fillId="0" borderId="127" xfId="0" applyFont="1" applyBorder="1" applyAlignment="1" applyProtection="1">
      <alignment horizontal="left" vertical="center" wrapText="1" indent="1"/>
      <protection hidden="1"/>
    </xf>
    <xf numFmtId="0" fontId="82" fillId="14" borderId="144" xfId="0" applyFont="1" applyFill="1" applyBorder="1" applyAlignment="1" applyProtection="1">
      <alignment horizontal="left" vertical="center" wrapText="1" indent="1"/>
      <protection hidden="1"/>
    </xf>
    <xf numFmtId="0" fontId="82" fillId="14" borderId="145" xfId="0" applyFont="1" applyFill="1" applyBorder="1" applyAlignment="1" applyProtection="1">
      <alignment horizontal="left" vertical="center" wrapText="1" indent="1"/>
      <protection hidden="1"/>
    </xf>
    <xf numFmtId="0" fontId="82" fillId="14" borderId="146" xfId="0" applyFont="1" applyFill="1" applyBorder="1" applyAlignment="1" applyProtection="1">
      <alignment horizontal="left" vertical="center" indent="1"/>
      <protection hidden="1"/>
    </xf>
    <xf numFmtId="0" fontId="82" fillId="14" borderId="147" xfId="0" applyFont="1" applyFill="1" applyBorder="1" applyAlignment="1" applyProtection="1">
      <alignment horizontal="left" vertical="center" indent="1"/>
      <protection hidden="1"/>
    </xf>
    <xf numFmtId="0" fontId="80" fillId="0" borderId="117" xfId="0" applyFont="1" applyBorder="1" applyAlignment="1" applyProtection="1">
      <alignment horizontal="left" vertical="center" indent="1"/>
      <protection hidden="1"/>
    </xf>
    <xf numFmtId="168" fontId="79" fillId="0" borderId="142" xfId="1" applyNumberFormat="1" applyFont="1" applyFill="1" applyBorder="1" applyAlignment="1" applyProtection="1">
      <alignment horizontal="left" vertical="center" indent="1"/>
      <protection hidden="1"/>
    </xf>
    <xf numFmtId="0" fontId="80" fillId="0" borderId="140" xfId="0" applyFont="1" applyBorder="1" applyAlignment="1" applyProtection="1">
      <alignment horizontal="left" vertical="center" indent="1"/>
      <protection hidden="1"/>
    </xf>
    <xf numFmtId="0" fontId="83" fillId="7" borderId="0" xfId="0" applyFont="1" applyFill="1" applyAlignment="1" applyProtection="1">
      <alignment wrapText="1"/>
      <protection hidden="1"/>
    </xf>
    <xf numFmtId="0" fontId="83" fillId="19" borderId="0" xfId="0" applyFont="1" applyFill="1" applyProtection="1">
      <protection hidden="1"/>
    </xf>
    <xf numFmtId="0" fontId="75" fillId="19" borderId="0" xfId="0" applyFont="1" applyFill="1" applyAlignment="1" applyProtection="1">
      <alignment horizontal="center"/>
      <protection hidden="1"/>
    </xf>
    <xf numFmtId="0" fontId="75" fillId="5" borderId="0" xfId="0" applyFont="1" applyFill="1" applyAlignment="1" applyProtection="1">
      <alignment horizontal="center"/>
      <protection hidden="1"/>
    </xf>
    <xf numFmtId="0" fontId="83" fillId="5" borderId="0" xfId="0" applyFont="1" applyFill="1" applyAlignment="1" applyProtection="1">
      <alignment wrapText="1"/>
      <protection hidden="1"/>
    </xf>
    <xf numFmtId="0" fontId="83" fillId="19" borderId="0" xfId="0" applyFont="1" applyFill="1" applyAlignment="1" applyProtection="1">
      <alignment wrapText="1"/>
      <protection hidden="1"/>
    </xf>
    <xf numFmtId="0" fontId="13" fillId="7" borderId="0" xfId="0" applyFont="1" applyFill="1" applyAlignment="1" applyProtection="1">
      <alignment wrapText="1"/>
      <protection hidden="1"/>
    </xf>
    <xf numFmtId="168" fontId="79" fillId="0" borderId="120" xfId="1" applyNumberFormat="1" applyFont="1" applyFill="1" applyBorder="1" applyAlignment="1" applyProtection="1">
      <alignment horizontal="left" vertical="center" indent="1"/>
      <protection hidden="1"/>
    </xf>
    <xf numFmtId="0" fontId="80" fillId="0" borderId="121" xfId="0" applyFont="1" applyBorder="1" applyAlignment="1" applyProtection="1">
      <alignment horizontal="left" vertical="center" indent="1"/>
      <protection hidden="1"/>
    </xf>
    <xf numFmtId="0" fontId="13" fillId="5" borderId="0" xfId="0" applyFont="1" applyFill="1" applyAlignment="1" applyProtection="1">
      <alignment wrapText="1"/>
      <protection hidden="1"/>
    </xf>
    <xf numFmtId="0" fontId="13" fillId="19" borderId="0" xfId="0" applyFont="1" applyFill="1" applyAlignment="1" applyProtection="1">
      <alignment wrapText="1"/>
      <protection hidden="1"/>
    </xf>
    <xf numFmtId="0" fontId="80" fillId="0" borderId="129" xfId="0" applyFont="1" applyBorder="1" applyAlignment="1" applyProtection="1">
      <alignment horizontal="left" vertical="center" indent="1"/>
      <protection hidden="1"/>
    </xf>
    <xf numFmtId="0" fontId="80" fillId="0" borderId="125" xfId="0" applyFont="1" applyBorder="1" applyAlignment="1" applyProtection="1">
      <alignment horizontal="left" vertical="center" indent="1"/>
      <protection hidden="1"/>
    </xf>
    <xf numFmtId="0" fontId="83" fillId="7" borderId="0" xfId="0" applyFont="1" applyFill="1" applyProtection="1">
      <protection hidden="1"/>
    </xf>
    <xf numFmtId="0" fontId="82" fillId="14" borderId="145" xfId="0" applyFont="1" applyFill="1" applyBorder="1" applyAlignment="1" applyProtection="1">
      <alignment horizontal="left" vertical="center" indent="1"/>
      <protection hidden="1"/>
    </xf>
    <xf numFmtId="0" fontId="83" fillId="5" borderId="0" xfId="0" applyFont="1" applyFill="1" applyProtection="1">
      <protection hidden="1"/>
    </xf>
    <xf numFmtId="0" fontId="45" fillId="0" borderId="149" xfId="0" applyFont="1" applyBorder="1" applyAlignment="1" applyProtection="1">
      <alignment horizontal="left" vertical="center"/>
      <protection hidden="1"/>
    </xf>
    <xf numFmtId="0" fontId="86" fillId="0" borderId="0" xfId="0" applyFont="1" applyAlignment="1" applyProtection="1">
      <alignment vertical="center"/>
      <protection hidden="1"/>
    </xf>
    <xf numFmtId="15" fontId="13" fillId="19" borderId="0" xfId="0" applyNumberFormat="1" applyFont="1" applyFill="1" applyAlignment="1" applyProtection="1">
      <alignment horizontal="center"/>
      <protection hidden="1"/>
    </xf>
    <xf numFmtId="15" fontId="13" fillId="5" borderId="0" xfId="0" applyNumberFormat="1" applyFont="1" applyFill="1" applyAlignment="1" applyProtection="1">
      <alignment horizontal="center"/>
      <protection hidden="1"/>
    </xf>
    <xf numFmtId="0" fontId="15" fillId="5" borderId="0" xfId="0" applyFont="1" applyFill="1" applyAlignment="1" applyProtection="1">
      <alignment vertical="top"/>
      <protection hidden="1"/>
    </xf>
    <xf numFmtId="0" fontId="13" fillId="5" borderId="0" xfId="0" applyFont="1" applyFill="1" applyAlignment="1" applyProtection="1">
      <alignment vertical="top"/>
      <protection hidden="1"/>
    </xf>
    <xf numFmtId="0" fontId="15" fillId="19" borderId="0" xfId="0" applyFont="1" applyFill="1" applyAlignment="1" applyProtection="1">
      <alignment vertical="top"/>
      <protection hidden="1"/>
    </xf>
    <xf numFmtId="0" fontId="13" fillId="19" borderId="0" xfId="0" applyFont="1" applyFill="1" applyAlignment="1" applyProtection="1">
      <alignment vertical="top"/>
      <protection hidden="1"/>
    </xf>
    <xf numFmtId="0" fontId="13" fillId="19" borderId="0" xfId="0" applyFont="1" applyFill="1" applyAlignment="1" applyProtection="1">
      <alignment horizontal="center" vertical="top"/>
      <protection hidden="1"/>
    </xf>
    <xf numFmtId="0" fontId="5" fillId="17" borderId="97" xfId="17" applyFont="1" applyFill="1" applyBorder="1" applyAlignment="1" applyProtection="1">
      <alignment horizontal="left" vertical="top" wrapText="1"/>
      <protection hidden="1"/>
    </xf>
    <xf numFmtId="0" fontId="5" fillId="0" borderId="0" xfId="18" applyFont="1" applyAlignment="1" applyProtection="1">
      <alignment horizontal="left" vertical="center" wrapText="1"/>
      <protection hidden="1"/>
    </xf>
    <xf numFmtId="0" fontId="36" fillId="16" borderId="97" xfId="17" applyFont="1" applyFill="1" applyBorder="1" applyAlignment="1" applyProtection="1">
      <alignment horizontal="left" vertical="top" wrapText="1"/>
      <protection hidden="1"/>
    </xf>
    <xf numFmtId="0" fontId="5" fillId="14" borderId="97" xfId="17" applyFont="1" applyFill="1" applyBorder="1" applyAlignment="1" applyProtection="1">
      <alignment horizontal="left" vertical="top" wrapText="1"/>
      <protection hidden="1"/>
    </xf>
    <xf numFmtId="0" fontId="33" fillId="0" borderId="30" xfId="17" applyFont="1" applyBorder="1" applyAlignment="1" applyProtection="1">
      <alignment horizontal="center" vertical="center" wrapText="1"/>
      <protection locked="0"/>
    </xf>
    <xf numFmtId="0" fontId="29" fillId="21" borderId="150" xfId="20" applyFont="1" applyFill="1" applyBorder="1"/>
    <xf numFmtId="0" fontId="87" fillId="21" borderId="150" xfId="20" applyFont="1" applyFill="1" applyBorder="1" applyAlignment="1">
      <alignment vertical="center"/>
    </xf>
    <xf numFmtId="0" fontId="16" fillId="22" borderId="88" xfId="20" applyFont="1" applyFill="1" applyBorder="1"/>
    <xf numFmtId="0" fontId="21" fillId="22" borderId="88" xfId="20" applyFont="1" applyFill="1" applyBorder="1" applyAlignment="1">
      <alignment vertical="center"/>
    </xf>
    <xf numFmtId="0" fontId="16" fillId="0" borderId="88" xfId="20" applyFont="1" applyBorder="1"/>
    <xf numFmtId="0" fontId="16" fillId="0" borderId="151" xfId="20" applyFont="1" applyBorder="1" applyAlignment="1">
      <alignment vertical="top" wrapText="1"/>
    </xf>
    <xf numFmtId="0" fontId="19" fillId="0" borderId="151" xfId="20" applyFont="1" applyBorder="1" applyAlignment="1">
      <alignment vertical="top" wrapText="1"/>
    </xf>
    <xf numFmtId="0" fontId="21" fillId="0" borderId="151" xfId="20" applyFont="1" applyBorder="1" applyAlignment="1">
      <alignment vertical="center"/>
    </xf>
    <xf numFmtId="0" fontId="33" fillId="0" borderId="1" xfId="17" applyFont="1" applyBorder="1" applyAlignment="1" applyProtection="1">
      <alignment horizontal="center" vertical="center" wrapText="1"/>
      <protection locked="0"/>
    </xf>
    <xf numFmtId="0" fontId="33" fillId="0" borderId="34" xfId="17" applyFont="1" applyBorder="1" applyAlignment="1" applyProtection="1">
      <alignment horizontal="center" vertical="center" wrapText="1"/>
      <protection locked="0"/>
    </xf>
    <xf numFmtId="0" fontId="5" fillId="0" borderId="83" xfId="18" applyFont="1" applyBorder="1" applyAlignment="1" applyProtection="1">
      <alignment vertical="top" wrapText="1"/>
      <protection hidden="1"/>
    </xf>
    <xf numFmtId="0" fontId="20" fillId="23" borderId="13" xfId="0" applyFont="1" applyFill="1" applyBorder="1" applyAlignment="1">
      <alignment horizontal="center" vertical="center"/>
    </xf>
    <xf numFmtId="0" fontId="13" fillId="3" borderId="0" xfId="0" applyFont="1" applyFill="1"/>
    <xf numFmtId="169" fontId="16" fillId="24" borderId="152" xfId="0" applyNumberFormat="1" applyFont="1" applyFill="1" applyBorder="1" applyAlignment="1">
      <alignment horizontal="center" vertical="center"/>
    </xf>
    <xf numFmtId="169" fontId="16" fillId="24" borderId="28" xfId="0" applyNumberFormat="1" applyFont="1" applyFill="1" applyBorder="1" applyAlignment="1">
      <alignment horizontal="center" vertical="center"/>
    </xf>
    <xf numFmtId="0" fontId="16" fillId="24" borderId="28" xfId="0" applyFont="1" applyFill="1" applyBorder="1" applyAlignment="1">
      <alignment horizontal="center" vertical="center"/>
    </xf>
    <xf numFmtId="169" fontId="17" fillId="24" borderId="28" xfId="4" applyNumberFormat="1" applyFont="1" applyFill="1" applyBorder="1" applyAlignment="1">
      <alignment horizontal="center" vertical="center"/>
    </xf>
    <xf numFmtId="173" fontId="17" fillId="24" borderId="29" xfId="4" applyNumberFormat="1" applyFont="1" applyFill="1" applyBorder="1" applyAlignment="1">
      <alignment horizontal="center" vertical="center"/>
    </xf>
    <xf numFmtId="165" fontId="5" fillId="5" borderId="1" xfId="1" applyNumberFormat="1" applyFont="1" applyFill="1" applyBorder="1" applyAlignment="1" applyProtection="1">
      <alignment vertical="center" wrapText="1"/>
      <protection hidden="1"/>
    </xf>
    <xf numFmtId="0" fontId="86" fillId="0" borderId="0" xfId="0" applyFont="1" applyAlignment="1" applyProtection="1">
      <alignment horizontal="left" vertical="center" wrapText="1"/>
      <protection hidden="1"/>
    </xf>
    <xf numFmtId="0" fontId="86" fillId="0" borderId="149" xfId="0" applyFont="1" applyBorder="1" applyAlignment="1" applyProtection="1">
      <alignment horizontal="left" vertical="center" wrapText="1"/>
      <protection hidden="1"/>
    </xf>
    <xf numFmtId="0" fontId="45" fillId="5" borderId="14" xfId="0" applyFont="1" applyFill="1" applyBorder="1" applyAlignment="1">
      <alignment vertical="center"/>
    </xf>
    <xf numFmtId="0" fontId="33" fillId="14" borderId="5" xfId="0" applyFont="1" applyFill="1" applyBorder="1" applyAlignment="1">
      <alignment vertical="center" wrapText="1"/>
    </xf>
    <xf numFmtId="0" fontId="65" fillId="14" borderId="10" xfId="0" applyFont="1" applyFill="1" applyBorder="1" applyAlignment="1">
      <alignment horizontal="center" vertical="center"/>
    </xf>
    <xf numFmtId="0" fontId="36" fillId="14" borderId="7" xfId="0" applyFont="1" applyFill="1" applyBorder="1" applyAlignment="1">
      <alignment vertical="center"/>
    </xf>
    <xf numFmtId="166" fontId="5" fillId="0" borderId="12" xfId="0" applyNumberFormat="1" applyFont="1" applyBorder="1" applyAlignment="1" applyProtection="1">
      <alignment horizontal="center" vertical="center" wrapText="1"/>
      <protection locked="0"/>
    </xf>
    <xf numFmtId="166" fontId="50" fillId="5" borderId="0" xfId="0" applyNumberFormat="1" applyFont="1" applyFill="1" applyAlignment="1">
      <alignment horizontal="center"/>
    </xf>
    <xf numFmtId="0" fontId="5" fillId="0" borderId="13" xfId="0" applyFont="1" applyBorder="1" applyAlignment="1">
      <alignment horizontal="center" vertical="center"/>
    </xf>
    <xf numFmtId="0" fontId="36" fillId="14" borderId="13" xfId="0" applyFont="1" applyFill="1" applyBorder="1" applyAlignment="1">
      <alignment horizontal="center" vertical="center"/>
    </xf>
    <xf numFmtId="0" fontId="16" fillId="0" borderId="16" xfId="0" applyFont="1" applyBorder="1" applyAlignment="1">
      <alignment horizontal="center"/>
    </xf>
    <xf numFmtId="166" fontId="16" fillId="0" borderId="2" xfId="0" applyNumberFormat="1" applyFont="1" applyBorder="1" applyAlignment="1">
      <alignment horizontal="center"/>
    </xf>
    <xf numFmtId="0" fontId="16" fillId="0" borderId="2" xfId="0" applyFont="1" applyBorder="1" applyAlignment="1">
      <alignment horizontal="left" wrapText="1"/>
    </xf>
    <xf numFmtId="1" fontId="16" fillId="0" borderId="2" xfId="0" applyNumberFormat="1" applyFont="1" applyBorder="1" applyAlignment="1">
      <alignment horizontal="center"/>
    </xf>
    <xf numFmtId="0" fontId="16" fillId="0" borderId="2" xfId="0" applyFont="1" applyBorder="1" applyAlignment="1">
      <alignment horizontal="left"/>
    </xf>
    <xf numFmtId="5" fontId="16" fillId="0" borderId="2" xfId="1" applyNumberFormat="1" applyFont="1" applyBorder="1" applyProtection="1"/>
    <xf numFmtId="164" fontId="16" fillId="0" borderId="2" xfId="0" applyNumberFormat="1" applyFont="1" applyBorder="1"/>
    <xf numFmtId="0" fontId="16" fillId="0" borderId="2" xfId="0" applyFont="1" applyBorder="1"/>
    <xf numFmtId="0" fontId="16" fillId="0" borderId="2" xfId="0" applyFont="1" applyBorder="1" applyAlignment="1">
      <alignment horizontal="center"/>
    </xf>
    <xf numFmtId="0" fontId="16" fillId="0" borderId="3" xfId="0" applyFont="1" applyBorder="1"/>
    <xf numFmtId="166" fontId="46" fillId="5" borderId="15" xfId="0" applyNumberFormat="1" applyFont="1" applyFill="1" applyBorder="1" applyAlignment="1">
      <alignment horizontal="left" vertical="center"/>
    </xf>
    <xf numFmtId="0" fontId="27" fillId="5" borderId="0" xfId="0" applyFont="1" applyFill="1" applyAlignment="1" applyProtection="1">
      <alignment vertical="center"/>
      <protection hidden="1"/>
    </xf>
    <xf numFmtId="166" fontId="48" fillId="5" borderId="0" xfId="0" applyNumberFormat="1" applyFont="1" applyFill="1" applyAlignment="1">
      <alignment horizontal="left"/>
    </xf>
    <xf numFmtId="166" fontId="45" fillId="5" borderId="0" xfId="0" applyNumberFormat="1" applyFont="1" applyFill="1" applyAlignment="1">
      <alignment horizontal="left"/>
    </xf>
    <xf numFmtId="0" fontId="27" fillId="5" borderId="0" xfId="0" applyFont="1" applyFill="1" applyAlignment="1">
      <alignment horizontal="left"/>
    </xf>
    <xf numFmtId="164" fontId="27" fillId="5" borderId="0" xfId="0" applyNumberFormat="1" applyFont="1" applyFill="1"/>
    <xf numFmtId="0" fontId="47" fillId="5" borderId="0" xfId="0" applyFont="1" applyFill="1" applyAlignment="1">
      <alignment horizontal="center" vertical="center"/>
    </xf>
    <xf numFmtId="0" fontId="5" fillId="0" borderId="0" xfId="0" applyFont="1" applyAlignment="1">
      <alignment vertical="center" wrapText="1"/>
    </xf>
    <xf numFmtId="0" fontId="47" fillId="5" borderId="0" xfId="0" applyFont="1" applyFill="1" applyAlignment="1">
      <alignment horizontal="left" vertical="center" wrapText="1"/>
    </xf>
    <xf numFmtId="0" fontId="27" fillId="5" borderId="0" xfId="0" applyFont="1" applyFill="1"/>
    <xf numFmtId="166" fontId="46" fillId="5" borderId="15" xfId="0" applyNumberFormat="1" applyFont="1" applyFill="1" applyBorder="1" applyAlignment="1">
      <alignment vertical="center"/>
    </xf>
    <xf numFmtId="14" fontId="27" fillId="5" borderId="0" xfId="0" applyNumberFormat="1" applyFont="1" applyFill="1" applyAlignment="1" applyProtection="1">
      <alignment vertical="center"/>
      <protection hidden="1"/>
    </xf>
    <xf numFmtId="166" fontId="45" fillId="5" borderId="0" xfId="0" applyNumberFormat="1" applyFont="1" applyFill="1"/>
    <xf numFmtId="0" fontId="27" fillId="5" borderId="0" xfId="0" applyFont="1" applyFill="1" applyAlignment="1">
      <alignment vertical="center"/>
    </xf>
    <xf numFmtId="0" fontId="27" fillId="5" borderId="0" xfId="0" applyFont="1" applyFill="1" applyAlignment="1">
      <alignment horizontal="left" vertical="center"/>
    </xf>
    <xf numFmtId="166" fontId="48" fillId="5" borderId="0" xfId="0" applyNumberFormat="1" applyFont="1" applyFill="1"/>
    <xf numFmtId="0" fontId="46" fillId="5" borderId="15" xfId="0" applyFont="1" applyFill="1" applyBorder="1" applyAlignment="1">
      <alignment horizontal="left" vertical="center"/>
    </xf>
    <xf numFmtId="0" fontId="50" fillId="5" borderId="15" xfId="0" applyFont="1" applyFill="1" applyBorder="1" applyAlignment="1">
      <alignment horizontal="center"/>
    </xf>
    <xf numFmtId="166" fontId="48" fillId="5" borderId="15" xfId="0" applyNumberFormat="1" applyFont="1" applyFill="1" applyBorder="1" applyAlignment="1">
      <alignment horizontal="left"/>
    </xf>
    <xf numFmtId="0" fontId="35" fillId="0" borderId="0" xfId="0" applyFont="1" applyAlignment="1" applyProtection="1">
      <alignment wrapText="1"/>
      <protection hidden="1"/>
    </xf>
    <xf numFmtId="0" fontId="35" fillId="0" borderId="4" xfId="0" applyFont="1" applyBorder="1" applyAlignment="1" applyProtection="1">
      <alignment wrapText="1"/>
      <protection hidden="1"/>
    </xf>
    <xf numFmtId="0" fontId="34" fillId="0" borderId="5" xfId="0" applyFont="1" applyBorder="1"/>
    <xf numFmtId="0" fontId="89" fillId="16" borderId="154" xfId="0" applyFont="1" applyFill="1" applyBorder="1" applyAlignment="1" applyProtection="1">
      <alignment horizontal="left" vertical="center" wrapText="1"/>
      <protection hidden="1"/>
    </xf>
    <xf numFmtId="43" fontId="16" fillId="0" borderId="39" xfId="1" applyFont="1" applyFill="1" applyBorder="1" applyAlignment="1" applyProtection="1">
      <alignment horizontal="right" vertical="center" wrapText="1" indent="1"/>
      <protection hidden="1"/>
    </xf>
    <xf numFmtId="0" fontId="16" fillId="0" borderId="156" xfId="0" applyFont="1" applyBorder="1" applyAlignment="1">
      <alignment vertical="center"/>
    </xf>
    <xf numFmtId="43" fontId="16" fillId="0" borderId="41" xfId="1" applyFont="1" applyFill="1" applyBorder="1" applyAlignment="1" applyProtection="1">
      <alignment horizontal="right" vertical="center" wrapText="1" indent="1"/>
      <protection hidden="1"/>
    </xf>
    <xf numFmtId="0" fontId="16" fillId="0" borderId="153" xfId="0" applyFont="1" applyBorder="1" applyAlignment="1">
      <alignment vertical="center"/>
    </xf>
    <xf numFmtId="43" fontId="16" fillId="0" borderId="159" xfId="1" applyFont="1" applyFill="1" applyBorder="1" applyAlignment="1" applyProtection="1">
      <alignment horizontal="right" vertical="center" wrapText="1" indent="1"/>
      <protection hidden="1"/>
    </xf>
    <xf numFmtId="0" fontId="16" fillId="0" borderId="160" xfId="0" applyFont="1" applyBorder="1" applyAlignment="1">
      <alignment vertical="center"/>
    </xf>
    <xf numFmtId="0" fontId="89" fillId="16" borderId="154" xfId="0" applyFont="1" applyFill="1" applyBorder="1" applyAlignment="1" applyProtection="1">
      <alignment horizontal="center" vertical="center"/>
      <protection hidden="1"/>
    </xf>
    <xf numFmtId="0" fontId="89" fillId="16" borderId="155" xfId="0" applyFont="1" applyFill="1" applyBorder="1" applyAlignment="1" applyProtection="1">
      <alignment horizontal="center" vertical="center" wrapText="1"/>
      <protection hidden="1"/>
    </xf>
    <xf numFmtId="0" fontId="89" fillId="16" borderId="154" xfId="0" applyFont="1" applyFill="1" applyBorder="1" applyAlignment="1" applyProtection="1">
      <alignment horizontal="center" vertical="center" wrapText="1"/>
      <protection hidden="1"/>
    </xf>
    <xf numFmtId="0" fontId="16" fillId="0" borderId="10" xfId="0" applyFont="1" applyBorder="1"/>
    <xf numFmtId="1" fontId="33" fillId="14" borderId="35" xfId="0" applyNumberFormat="1" applyFont="1" applyFill="1" applyBorder="1" applyAlignment="1">
      <alignment horizontal="center" vertical="center" wrapText="1"/>
    </xf>
    <xf numFmtId="166" fontId="33" fillId="14" borderId="35" xfId="0" applyNumberFormat="1" applyFont="1" applyFill="1" applyBorder="1" applyAlignment="1">
      <alignment horizontal="center" vertical="center" wrapText="1"/>
    </xf>
    <xf numFmtId="0" fontId="33" fillId="14" borderId="111" xfId="0" applyFont="1" applyFill="1" applyBorder="1" applyAlignment="1">
      <alignment horizontal="center" vertical="center" wrapText="1"/>
    </xf>
    <xf numFmtId="170" fontId="16" fillId="0" borderId="0" xfId="0" applyNumberFormat="1" applyFont="1" applyAlignment="1">
      <alignment vertical="center"/>
    </xf>
    <xf numFmtId="43" fontId="16" fillId="0" borderId="0" xfId="0" applyNumberFormat="1" applyFont="1" applyAlignment="1">
      <alignment vertical="center"/>
    </xf>
    <xf numFmtId="0" fontId="89" fillId="16" borderId="162" xfId="0" applyFont="1" applyFill="1" applyBorder="1" applyAlignment="1" applyProtection="1">
      <alignment horizontal="center" vertical="center" wrapText="1"/>
      <protection hidden="1"/>
    </xf>
    <xf numFmtId="170" fontId="16" fillId="0" borderId="163" xfId="0" applyNumberFormat="1" applyFont="1" applyBorder="1" applyAlignment="1">
      <alignment vertical="center"/>
    </xf>
    <xf numFmtId="43" fontId="16" fillId="0" borderId="164" xfId="0" applyNumberFormat="1" applyFont="1" applyBorder="1" applyAlignment="1">
      <alignment vertical="center"/>
    </xf>
    <xf numFmtId="43" fontId="16" fillId="0" borderId="165" xfId="0" applyNumberFormat="1" applyFont="1" applyBorder="1" applyAlignment="1">
      <alignment vertical="center"/>
    </xf>
    <xf numFmtId="0" fontId="89" fillId="16" borderId="157" xfId="0" applyFont="1" applyFill="1" applyBorder="1" applyAlignment="1" applyProtection="1">
      <alignment horizontal="center" vertical="center" wrapText="1"/>
      <protection hidden="1"/>
    </xf>
    <xf numFmtId="174" fontId="16" fillId="0" borderId="158" xfId="0" applyNumberFormat="1" applyFont="1" applyBorder="1" applyAlignment="1">
      <alignment vertical="center"/>
    </xf>
    <xf numFmtId="174" fontId="16" fillId="0" borderId="161" xfId="0" applyNumberFormat="1" applyFont="1" applyBorder="1" applyAlignment="1">
      <alignment vertical="center"/>
    </xf>
    <xf numFmtId="0" fontId="25" fillId="25" borderId="1" xfId="0" applyFont="1" applyFill="1" applyBorder="1" applyAlignment="1" applyProtection="1">
      <alignment vertical="top"/>
      <protection hidden="1"/>
    </xf>
    <xf numFmtId="0" fontId="25" fillId="25" borderId="1" xfId="0" applyFont="1" applyFill="1" applyBorder="1" applyProtection="1">
      <protection hidden="1"/>
    </xf>
    <xf numFmtId="0" fontId="33" fillId="14" borderId="6" xfId="0" applyFont="1" applyFill="1" applyBorder="1" applyAlignment="1">
      <alignment horizontal="left" vertical="center"/>
    </xf>
    <xf numFmtId="0" fontId="76" fillId="0" borderId="0" xfId="0" applyFont="1" applyAlignment="1" applyProtection="1">
      <alignment vertical="top" wrapText="1"/>
      <protection hidden="1"/>
    </xf>
    <xf numFmtId="167" fontId="5" fillId="15" borderId="42" xfId="1" applyNumberFormat="1" applyFont="1" applyFill="1" applyBorder="1" applyAlignment="1" applyProtection="1">
      <alignment horizontal="right" vertical="center" wrapText="1" indent="1"/>
      <protection hidden="1"/>
    </xf>
    <xf numFmtId="0" fontId="21" fillId="0" borderId="0" xfId="8" applyFont="1" applyProtection="1">
      <protection hidden="1"/>
    </xf>
    <xf numFmtId="49" fontId="37" fillId="0" borderId="53" xfId="8" applyNumberFormat="1" applyFont="1" applyBorder="1" applyAlignment="1" applyProtection="1">
      <alignment horizontal="left" vertical="top" wrapText="1"/>
      <protection locked="0"/>
    </xf>
    <xf numFmtId="49" fontId="39" fillId="0" borderId="54" xfId="8" applyNumberFormat="1" applyFont="1" applyBorder="1" applyAlignment="1" applyProtection="1">
      <alignment horizontal="center" vertical="center" wrapText="1"/>
      <protection locked="0"/>
    </xf>
    <xf numFmtId="49" fontId="37" fillId="0" borderId="19" xfId="8" applyNumberFormat="1" applyFont="1" applyBorder="1" applyAlignment="1" applyProtection="1">
      <alignment horizontal="left" vertical="top" wrapText="1"/>
      <protection locked="0"/>
    </xf>
    <xf numFmtId="49" fontId="37" fillId="0" borderId="22" xfId="8" applyNumberFormat="1" applyFont="1" applyBorder="1" applyAlignment="1" applyProtection="1">
      <alignment horizontal="left" vertical="top" wrapText="1"/>
      <protection locked="0"/>
    </xf>
    <xf numFmtId="0" fontId="33" fillId="14" borderId="13" xfId="0" applyFont="1" applyFill="1" applyBorder="1" applyAlignment="1" applyProtection="1">
      <alignment horizontal="center" vertical="center" wrapText="1"/>
      <protection hidden="1"/>
    </xf>
    <xf numFmtId="0" fontId="52" fillId="15" borderId="168" xfId="0" applyFont="1" applyFill="1" applyBorder="1" applyAlignment="1" applyProtection="1">
      <alignment horizontal="center" vertical="center" wrapText="1"/>
      <protection hidden="1"/>
    </xf>
    <xf numFmtId="0" fontId="52" fillId="15" borderId="169" xfId="0" applyFont="1" applyFill="1" applyBorder="1" applyAlignment="1" applyProtection="1">
      <alignment horizontal="center" vertical="center" wrapText="1"/>
      <protection hidden="1"/>
    </xf>
    <xf numFmtId="0" fontId="91" fillId="0" borderId="20" xfId="0" applyFont="1" applyBorder="1" applyAlignment="1">
      <alignment horizontal="left" vertical="top" wrapText="1"/>
    </xf>
    <xf numFmtId="49" fontId="91" fillId="0" borderId="25" xfId="0" applyNumberFormat="1" applyFont="1" applyBorder="1" applyAlignment="1">
      <alignment horizontal="center" vertical="top" wrapText="1"/>
    </xf>
    <xf numFmtId="0" fontId="91" fillId="0" borderId="20" xfId="0" applyFont="1" applyBorder="1" applyAlignment="1">
      <alignment horizontal="center" vertical="top" wrapText="1"/>
    </xf>
    <xf numFmtId="0" fontId="91" fillId="0" borderId="26" xfId="0" applyFont="1" applyBorder="1" applyAlignment="1">
      <alignment horizontal="left" vertical="top" wrapText="1"/>
    </xf>
    <xf numFmtId="0" fontId="78" fillId="5" borderId="0" xfId="0" applyFont="1" applyFill="1" applyAlignment="1">
      <alignment horizontal="left" vertical="center"/>
    </xf>
    <xf numFmtId="0" fontId="94" fillId="5" borderId="149" xfId="0" applyFont="1" applyFill="1" applyBorder="1"/>
    <xf numFmtId="44" fontId="97" fillId="5" borderId="0" xfId="1" applyNumberFormat="1" applyFont="1" applyFill="1" applyBorder="1" applyAlignment="1" applyProtection="1">
      <alignment horizontal="right" wrapText="1"/>
      <protection hidden="1"/>
    </xf>
    <xf numFmtId="1" fontId="98" fillId="5" borderId="0" xfId="1" applyNumberFormat="1" applyFont="1" applyFill="1" applyBorder="1" applyAlignment="1" applyProtection="1">
      <alignment horizontal="center" vertical="center" wrapText="1"/>
      <protection locked="0" hidden="1"/>
    </xf>
    <xf numFmtId="44" fontId="97" fillId="5" borderId="0" xfId="1" applyNumberFormat="1" applyFont="1" applyFill="1" applyBorder="1" applyAlignment="1" applyProtection="1">
      <alignment horizontal="center" vertical="center" wrapText="1"/>
      <protection hidden="1"/>
    </xf>
    <xf numFmtId="44" fontId="98" fillId="5" borderId="0" xfId="1" applyNumberFormat="1" applyFont="1" applyFill="1" applyBorder="1" applyAlignment="1" applyProtection="1">
      <alignment horizontal="center" vertical="center" wrapText="1"/>
      <protection hidden="1"/>
    </xf>
    <xf numFmtId="0" fontId="98" fillId="5" borderId="1" xfId="1" applyNumberFormat="1" applyFont="1" applyFill="1" applyBorder="1" applyAlignment="1" applyProtection="1">
      <alignment horizontal="center" vertical="center" wrapText="1"/>
      <protection locked="0" hidden="1"/>
    </xf>
    <xf numFmtId="0" fontId="97" fillId="5" borderId="0" xfId="1" applyNumberFormat="1" applyFont="1" applyFill="1" applyBorder="1" applyAlignment="1" applyProtection="1">
      <alignment horizontal="center" vertical="center" wrapText="1"/>
      <protection hidden="1"/>
    </xf>
    <xf numFmtId="0" fontId="105" fillId="14" borderId="27" xfId="0" applyFont="1" applyFill="1" applyBorder="1" applyAlignment="1" applyProtection="1">
      <alignment vertical="center" wrapText="1"/>
      <protection hidden="1"/>
    </xf>
    <xf numFmtId="0" fontId="105" fillId="14" borderId="176" xfId="0" applyFont="1" applyFill="1" applyBorder="1" applyAlignment="1" applyProtection="1">
      <alignment vertical="center" wrapText="1"/>
      <protection hidden="1"/>
    </xf>
    <xf numFmtId="0" fontId="105" fillId="5" borderId="47" xfId="0" applyFont="1" applyFill="1" applyBorder="1" applyAlignment="1" applyProtection="1">
      <alignment vertical="center" wrapText="1"/>
      <protection hidden="1"/>
    </xf>
    <xf numFmtId="44" fontId="105" fillId="5" borderId="47" xfId="0" applyNumberFormat="1" applyFont="1" applyFill="1" applyBorder="1" applyAlignment="1" applyProtection="1">
      <alignment horizontal="right" vertical="center"/>
      <protection hidden="1"/>
    </xf>
    <xf numFmtId="44" fontId="105" fillId="5" borderId="0" xfId="1" applyNumberFormat="1" applyFont="1" applyFill="1" applyBorder="1" applyAlignment="1" applyProtection="1">
      <alignment horizontal="center" vertical="center" wrapText="1"/>
      <protection hidden="1"/>
    </xf>
    <xf numFmtId="2" fontId="105" fillId="5" borderId="0" xfId="1" applyNumberFormat="1" applyFont="1" applyFill="1" applyBorder="1" applyAlignment="1" applyProtection="1">
      <alignment horizontal="center" vertical="center" wrapText="1"/>
      <protection hidden="1"/>
    </xf>
    <xf numFmtId="0" fontId="105" fillId="5" borderId="0" xfId="1" applyNumberFormat="1" applyFont="1" applyFill="1" applyBorder="1" applyAlignment="1" applyProtection="1">
      <alignment horizontal="center" vertical="center" wrapText="1"/>
      <protection hidden="1"/>
    </xf>
    <xf numFmtId="44" fontId="111" fillId="26" borderId="1" xfId="0" applyNumberFormat="1" applyFont="1" applyFill="1" applyBorder="1" applyProtection="1">
      <protection locked="0"/>
    </xf>
    <xf numFmtId="14" fontId="111" fillId="26" borderId="30" xfId="0" applyNumberFormat="1" applyFont="1" applyFill="1" applyBorder="1" applyAlignment="1" applyProtection="1">
      <alignment horizontal="right"/>
      <protection hidden="1"/>
    </xf>
    <xf numFmtId="14" fontId="111" fillId="26" borderId="1" xfId="0" applyNumberFormat="1" applyFont="1" applyFill="1" applyBorder="1" applyProtection="1">
      <protection hidden="1"/>
    </xf>
    <xf numFmtId="0" fontId="112" fillId="26" borderId="1" xfId="0" applyFont="1" applyFill="1" applyBorder="1" applyAlignment="1" applyProtection="1">
      <alignment horizontal="right"/>
      <protection hidden="1"/>
    </xf>
    <xf numFmtId="44" fontId="111" fillId="26" borderId="1" xfId="0" applyNumberFormat="1" applyFont="1" applyFill="1" applyBorder="1" applyAlignment="1" applyProtection="1">
      <alignment horizontal="center"/>
      <protection hidden="1"/>
    </xf>
    <xf numFmtId="2" fontId="111" fillId="26" borderId="1" xfId="0" applyNumberFormat="1" applyFont="1" applyFill="1" applyBorder="1" applyAlignment="1" applyProtection="1">
      <alignment horizontal="center"/>
      <protection hidden="1"/>
    </xf>
    <xf numFmtId="1" fontId="111" fillId="26" borderId="1" xfId="0" applyNumberFormat="1" applyFont="1" applyFill="1" applyBorder="1" applyAlignment="1" applyProtection="1">
      <alignment horizontal="center"/>
      <protection hidden="1"/>
    </xf>
    <xf numFmtId="44" fontId="111" fillId="26" borderId="1" xfId="0" applyNumberFormat="1" applyFont="1" applyFill="1" applyBorder="1" applyProtection="1">
      <protection hidden="1"/>
    </xf>
    <xf numFmtId="44" fontId="111" fillId="26" borderId="1" xfId="0" applyNumberFormat="1" applyFont="1" applyFill="1" applyBorder="1" applyAlignment="1" applyProtection="1">
      <alignment horizontal="right"/>
      <protection hidden="1"/>
    </xf>
    <xf numFmtId="2" fontId="111" fillId="26" borderId="1" xfId="0" applyNumberFormat="1" applyFont="1" applyFill="1" applyBorder="1"/>
    <xf numFmtId="44" fontId="98" fillId="5" borderId="1" xfId="0" applyNumberFormat="1" applyFont="1" applyFill="1" applyBorder="1" applyProtection="1">
      <protection hidden="1"/>
    </xf>
    <xf numFmtId="2" fontId="98" fillId="5" borderId="1" xfId="0" applyNumberFormat="1" applyFont="1" applyFill="1" applyBorder="1" applyProtection="1">
      <protection hidden="1"/>
    </xf>
    <xf numFmtId="2" fontId="98" fillId="5" borderId="18" xfId="0" applyNumberFormat="1" applyFont="1" applyFill="1" applyBorder="1" applyProtection="1">
      <protection hidden="1"/>
    </xf>
    <xf numFmtId="0" fontId="113" fillId="5" borderId="18" xfId="0" applyFont="1" applyFill="1" applyBorder="1" applyProtection="1">
      <protection hidden="1"/>
    </xf>
    <xf numFmtId="14" fontId="111" fillId="27" borderId="30" xfId="0" applyNumberFormat="1" applyFont="1" applyFill="1" applyBorder="1" applyProtection="1">
      <protection hidden="1"/>
    </xf>
    <xf numFmtId="14" fontId="111" fillId="27" borderId="1" xfId="0" applyNumberFormat="1" applyFont="1" applyFill="1" applyBorder="1" applyProtection="1">
      <protection hidden="1"/>
    </xf>
    <xf numFmtId="44" fontId="111" fillId="27" borderId="1" xfId="0" applyNumberFormat="1" applyFont="1" applyFill="1" applyBorder="1" applyAlignment="1" applyProtection="1">
      <alignment horizontal="center"/>
      <protection hidden="1"/>
    </xf>
    <xf numFmtId="2" fontId="113" fillId="5" borderId="1" xfId="0" applyNumberFormat="1" applyFont="1" applyFill="1" applyBorder="1"/>
    <xf numFmtId="14" fontId="111" fillId="26" borderId="30" xfId="0" applyNumberFormat="1" applyFont="1" applyFill="1" applyBorder="1" applyProtection="1">
      <protection hidden="1"/>
    </xf>
    <xf numFmtId="0" fontId="113" fillId="5" borderId="1" xfId="0" applyFont="1" applyFill="1" applyBorder="1"/>
    <xf numFmtId="0" fontId="94" fillId="5" borderId="0" xfId="0" applyFont="1" applyFill="1" applyAlignment="1">
      <alignment vertical="center"/>
    </xf>
    <xf numFmtId="0" fontId="75" fillId="5" borderId="0" xfId="0" applyFont="1" applyFill="1" applyAlignment="1">
      <alignment vertical="center"/>
    </xf>
    <xf numFmtId="0" fontId="94" fillId="5" borderId="0" xfId="0" applyFont="1" applyFill="1"/>
    <xf numFmtId="0" fontId="75" fillId="5" borderId="0" xfId="0" applyFont="1" applyFill="1"/>
    <xf numFmtId="0" fontId="75" fillId="5" borderId="63" xfId="0" applyFont="1" applyFill="1" applyBorder="1"/>
    <xf numFmtId="166" fontId="95" fillId="5" borderId="0" xfId="25" quotePrefix="1" applyNumberFormat="1" applyFont="1" applyFill="1" applyAlignment="1" applyProtection="1">
      <alignment vertical="center"/>
      <protection hidden="1"/>
    </xf>
    <xf numFmtId="166" fontId="95" fillId="5" borderId="0" xfId="25" quotePrefix="1" applyNumberFormat="1" applyFont="1" applyFill="1" applyAlignment="1" applyProtection="1">
      <alignment horizontal="left" vertical="center"/>
      <protection hidden="1"/>
    </xf>
    <xf numFmtId="0" fontId="96" fillId="5" borderId="0" xfId="25" applyFont="1" applyFill="1" applyAlignment="1" applyProtection="1">
      <alignment vertical="top" wrapText="1"/>
      <protection hidden="1"/>
    </xf>
    <xf numFmtId="0" fontId="93" fillId="5" borderId="0" xfId="0" applyFont="1" applyFill="1"/>
    <xf numFmtId="0" fontId="99" fillId="5" borderId="0" xfId="25" applyFont="1" applyFill="1" applyAlignment="1" applyProtection="1">
      <alignment horizontal="left" vertical="top" wrapText="1"/>
      <protection hidden="1"/>
    </xf>
    <xf numFmtId="0" fontId="100" fillId="5" borderId="0" xfId="25" applyFont="1" applyFill="1" applyAlignment="1" applyProtection="1">
      <alignment horizontal="right" wrapText="1"/>
      <protection hidden="1"/>
    </xf>
    <xf numFmtId="0" fontId="76" fillId="5" borderId="0" xfId="25" applyFont="1" applyFill="1" applyAlignment="1" applyProtection="1">
      <alignment horizontal="center" vertical="center"/>
      <protection locked="0" hidden="1"/>
    </xf>
    <xf numFmtId="0" fontId="101" fillId="5" borderId="0" xfId="25" applyFont="1" applyFill="1" applyAlignment="1" applyProtection="1">
      <alignment vertical="top" wrapText="1"/>
      <protection hidden="1"/>
    </xf>
    <xf numFmtId="8" fontId="102" fillId="5" borderId="0" xfId="0" applyNumberFormat="1" applyFont="1" applyFill="1" applyAlignment="1">
      <alignment horizontal="center" vertical="center"/>
    </xf>
    <xf numFmtId="0" fontId="96" fillId="5" borderId="0" xfId="25" applyFont="1" applyFill="1" applyAlignment="1" applyProtection="1">
      <alignment horizontal="left" vertical="top" wrapText="1"/>
      <protection hidden="1"/>
    </xf>
    <xf numFmtId="0" fontId="103" fillId="5" borderId="0" xfId="25" applyFont="1" applyFill="1" applyAlignment="1" applyProtection="1">
      <alignment vertical="center"/>
      <protection hidden="1"/>
    </xf>
    <xf numFmtId="0" fontId="93" fillId="5" borderId="0" xfId="0" applyFont="1" applyFill="1" applyAlignment="1">
      <alignment horizontal="right"/>
    </xf>
    <xf numFmtId="44" fontId="102" fillId="5" borderId="0" xfId="0" applyNumberFormat="1" applyFont="1" applyFill="1" applyAlignment="1">
      <alignment horizontal="center" vertical="center"/>
    </xf>
    <xf numFmtId="0" fontId="65" fillId="5" borderId="0" xfId="25" applyFont="1" applyFill="1" applyAlignment="1" applyProtection="1">
      <alignment vertical="center" wrapText="1"/>
      <protection hidden="1"/>
    </xf>
    <xf numFmtId="0" fontId="80" fillId="5" borderId="0" xfId="26" applyFont="1" applyFill="1" applyAlignment="1" applyProtection="1">
      <alignment vertical="top" wrapText="1"/>
      <protection hidden="1"/>
    </xf>
    <xf numFmtId="0" fontId="80" fillId="5" borderId="0" xfId="26" applyFont="1" applyFill="1" applyAlignment="1" applyProtection="1">
      <alignment horizontal="left" vertical="center" wrapText="1"/>
      <protection hidden="1"/>
    </xf>
    <xf numFmtId="0" fontId="80" fillId="5" borderId="0" xfId="26" applyFont="1" applyFill="1" applyAlignment="1" applyProtection="1">
      <alignment vertical="center" wrapText="1"/>
      <protection hidden="1"/>
    </xf>
    <xf numFmtId="0" fontId="104" fillId="5" borderId="0" xfId="25" applyFont="1" applyFill="1" applyAlignment="1" applyProtection="1">
      <alignment horizontal="center" vertical="center"/>
      <protection locked="0" hidden="1"/>
    </xf>
    <xf numFmtId="0" fontId="104" fillId="5" borderId="0" xfId="0" applyFont="1" applyFill="1"/>
    <xf numFmtId="0" fontId="104" fillId="5" borderId="0" xfId="26" applyFont="1" applyFill="1" applyAlignment="1" applyProtection="1">
      <alignment vertical="top" wrapText="1"/>
      <protection locked="0"/>
    </xf>
    <xf numFmtId="0" fontId="51" fillId="5" borderId="0" xfId="26" applyFont="1" applyFill="1" applyAlignment="1" applyProtection="1">
      <alignment vertical="center" wrapText="1"/>
      <protection hidden="1"/>
    </xf>
    <xf numFmtId="0" fontId="104" fillId="5" borderId="0" xfId="25" applyFont="1" applyFill="1" applyAlignment="1" applyProtection="1">
      <alignment horizontal="center" vertical="center"/>
      <protection hidden="1"/>
    </xf>
    <xf numFmtId="0" fontId="104" fillId="5" borderId="0" xfId="0" applyFont="1" applyFill="1" applyProtection="1">
      <protection hidden="1"/>
    </xf>
    <xf numFmtId="0" fontId="78" fillId="5" borderId="0" xfId="0" applyFont="1" applyFill="1" applyAlignment="1">
      <alignment horizontal="center" vertical="center"/>
    </xf>
    <xf numFmtId="0" fontId="51" fillId="5" borderId="0" xfId="0" applyFont="1" applyFill="1"/>
    <xf numFmtId="0" fontId="104" fillId="5" borderId="0" xfId="26" applyFont="1" applyFill="1" applyAlignment="1" applyProtection="1">
      <alignment vertical="center" wrapText="1"/>
      <protection hidden="1"/>
    </xf>
    <xf numFmtId="0" fontId="105" fillId="5" borderId="0" xfId="0" applyFont="1" applyFill="1" applyAlignment="1">
      <alignment vertical="center" wrapText="1"/>
    </xf>
    <xf numFmtId="44" fontId="105" fillId="5" borderId="0" xfId="0" applyNumberFormat="1" applyFont="1" applyFill="1" applyAlignment="1">
      <alignment horizontal="center" vertical="center"/>
    </xf>
    <xf numFmtId="0" fontId="104" fillId="5" borderId="0" xfId="0" applyFont="1" applyFill="1" applyAlignment="1">
      <alignment horizontal="left"/>
    </xf>
    <xf numFmtId="2" fontId="104" fillId="5" borderId="0" xfId="0" applyNumberFormat="1" applyFont="1" applyFill="1" applyAlignment="1">
      <alignment horizontal="left"/>
    </xf>
    <xf numFmtId="0" fontId="51" fillId="5" borderId="0" xfId="0" applyFont="1" applyFill="1" applyAlignment="1">
      <alignment horizontal="left"/>
    </xf>
    <xf numFmtId="0" fontId="102" fillId="5" borderId="0" xfId="0" applyFont="1" applyFill="1" applyAlignment="1">
      <alignment vertical="center" wrapText="1"/>
    </xf>
    <xf numFmtId="0" fontId="51" fillId="5" borderId="0" xfId="26" applyFont="1" applyFill="1" applyAlignment="1" applyProtection="1">
      <alignment horizontal="center" vertical="center"/>
      <protection hidden="1"/>
    </xf>
    <xf numFmtId="0" fontId="105" fillId="5" borderId="0" xfId="0" applyFont="1" applyFill="1" applyAlignment="1" applyProtection="1">
      <alignment vertical="center" wrapText="1"/>
      <protection hidden="1"/>
    </xf>
    <xf numFmtId="0" fontId="51" fillId="5" borderId="0" xfId="26" applyFont="1" applyFill="1" applyAlignment="1" applyProtection="1">
      <alignment horizontal="right" vertical="center" wrapText="1"/>
      <protection hidden="1"/>
    </xf>
    <xf numFmtId="171" fontId="46" fillId="5" borderId="0" xfId="0" applyNumberFormat="1" applyFont="1" applyFill="1" applyAlignment="1">
      <alignment horizontal="center" vertical="center"/>
    </xf>
    <xf numFmtId="0" fontId="105" fillId="5" borderId="0" xfId="0" applyFont="1" applyFill="1" applyAlignment="1">
      <alignment vertical="center"/>
    </xf>
    <xf numFmtId="0" fontId="65" fillId="5" borderId="0" xfId="0" applyFont="1" applyFill="1" applyAlignment="1">
      <alignment vertical="center"/>
    </xf>
    <xf numFmtId="44" fontId="65" fillId="5" borderId="0" xfId="0" applyNumberFormat="1" applyFont="1" applyFill="1" applyAlignment="1">
      <alignment horizontal="center" vertical="center" wrapText="1"/>
    </xf>
    <xf numFmtId="44" fontId="65" fillId="5" borderId="0" xfId="0" applyNumberFormat="1" applyFont="1" applyFill="1" applyAlignment="1">
      <alignment vertical="center" wrapText="1"/>
    </xf>
    <xf numFmtId="0" fontId="51" fillId="5" borderId="0" xfId="26" applyFont="1" applyFill="1" applyAlignment="1" applyProtection="1">
      <alignment horizontal="left" vertical="center" wrapText="1"/>
      <protection hidden="1"/>
    </xf>
    <xf numFmtId="0" fontId="102" fillId="5" borderId="0" xfId="0" applyFont="1" applyFill="1" applyAlignment="1">
      <alignment vertical="center"/>
    </xf>
    <xf numFmtId="0" fontId="33" fillId="5" borderId="0" xfId="0" applyFont="1" applyFill="1" applyAlignment="1">
      <alignment horizontal="left" vertical="center"/>
    </xf>
    <xf numFmtId="2" fontId="33" fillId="5" borderId="0" xfId="0" applyNumberFormat="1" applyFont="1" applyFill="1" applyAlignment="1">
      <alignment horizontal="left" vertical="center"/>
    </xf>
    <xf numFmtId="0" fontId="36" fillId="5" borderId="0" xfId="0" applyFont="1" applyFill="1" applyAlignment="1">
      <alignment horizontal="center" vertical="center"/>
    </xf>
    <xf numFmtId="0" fontId="92" fillId="5" borderId="0" xfId="0" applyFont="1" applyFill="1" applyAlignment="1">
      <alignment horizontal="center" vertical="center" wrapText="1"/>
    </xf>
    <xf numFmtId="0" fontId="65" fillId="5" borderId="0" xfId="0" applyFont="1" applyFill="1" applyAlignment="1">
      <alignment vertical="center" wrapText="1"/>
    </xf>
    <xf numFmtId="0" fontId="107" fillId="5" borderId="0" xfId="0" applyFont="1" applyFill="1" applyAlignment="1">
      <alignment vertical="center" wrapText="1"/>
    </xf>
    <xf numFmtId="0" fontId="108" fillId="5" borderId="0" xfId="0" applyFont="1" applyFill="1" applyAlignment="1">
      <alignment vertical="center" wrapText="1"/>
    </xf>
    <xf numFmtId="10" fontId="102" fillId="5" borderId="0" xfId="0" applyNumberFormat="1" applyFont="1" applyFill="1" applyAlignment="1">
      <alignment horizontal="right" vertical="center"/>
    </xf>
    <xf numFmtId="14" fontId="105" fillId="5" borderId="0" xfId="0" applyNumberFormat="1" applyFont="1" applyFill="1" applyAlignment="1">
      <alignment horizontal="right" vertical="center"/>
    </xf>
    <xf numFmtId="14" fontId="102" fillId="5" borderId="0" xfId="0" applyNumberFormat="1" applyFont="1" applyFill="1" applyAlignment="1">
      <alignment horizontal="right" vertical="center"/>
    </xf>
    <xf numFmtId="166" fontId="114" fillId="5" borderId="0" xfId="25" quotePrefix="1" applyNumberFormat="1" applyFont="1" applyFill="1" applyAlignment="1" applyProtection="1">
      <alignment horizontal="left" vertical="center"/>
      <protection hidden="1"/>
    </xf>
    <xf numFmtId="1" fontId="115" fillId="5" borderId="0" xfId="1" applyNumberFormat="1" applyFont="1" applyFill="1" applyBorder="1" applyAlignment="1" applyProtection="1">
      <alignment horizontal="center" vertical="center" wrapText="1"/>
      <protection hidden="1"/>
    </xf>
    <xf numFmtId="0" fontId="99" fillId="5" borderId="0" xfId="25" applyFont="1" applyFill="1" applyAlignment="1" applyProtection="1">
      <alignment vertical="top" wrapText="1"/>
      <protection hidden="1"/>
    </xf>
    <xf numFmtId="0" fontId="94" fillId="5" borderId="179" xfId="0" applyFont="1" applyFill="1" applyBorder="1"/>
    <xf numFmtId="0" fontId="21" fillId="28" borderId="0" xfId="8" applyFont="1" applyFill="1" applyAlignment="1" applyProtection="1">
      <alignment vertical="center"/>
      <protection hidden="1"/>
    </xf>
    <xf numFmtId="0" fontId="26" fillId="28" borderId="0" xfId="8" applyFont="1" applyFill="1" applyAlignment="1" applyProtection="1">
      <alignment vertical="center"/>
      <protection hidden="1"/>
    </xf>
    <xf numFmtId="0" fontId="21" fillId="28" borderId="0" xfId="8" applyFont="1" applyFill="1" applyProtection="1">
      <protection hidden="1"/>
    </xf>
    <xf numFmtId="166" fontId="5" fillId="0" borderId="0" xfId="8" applyNumberFormat="1" applyFont="1" applyAlignment="1" applyProtection="1">
      <alignment horizontal="center"/>
      <protection hidden="1"/>
    </xf>
    <xf numFmtId="0" fontId="37" fillId="0" borderId="0" xfId="8" applyFont="1" applyAlignment="1" applyProtection="1">
      <alignment vertical="center"/>
      <protection hidden="1"/>
    </xf>
    <xf numFmtId="0" fontId="39" fillId="0" borderId="0" xfId="8" applyFont="1" applyAlignment="1" applyProtection="1">
      <alignment vertical="center"/>
      <protection hidden="1"/>
    </xf>
    <xf numFmtId="0" fontId="56" fillId="0" borderId="0" xfId="8" applyFont="1" applyAlignment="1" applyProtection="1">
      <alignment horizontal="left" vertical="center" wrapText="1"/>
      <protection hidden="1"/>
    </xf>
    <xf numFmtId="0" fontId="35" fillId="0" borderId="0" xfId="8" applyFont="1" applyAlignment="1" applyProtection="1">
      <alignment vertical="center"/>
      <protection hidden="1"/>
    </xf>
    <xf numFmtId="172" fontId="38" fillId="0" borderId="0" xfId="8" applyNumberFormat="1" applyFont="1" applyAlignment="1" applyProtection="1">
      <alignment horizontal="left" vertical="center"/>
      <protection locked="0"/>
    </xf>
    <xf numFmtId="0" fontId="57" fillId="0" borderId="0" xfId="8" applyFont="1" applyAlignment="1" applyProtection="1">
      <alignment horizontal="right"/>
      <protection hidden="1"/>
    </xf>
    <xf numFmtId="0" fontId="39" fillId="0" borderId="0" xfId="0" applyFont="1" applyAlignment="1" applyProtection="1">
      <alignment vertical="center" wrapText="1"/>
      <protection hidden="1"/>
    </xf>
    <xf numFmtId="0" fontId="5" fillId="0" borderId="0" xfId="8" applyFont="1" applyAlignment="1" applyProtection="1">
      <alignment vertical="center"/>
      <protection hidden="1"/>
    </xf>
    <xf numFmtId="0" fontId="39" fillId="0" borderId="0" xfId="0" applyFont="1" applyAlignment="1" applyProtection="1">
      <alignment horizontal="right" vertical="center" wrapText="1"/>
      <protection hidden="1"/>
    </xf>
    <xf numFmtId="0" fontId="5" fillId="0" borderId="0" xfId="0" applyFont="1" applyAlignment="1" applyProtection="1">
      <alignment horizontal="left" vertical="center" wrapText="1"/>
      <protection hidden="1"/>
    </xf>
    <xf numFmtId="171" fontId="5" fillId="0" borderId="0" xfId="0" applyNumberFormat="1" applyFont="1" applyAlignment="1" applyProtection="1">
      <alignment horizontal="right" vertical="center" wrapText="1"/>
      <protection hidden="1"/>
    </xf>
    <xf numFmtId="171" fontId="39" fillId="0" borderId="0" xfId="0" applyNumberFormat="1" applyFont="1" applyAlignment="1" applyProtection="1">
      <alignment horizontal="right" vertical="center" wrapText="1"/>
      <protection hidden="1"/>
    </xf>
    <xf numFmtId="171" fontId="5" fillId="0" borderId="0" xfId="0" applyNumberFormat="1" applyFont="1" applyAlignment="1" applyProtection="1">
      <alignment horizontal="left" vertical="center" wrapText="1"/>
      <protection hidden="1"/>
    </xf>
    <xf numFmtId="0" fontId="5" fillId="0" borderId="0" xfId="8" applyFont="1" applyAlignment="1" applyProtection="1">
      <alignment horizontal="left" vertical="center"/>
      <protection hidden="1"/>
    </xf>
    <xf numFmtId="0" fontId="37" fillId="0" borderId="0" xfId="8" applyFont="1" applyAlignment="1" applyProtection="1">
      <alignment horizontal="right" vertical="center"/>
      <protection hidden="1"/>
    </xf>
    <xf numFmtId="171" fontId="5" fillId="0" borderId="0" xfId="0" applyNumberFormat="1" applyFont="1" applyAlignment="1">
      <alignment horizontal="left" vertical="center" wrapText="1"/>
    </xf>
    <xf numFmtId="171" fontId="37" fillId="0" borderId="0" xfId="0" applyNumberFormat="1" applyFont="1" applyAlignment="1">
      <alignment horizontal="right" vertical="center" wrapText="1"/>
    </xf>
    <xf numFmtId="49" fontId="43" fillId="0" borderId="0" xfId="8" applyNumberFormat="1" applyFont="1" applyAlignment="1" applyProtection="1">
      <alignment horizontal="left" vertical="center" wrapText="1"/>
      <protection hidden="1"/>
    </xf>
    <xf numFmtId="49" fontId="37" fillId="0" borderId="0" xfId="8" applyNumberFormat="1" applyFont="1" applyAlignment="1">
      <alignment horizontal="left" vertical="top" wrapText="1"/>
    </xf>
    <xf numFmtId="1" fontId="61" fillId="0" borderId="0" xfId="8" applyNumberFormat="1" applyFont="1" applyAlignment="1" applyProtection="1">
      <alignment vertical="center"/>
      <protection hidden="1"/>
    </xf>
    <xf numFmtId="0" fontId="5" fillId="0" borderId="0" xfId="8" applyFont="1" applyAlignment="1" applyProtection="1">
      <alignment horizontal="center" vertical="center"/>
      <protection hidden="1"/>
    </xf>
    <xf numFmtId="0" fontId="21" fillId="28" borderId="0" xfId="8" applyFont="1" applyFill="1" applyAlignment="1" applyProtection="1">
      <alignment horizontal="center" vertical="center"/>
      <protection hidden="1"/>
    </xf>
    <xf numFmtId="0" fontId="21" fillId="5" borderId="0" xfId="8" applyFont="1" applyFill="1" applyAlignment="1" applyProtection="1">
      <alignment vertical="center"/>
      <protection hidden="1"/>
    </xf>
    <xf numFmtId="0" fontId="26" fillId="5" borderId="0" xfId="8" applyFont="1" applyFill="1" applyAlignment="1" applyProtection="1">
      <alignment vertical="center"/>
      <protection hidden="1"/>
    </xf>
    <xf numFmtId="0" fontId="116" fillId="0" borderId="0" xfId="8" applyFont="1" applyAlignment="1" applyProtection="1">
      <alignment vertical="center"/>
      <protection hidden="1"/>
    </xf>
    <xf numFmtId="0" fontId="85" fillId="0" borderId="0" xfId="8" applyFont="1" applyAlignment="1" applyProtection="1">
      <alignment vertical="center"/>
      <protection hidden="1"/>
    </xf>
    <xf numFmtId="0" fontId="117" fillId="0" borderId="0" xfId="8" applyFont="1" applyAlignment="1" applyProtection="1">
      <alignment vertical="center"/>
      <protection hidden="1"/>
    </xf>
    <xf numFmtId="0" fontId="117" fillId="0" borderId="0" xfId="0" applyFont="1" applyAlignment="1" applyProtection="1">
      <alignment horizontal="left" vertical="center" wrapText="1"/>
      <protection hidden="1"/>
    </xf>
    <xf numFmtId="49" fontId="118" fillId="0" borderId="0" xfId="8" applyNumberFormat="1" applyFont="1" applyAlignment="1" applyProtection="1">
      <alignment horizontal="left" vertical="center" wrapText="1"/>
      <protection hidden="1"/>
    </xf>
    <xf numFmtId="0" fontId="116" fillId="0" borderId="0" xfId="0" applyFont="1" applyAlignment="1" applyProtection="1">
      <alignment horizontal="right" vertical="center" wrapText="1"/>
      <protection hidden="1"/>
    </xf>
    <xf numFmtId="0" fontId="85" fillId="0" borderId="0" xfId="8" applyFont="1" applyAlignment="1" applyProtection="1">
      <alignment horizontal="right" vertical="center"/>
      <protection hidden="1"/>
    </xf>
    <xf numFmtId="171" fontId="85" fillId="0" borderId="0" xfId="0" applyNumberFormat="1" applyFont="1" applyAlignment="1">
      <alignment horizontal="right" vertical="center" wrapText="1"/>
    </xf>
    <xf numFmtId="0" fontId="117" fillId="0" borderId="0" xfId="8" applyFont="1" applyAlignment="1" applyProtection="1">
      <alignment horizontal="right" vertical="center"/>
      <protection hidden="1"/>
    </xf>
    <xf numFmtId="0" fontId="116" fillId="0" borderId="0" xfId="8" applyFont="1" applyProtection="1">
      <protection hidden="1"/>
    </xf>
    <xf numFmtId="49" fontId="85" fillId="0" borderId="0" xfId="8" applyNumberFormat="1" applyFont="1" applyAlignment="1">
      <alignment horizontal="left" vertical="top" wrapText="1"/>
    </xf>
    <xf numFmtId="0" fontId="85" fillId="0" borderId="0" xfId="8" applyFont="1" applyAlignment="1" applyProtection="1">
      <alignment horizontal="left" vertical="center" wrapText="1"/>
      <protection hidden="1"/>
    </xf>
    <xf numFmtId="0" fontId="85" fillId="0" borderId="0" xfId="8" applyFont="1" applyProtection="1">
      <protection hidden="1"/>
    </xf>
    <xf numFmtId="1" fontId="85" fillId="0" borderId="0" xfId="8" applyNumberFormat="1" applyFont="1" applyAlignment="1" applyProtection="1">
      <alignment vertical="center"/>
      <protection hidden="1"/>
    </xf>
    <xf numFmtId="0" fontId="120" fillId="0" borderId="0" xfId="2" applyFont="1" applyBorder="1" applyAlignment="1" applyProtection="1">
      <protection locked="0" hidden="1"/>
    </xf>
    <xf numFmtId="0" fontId="117" fillId="0" borderId="0" xfId="0" applyFont="1"/>
    <xf numFmtId="0" fontId="99" fillId="0" borderId="0" xfId="8" applyFont="1" applyAlignment="1" applyProtection="1">
      <alignment vertical="center"/>
      <protection hidden="1"/>
    </xf>
    <xf numFmtId="0" fontId="99" fillId="0" borderId="0" xfId="8" applyFont="1" applyProtection="1">
      <protection hidden="1"/>
    </xf>
    <xf numFmtId="0" fontId="33" fillId="14" borderId="115" xfId="10" applyFont="1" applyFill="1" applyBorder="1" applyAlignment="1" applyProtection="1">
      <alignment horizontal="center" vertical="center" wrapText="1"/>
      <protection hidden="1"/>
    </xf>
    <xf numFmtId="0" fontId="33" fillId="14" borderId="66" xfId="10" applyFont="1" applyFill="1" applyBorder="1" applyAlignment="1" applyProtection="1">
      <alignment horizontal="center" vertical="center" wrapText="1"/>
      <protection hidden="1"/>
    </xf>
    <xf numFmtId="0" fontId="33" fillId="14" borderId="185" xfId="10" applyFont="1" applyFill="1" applyBorder="1" applyAlignment="1" applyProtection="1">
      <alignment horizontal="center" vertical="center" wrapText="1"/>
      <protection hidden="1"/>
    </xf>
    <xf numFmtId="0" fontId="33" fillId="14" borderId="183" xfId="10" applyFont="1" applyFill="1" applyBorder="1" applyAlignment="1" applyProtection="1">
      <alignment horizontal="center" vertical="center" wrapText="1"/>
      <protection hidden="1"/>
    </xf>
    <xf numFmtId="49" fontId="39" fillId="0" borderId="1" xfId="8" applyNumberFormat="1" applyFont="1" applyBorder="1" applyAlignment="1" applyProtection="1">
      <alignment horizontal="center" vertical="center" wrapText="1"/>
      <protection locked="0"/>
    </xf>
    <xf numFmtId="49" fontId="39" fillId="0" borderId="23" xfId="8" applyNumberFormat="1" applyFont="1" applyBorder="1" applyAlignment="1" applyProtection="1">
      <alignment horizontal="center" vertical="center" wrapText="1"/>
      <protection locked="0"/>
    </xf>
    <xf numFmtId="0" fontId="33" fillId="14" borderId="67" xfId="10" applyFont="1" applyFill="1" applyBorder="1" applyAlignment="1" applyProtection="1">
      <alignment horizontal="center" vertical="center" wrapText="1"/>
      <protection hidden="1"/>
    </xf>
    <xf numFmtId="0" fontId="33" fillId="14" borderId="68" xfId="10" applyFont="1" applyFill="1" applyBorder="1" applyAlignment="1" applyProtection="1">
      <alignment horizontal="center" vertical="center" wrapText="1"/>
      <protection hidden="1"/>
    </xf>
    <xf numFmtId="14" fontId="37" fillId="14" borderId="65" xfId="10" applyNumberFormat="1" applyFont="1" applyFill="1" applyBorder="1" applyAlignment="1" applyProtection="1">
      <alignment horizontal="center" vertical="center"/>
      <protection locked="0"/>
    </xf>
    <xf numFmtId="1" fontId="37" fillId="14" borderId="26" xfId="10" applyNumberFormat="1" applyFont="1" applyFill="1" applyBorder="1" applyAlignment="1" applyProtection="1">
      <alignment horizontal="center" vertical="center"/>
      <protection locked="0"/>
    </xf>
    <xf numFmtId="0" fontId="5" fillId="29" borderId="184" xfId="10" applyFont="1" applyFill="1" applyBorder="1" applyAlignment="1" applyProtection="1">
      <alignment vertical="center"/>
      <protection hidden="1"/>
    </xf>
    <xf numFmtId="0" fontId="5" fillId="29" borderId="32" xfId="10" applyFont="1" applyFill="1" applyBorder="1" applyAlignment="1" applyProtection="1">
      <alignment vertical="center"/>
      <protection hidden="1"/>
    </xf>
    <xf numFmtId="0" fontId="5" fillId="29" borderId="33" xfId="10" applyFont="1" applyFill="1" applyBorder="1" applyAlignment="1" applyProtection="1">
      <alignment vertical="center"/>
      <protection hidden="1"/>
    </xf>
    <xf numFmtId="0" fontId="53" fillId="29" borderId="187" xfId="10" applyFont="1" applyFill="1" applyBorder="1" applyAlignment="1" applyProtection="1">
      <alignment horizontal="center" vertical="center"/>
      <protection hidden="1"/>
    </xf>
    <xf numFmtId="0" fontId="5" fillId="29" borderId="188" xfId="10" applyFont="1" applyFill="1" applyBorder="1" applyAlignment="1" applyProtection="1">
      <alignment vertical="center"/>
      <protection hidden="1"/>
    </xf>
    <xf numFmtId="0" fontId="53" fillId="29" borderId="189" xfId="10" applyFont="1" applyFill="1" applyBorder="1" applyAlignment="1" applyProtection="1">
      <alignment horizontal="center" vertical="center"/>
      <protection hidden="1"/>
    </xf>
    <xf numFmtId="0" fontId="5" fillId="29" borderId="191" xfId="10" applyFont="1" applyFill="1" applyBorder="1" applyAlignment="1" applyProtection="1">
      <alignment vertical="center"/>
      <protection hidden="1"/>
    </xf>
    <xf numFmtId="0" fontId="5" fillId="29" borderId="194" xfId="10" applyFont="1" applyFill="1" applyBorder="1" applyAlignment="1" applyProtection="1">
      <alignment vertical="center"/>
      <protection hidden="1"/>
    </xf>
    <xf numFmtId="0" fontId="60" fillId="14" borderId="115" xfId="10" applyFont="1" applyFill="1" applyBorder="1" applyAlignment="1" applyProtection="1">
      <alignment horizontal="center" vertical="center" wrapText="1"/>
      <protection hidden="1"/>
    </xf>
    <xf numFmtId="0" fontId="37" fillId="14" borderId="67" xfId="10" applyFont="1" applyFill="1" applyBorder="1" applyAlignment="1" applyProtection="1">
      <alignment vertical="center"/>
      <protection hidden="1"/>
    </xf>
    <xf numFmtId="0" fontId="53" fillId="29" borderId="195" xfId="10" applyFont="1" applyFill="1" applyBorder="1" applyAlignment="1" applyProtection="1">
      <alignment horizontal="center" vertical="center" wrapText="1"/>
      <protection hidden="1"/>
    </xf>
    <xf numFmtId="0" fontId="5" fillId="29" borderId="196" xfId="10" applyFont="1" applyFill="1" applyBorder="1" applyAlignment="1" applyProtection="1">
      <alignment vertical="center"/>
      <protection hidden="1"/>
    </xf>
    <xf numFmtId="166" fontId="16" fillId="14" borderId="0" xfId="8" applyNumberFormat="1" applyFont="1" applyFill="1" applyAlignment="1" applyProtection="1">
      <alignment horizontal="center"/>
      <protection hidden="1"/>
    </xf>
    <xf numFmtId="0" fontId="5" fillId="28" borderId="0" xfId="0" applyFont="1" applyFill="1" applyAlignment="1">
      <alignment horizontal="center"/>
    </xf>
    <xf numFmtId="166" fontId="5" fillId="28" borderId="0" xfId="0" applyNumberFormat="1" applyFont="1" applyFill="1" applyAlignment="1">
      <alignment horizontal="center"/>
    </xf>
    <xf numFmtId="0" fontId="5" fillId="28" borderId="0" xfId="0" applyFont="1" applyFill="1" applyAlignment="1">
      <alignment horizontal="left" wrapText="1"/>
    </xf>
    <xf numFmtId="1" fontId="5" fillId="28" borderId="0" xfId="0" applyNumberFormat="1" applyFont="1" applyFill="1" applyAlignment="1">
      <alignment horizontal="center"/>
    </xf>
    <xf numFmtId="0" fontId="5" fillId="28" borderId="0" xfId="0" applyFont="1" applyFill="1" applyAlignment="1">
      <alignment horizontal="left"/>
    </xf>
    <xf numFmtId="5" fontId="5" fillId="28" borderId="0" xfId="1" applyNumberFormat="1" applyFont="1" applyFill="1"/>
    <xf numFmtId="164" fontId="5" fillId="28" borderId="0" xfId="0" applyNumberFormat="1" applyFont="1" applyFill="1"/>
    <xf numFmtId="0" fontId="5" fillId="28" borderId="0" xfId="0" applyFont="1" applyFill="1"/>
    <xf numFmtId="0" fontId="16" fillId="28" borderId="0" xfId="0" applyFont="1" applyFill="1"/>
    <xf numFmtId="0" fontId="16" fillId="28" borderId="0" xfId="0" applyFont="1" applyFill="1" applyAlignment="1">
      <alignment horizontal="center"/>
    </xf>
    <xf numFmtId="166" fontId="16" fillId="28" borderId="0" xfId="0" applyNumberFormat="1" applyFont="1" applyFill="1" applyAlignment="1">
      <alignment horizontal="center"/>
    </xf>
    <xf numFmtId="0" fontId="16" fillId="28" borderId="0" xfId="0" applyFont="1" applyFill="1" applyAlignment="1">
      <alignment horizontal="left" wrapText="1"/>
    </xf>
    <xf numFmtId="1" fontId="16" fillId="28" borderId="0" xfId="0" applyNumberFormat="1" applyFont="1" applyFill="1" applyAlignment="1">
      <alignment horizontal="center"/>
    </xf>
    <xf numFmtId="0" fontId="16" fillId="28" borderId="0" xfId="0" applyFont="1" applyFill="1" applyAlignment="1">
      <alignment horizontal="left"/>
    </xf>
    <xf numFmtId="5" fontId="16" fillId="28" borderId="0" xfId="1" applyNumberFormat="1" applyFont="1" applyFill="1"/>
    <xf numFmtId="164" fontId="16" fillId="28" borderId="0" xfId="0" applyNumberFormat="1" applyFont="1" applyFill="1"/>
    <xf numFmtId="0" fontId="16" fillId="28" borderId="153" xfId="0" applyFont="1" applyFill="1" applyBorder="1"/>
    <xf numFmtId="169" fontId="88" fillId="28" borderId="153" xfId="0" applyNumberFormat="1" applyFont="1" applyFill="1" applyBorder="1" applyAlignment="1">
      <alignment horizontal="right" vertical="center"/>
    </xf>
    <xf numFmtId="0" fontId="16" fillId="28" borderId="0" xfId="0" applyFont="1" applyFill="1" applyAlignment="1">
      <alignment vertical="center"/>
    </xf>
    <xf numFmtId="0" fontId="53" fillId="0" borderId="2" xfId="0" applyFont="1" applyBorder="1" applyAlignment="1">
      <alignment horizontal="left" vertical="top" wrapText="1"/>
    </xf>
    <xf numFmtId="171" fontId="77" fillId="29" borderId="171" xfId="0" applyNumberFormat="1" applyFont="1" applyFill="1" applyBorder="1" applyAlignment="1" applyProtection="1">
      <alignment horizontal="center" vertical="center"/>
      <protection hidden="1"/>
    </xf>
    <xf numFmtId="0" fontId="109" fillId="30" borderId="65" xfId="0" applyFont="1" applyFill="1" applyBorder="1" applyAlignment="1" applyProtection="1">
      <alignment horizontal="center" vertical="center" wrapText="1"/>
      <protection hidden="1"/>
    </xf>
    <xf numFmtId="0" fontId="109" fillId="30" borderId="20" xfId="0" applyFont="1" applyFill="1" applyBorder="1" applyAlignment="1" applyProtection="1">
      <alignment horizontal="center" vertical="center" wrapText="1"/>
      <protection hidden="1"/>
    </xf>
    <xf numFmtId="0" fontId="110" fillId="14" borderId="20" xfId="0" applyFont="1" applyFill="1" applyBorder="1" applyAlignment="1" applyProtection="1">
      <alignment horizontal="center" vertical="center" wrapText="1"/>
      <protection hidden="1"/>
    </xf>
    <xf numFmtId="0" fontId="109" fillId="14" borderId="20" xfId="0" applyFont="1" applyFill="1" applyBorder="1" applyAlignment="1" applyProtection="1">
      <alignment horizontal="center" vertical="center" wrapText="1"/>
      <protection hidden="1"/>
    </xf>
    <xf numFmtId="0" fontId="109" fillId="14" borderId="20" xfId="0" applyFont="1" applyFill="1" applyBorder="1" applyAlignment="1">
      <alignment horizontal="center" vertical="center" wrapText="1"/>
    </xf>
    <xf numFmtId="0" fontId="110" fillId="14" borderId="27" xfId="0" applyFont="1" applyFill="1" applyBorder="1" applyAlignment="1" applyProtection="1">
      <alignment horizontal="center" vertical="center" wrapText="1"/>
      <protection hidden="1"/>
    </xf>
    <xf numFmtId="0" fontId="109" fillId="30" borderId="27" xfId="0" applyFont="1" applyFill="1" applyBorder="1" applyAlignment="1" applyProtection="1">
      <alignment horizontal="center" vertical="center" wrapText="1"/>
      <protection hidden="1"/>
    </xf>
    <xf numFmtId="0" fontId="104" fillId="14" borderId="1" xfId="0" applyFont="1" applyFill="1" applyBorder="1" applyAlignment="1">
      <alignment wrapText="1"/>
    </xf>
    <xf numFmtId="0" fontId="80" fillId="5" borderId="0" xfId="0" applyFont="1" applyFill="1"/>
    <xf numFmtId="0" fontId="75" fillId="28" borderId="0" xfId="0" applyFont="1" applyFill="1"/>
    <xf numFmtId="0" fontId="75" fillId="28" borderId="0" xfId="0" applyFont="1" applyFill="1" applyAlignment="1">
      <alignment vertical="center"/>
    </xf>
    <xf numFmtId="0" fontId="85" fillId="0" borderId="179" xfId="8" applyFont="1" applyBorder="1" applyAlignment="1" applyProtection="1">
      <alignment horizontal="left" vertical="center"/>
      <protection hidden="1"/>
    </xf>
    <xf numFmtId="0" fontId="37" fillId="0" borderId="179" xfId="8" applyFont="1" applyBorder="1" applyAlignment="1" applyProtection="1">
      <alignment vertical="center"/>
      <protection hidden="1"/>
    </xf>
    <xf numFmtId="171" fontId="37" fillId="0" borderId="1" xfId="0" applyNumberFormat="1" applyFont="1" applyBorder="1" applyAlignment="1" applyProtection="1">
      <alignment horizontal="right" vertical="center" wrapText="1"/>
      <protection locked="0"/>
    </xf>
    <xf numFmtId="171" fontId="5" fillId="29" borderId="1" xfId="0" applyNumberFormat="1" applyFont="1" applyFill="1" applyBorder="1" applyAlignment="1">
      <alignment horizontal="right" vertical="center" wrapText="1"/>
    </xf>
    <xf numFmtId="166" fontId="95" fillId="14" borderId="0" xfId="25" quotePrefix="1" applyNumberFormat="1" applyFont="1" applyFill="1" applyAlignment="1" applyProtection="1">
      <alignment horizontal="left" vertical="center"/>
      <protection hidden="1"/>
    </xf>
    <xf numFmtId="0" fontId="105" fillId="14" borderId="177" xfId="0" applyFont="1" applyFill="1" applyBorder="1" applyAlignment="1" applyProtection="1">
      <alignment vertical="center" wrapText="1"/>
      <protection hidden="1"/>
    </xf>
    <xf numFmtId="166" fontId="95" fillId="14" borderId="0" xfId="25" quotePrefix="1" applyNumberFormat="1" applyFont="1" applyFill="1" applyAlignment="1" applyProtection="1">
      <alignment vertical="center"/>
      <protection hidden="1"/>
    </xf>
    <xf numFmtId="171" fontId="46" fillId="29" borderId="20" xfId="0" applyNumberFormat="1" applyFont="1" applyFill="1" applyBorder="1" applyAlignment="1" applyProtection="1">
      <alignment horizontal="right" vertical="center"/>
      <protection hidden="1"/>
    </xf>
    <xf numFmtId="171" fontId="46" fillId="29" borderId="1" xfId="0" applyNumberFormat="1" applyFont="1" applyFill="1" applyBorder="1" applyAlignment="1" applyProtection="1">
      <alignment horizontal="right" vertical="center"/>
      <protection hidden="1"/>
    </xf>
    <xf numFmtId="10" fontId="77" fillId="29" borderId="1" xfId="0" applyNumberFormat="1" applyFont="1" applyFill="1" applyBorder="1" applyAlignment="1" applyProtection="1">
      <alignment horizontal="right" vertical="center"/>
      <protection hidden="1"/>
    </xf>
    <xf numFmtId="14" fontId="77" fillId="29" borderId="1" xfId="0" applyNumberFormat="1" applyFont="1" applyFill="1" applyBorder="1" applyAlignment="1" applyProtection="1">
      <alignment horizontal="right" vertical="center"/>
      <protection hidden="1"/>
    </xf>
    <xf numFmtId="14" fontId="46" fillId="29" borderId="64" xfId="0" applyNumberFormat="1" applyFont="1" applyFill="1" applyBorder="1" applyAlignment="1" applyProtection="1">
      <alignment horizontal="right" vertical="center"/>
      <protection hidden="1"/>
    </xf>
    <xf numFmtId="14" fontId="46" fillId="29" borderId="175" xfId="0" applyNumberFormat="1" applyFont="1" applyFill="1" applyBorder="1" applyAlignment="1" applyProtection="1">
      <alignment horizontal="right" vertical="center"/>
      <protection hidden="1"/>
    </xf>
    <xf numFmtId="0" fontId="46" fillId="29" borderId="1" xfId="0" applyFont="1" applyFill="1" applyBorder="1" applyAlignment="1" applyProtection="1">
      <alignment horizontal="right" vertical="center" wrapText="1"/>
      <protection hidden="1"/>
    </xf>
    <xf numFmtId="171" fontId="106" fillId="29" borderId="1" xfId="0" applyNumberFormat="1" applyFont="1" applyFill="1" applyBorder="1" applyAlignment="1" applyProtection="1">
      <alignment horizontal="right" vertical="center" wrapText="1"/>
      <protection hidden="1"/>
    </xf>
    <xf numFmtId="171" fontId="46" fillId="29" borderId="174" xfId="0" applyNumberFormat="1" applyFont="1" applyFill="1" applyBorder="1" applyAlignment="1" applyProtection="1">
      <alignment horizontal="right" vertical="center"/>
      <protection hidden="1"/>
    </xf>
    <xf numFmtId="171" fontId="106" fillId="29" borderId="174" xfId="0" applyNumberFormat="1" applyFont="1" applyFill="1" applyBorder="1" applyAlignment="1" applyProtection="1">
      <alignment horizontal="right" vertical="center"/>
      <protection hidden="1"/>
    </xf>
    <xf numFmtId="2" fontId="80" fillId="5" borderId="0" xfId="25" applyNumberFormat="1" applyFont="1" applyFill="1" applyAlignment="1" applyProtection="1">
      <alignment horizontal="center" vertical="center"/>
      <protection locked="0" hidden="1"/>
    </xf>
    <xf numFmtId="0" fontId="80" fillId="5" borderId="0" xfId="25" applyFont="1" applyFill="1" applyAlignment="1" applyProtection="1">
      <alignment horizontal="center" vertical="center"/>
      <protection locked="0" hidden="1"/>
    </xf>
    <xf numFmtId="0" fontId="80" fillId="5" borderId="0" xfId="0" applyFont="1" applyFill="1" applyProtection="1">
      <protection hidden="1"/>
    </xf>
    <xf numFmtId="0" fontId="80" fillId="5" borderId="0" xfId="0" applyFont="1" applyFill="1" applyAlignment="1" applyProtection="1">
      <alignment horizontal="left"/>
      <protection hidden="1"/>
    </xf>
    <xf numFmtId="2" fontId="80" fillId="5" borderId="0" xfId="0" applyNumberFormat="1" applyFont="1" applyFill="1" applyAlignment="1" applyProtection="1">
      <alignment horizontal="left"/>
      <protection hidden="1"/>
    </xf>
    <xf numFmtId="0" fontId="80" fillId="5" borderId="0" xfId="0" applyFont="1" applyFill="1" applyAlignment="1">
      <alignment horizontal="left"/>
    </xf>
    <xf numFmtId="0" fontId="80" fillId="5" borderId="0" xfId="25" applyFont="1" applyFill="1" applyAlignment="1" applyProtection="1">
      <alignment horizontal="center" vertical="center"/>
      <protection hidden="1"/>
    </xf>
    <xf numFmtId="0" fontId="122" fillId="5" borderId="0" xfId="0" applyFont="1" applyFill="1" applyAlignment="1" applyProtection="1">
      <alignment horizontal="center" vertical="center"/>
      <protection hidden="1"/>
    </xf>
    <xf numFmtId="44" fontId="122" fillId="5" borderId="0" xfId="0" applyNumberFormat="1" applyFont="1" applyFill="1" applyAlignment="1" applyProtection="1">
      <alignment horizontal="center" vertical="center" wrapText="1"/>
      <protection hidden="1"/>
    </xf>
    <xf numFmtId="0" fontId="122" fillId="5" borderId="0" xfId="0" applyFont="1" applyFill="1" applyAlignment="1" applyProtection="1">
      <alignment horizontal="center" vertical="center" wrapText="1"/>
      <protection hidden="1"/>
    </xf>
    <xf numFmtId="2" fontId="80" fillId="5" borderId="0" xfId="25" applyNumberFormat="1" applyFont="1" applyFill="1" applyAlignment="1" applyProtection="1">
      <alignment horizontal="center" vertical="center"/>
      <protection hidden="1"/>
    </xf>
    <xf numFmtId="166" fontId="85" fillId="5" borderId="0" xfId="25" quotePrefix="1" applyNumberFormat="1" applyFont="1" applyFill="1" applyAlignment="1" applyProtection="1">
      <alignment vertical="center"/>
      <protection hidden="1"/>
    </xf>
    <xf numFmtId="14" fontId="122" fillId="5" borderId="0" xfId="0" applyNumberFormat="1" applyFont="1" applyFill="1" applyAlignment="1" applyProtection="1">
      <alignment horizontal="center" vertical="center"/>
      <protection hidden="1"/>
    </xf>
    <xf numFmtId="44" fontId="121" fillId="5" borderId="0" xfId="0" applyNumberFormat="1" applyFont="1" applyFill="1" applyAlignment="1" applyProtection="1">
      <alignment horizontal="center" vertical="center" wrapText="1"/>
      <protection hidden="1"/>
    </xf>
    <xf numFmtId="44" fontId="122" fillId="5" borderId="0" xfId="0" applyNumberFormat="1" applyFont="1" applyFill="1" applyAlignment="1">
      <alignment horizontal="center" vertical="center" wrapText="1"/>
    </xf>
    <xf numFmtId="0" fontId="122" fillId="5" borderId="0" xfId="26" applyFont="1" applyFill="1" applyAlignment="1" applyProtection="1">
      <alignment vertical="center" wrapText="1"/>
      <protection hidden="1"/>
    </xf>
    <xf numFmtId="0" fontId="122" fillId="5" borderId="0" xfId="0" applyFont="1" applyFill="1" applyAlignment="1" applyProtection="1">
      <alignment horizontal="left" vertical="center" wrapText="1"/>
      <protection hidden="1"/>
    </xf>
    <xf numFmtId="0" fontId="122" fillId="5" borderId="0" xfId="0" applyFont="1" applyFill="1" applyAlignment="1" applyProtection="1">
      <alignment vertical="center" wrapText="1"/>
      <protection hidden="1"/>
    </xf>
    <xf numFmtId="0" fontId="121" fillId="5" borderId="0" xfId="0" applyFont="1" applyFill="1" applyAlignment="1" applyProtection="1">
      <alignment vertical="center"/>
      <protection hidden="1"/>
    </xf>
    <xf numFmtId="0" fontId="122" fillId="5" borderId="0" xfId="0" applyFont="1" applyFill="1" applyAlignment="1" applyProtection="1">
      <alignment vertical="center"/>
      <protection hidden="1"/>
    </xf>
    <xf numFmtId="0" fontId="122" fillId="5" borderId="0" xfId="0" applyFont="1" applyFill="1" applyAlignment="1">
      <alignment vertical="center"/>
    </xf>
    <xf numFmtId="14" fontId="122" fillId="5" borderId="0" xfId="0" applyNumberFormat="1" applyFont="1" applyFill="1" applyAlignment="1">
      <alignment vertical="center" wrapText="1"/>
    </xf>
    <xf numFmtId="14" fontId="80" fillId="5" borderId="0" xfId="0" applyNumberFormat="1" applyFont="1" applyFill="1" applyAlignment="1">
      <alignment horizontal="left"/>
    </xf>
    <xf numFmtId="44" fontId="122" fillId="5" borderId="0" xfId="0" applyNumberFormat="1" applyFont="1" applyFill="1" applyAlignment="1" applyProtection="1">
      <alignment horizontal="right" vertical="center"/>
      <protection hidden="1"/>
    </xf>
    <xf numFmtId="175" fontId="38" fillId="0" borderId="1" xfId="8" applyNumberFormat="1" applyFont="1" applyBorder="1" applyAlignment="1" applyProtection="1">
      <alignment horizontal="left" vertical="center"/>
      <protection locked="0"/>
    </xf>
    <xf numFmtId="14" fontId="80" fillId="5" borderId="0" xfId="25" applyNumberFormat="1" applyFont="1" applyFill="1" applyAlignment="1" applyProtection="1">
      <alignment horizontal="center" vertical="center"/>
      <protection hidden="1"/>
    </xf>
    <xf numFmtId="171" fontId="106" fillId="5" borderId="0" xfId="0" applyNumberFormat="1" applyFont="1" applyFill="1" applyAlignment="1" applyProtection="1">
      <alignment horizontal="right" vertical="center" wrapText="1"/>
      <protection hidden="1"/>
    </xf>
    <xf numFmtId="0" fontId="121" fillId="5" borderId="0" xfId="25" applyFont="1" applyFill="1" applyAlignment="1" applyProtection="1">
      <alignment horizontal="center" vertical="center" wrapText="1"/>
      <protection hidden="1"/>
    </xf>
    <xf numFmtId="171" fontId="98" fillId="5" borderId="1" xfId="27" applyNumberFormat="1" applyFont="1" applyFill="1" applyBorder="1" applyAlignment="1" applyProtection="1">
      <alignment horizontal="center" vertical="center" wrapText="1"/>
      <protection locked="0" hidden="1"/>
    </xf>
    <xf numFmtId="14" fontId="75" fillId="28" borderId="0" xfId="0" applyNumberFormat="1" applyFont="1" applyFill="1"/>
    <xf numFmtId="14" fontId="75" fillId="25" borderId="0" xfId="0" applyNumberFormat="1" applyFont="1" applyFill="1"/>
    <xf numFmtId="171" fontId="106" fillId="29" borderId="1" xfId="25" applyNumberFormat="1" applyFont="1" applyFill="1" applyBorder="1" applyAlignment="1" applyProtection="1">
      <alignment horizontal="center" vertical="center" wrapText="1"/>
      <protection hidden="1"/>
    </xf>
    <xf numFmtId="14" fontId="122" fillId="5" borderId="0" xfId="0" applyNumberFormat="1" applyFont="1" applyFill="1" applyAlignment="1" applyProtection="1">
      <alignment horizontal="left" vertical="center" wrapText="1"/>
      <protection hidden="1"/>
    </xf>
    <xf numFmtId="171" fontId="75" fillId="28" borderId="0" xfId="0" applyNumberFormat="1" applyFont="1" applyFill="1"/>
    <xf numFmtId="0" fontId="99" fillId="5" borderId="0" xfId="25" applyFont="1" applyFill="1" applyAlignment="1" applyProtection="1">
      <alignment horizontal="left" vertical="top"/>
      <protection hidden="1"/>
    </xf>
    <xf numFmtId="0" fontId="85" fillId="5" borderId="0" xfId="25" applyFont="1" applyFill="1" applyAlignment="1" applyProtection="1">
      <alignment horizontal="left" vertical="top"/>
      <protection hidden="1"/>
    </xf>
    <xf numFmtId="0" fontId="75" fillId="25" borderId="0" xfId="0" applyFont="1" applyFill="1"/>
    <xf numFmtId="0" fontId="121" fillId="5" borderId="0" xfId="25" applyFont="1" applyFill="1" applyAlignment="1" applyProtection="1">
      <alignment horizontal="left" wrapText="1"/>
      <protection hidden="1"/>
    </xf>
    <xf numFmtId="0" fontId="116" fillId="5" borderId="0" xfId="25" applyFont="1" applyFill="1" applyAlignment="1" applyProtection="1">
      <alignment horizontal="right" vertical="center" wrapText="1"/>
      <protection hidden="1"/>
    </xf>
    <xf numFmtId="166" fontId="95" fillId="5" borderId="0" xfId="25" applyNumberFormat="1" applyFont="1" applyFill="1" applyAlignment="1" applyProtection="1">
      <alignment horizontal="left" vertical="center"/>
      <protection hidden="1"/>
    </xf>
    <xf numFmtId="0" fontId="124" fillId="5" borderId="0" xfId="0" applyFont="1" applyFill="1"/>
    <xf numFmtId="14" fontId="98" fillId="29" borderId="1" xfId="1" applyNumberFormat="1" applyFont="1" applyFill="1" applyBorder="1" applyAlignment="1" applyProtection="1">
      <alignment horizontal="center" vertical="center" wrapText="1"/>
      <protection hidden="1"/>
    </xf>
    <xf numFmtId="1" fontId="98" fillId="5" borderId="1" xfId="1" applyNumberFormat="1" applyFont="1" applyFill="1" applyBorder="1" applyAlignment="1" applyProtection="1">
      <alignment horizontal="center" vertical="center" wrapText="1"/>
      <protection locked="0" hidden="1"/>
    </xf>
    <xf numFmtId="0" fontId="27" fillId="0" borderId="51" xfId="4" applyFont="1" applyBorder="1" applyAlignment="1">
      <alignment horizontal="left" vertical="center" wrapText="1"/>
    </xf>
    <xf numFmtId="1" fontId="77" fillId="29" borderId="171" xfId="0" applyNumberFormat="1" applyFont="1" applyFill="1" applyBorder="1" applyAlignment="1" applyProtection="1">
      <alignment horizontal="center" vertical="center"/>
      <protection hidden="1"/>
    </xf>
    <xf numFmtId="14" fontId="38" fillId="0" borderId="1" xfId="8" applyNumberFormat="1" applyFont="1" applyBorder="1" applyAlignment="1" applyProtection="1">
      <alignment horizontal="left" vertical="center"/>
      <protection locked="0"/>
    </xf>
    <xf numFmtId="0" fontId="88" fillId="0" borderId="0" xfId="0" applyFont="1"/>
    <xf numFmtId="2" fontId="113" fillId="5" borderId="18" xfId="0" applyNumberFormat="1" applyFont="1" applyFill="1" applyBorder="1"/>
    <xf numFmtId="2" fontId="125" fillId="5" borderId="18" xfId="0" applyNumberFormat="1" applyFont="1" applyFill="1" applyBorder="1"/>
    <xf numFmtId="0" fontId="0" fillId="29" borderId="1" xfId="0" applyFill="1" applyBorder="1" applyAlignment="1">
      <alignment horizontal="center" vertical="center"/>
    </xf>
    <xf numFmtId="0" fontId="21" fillId="14" borderId="85" xfId="0" applyFont="1" applyFill="1" applyBorder="1" applyAlignment="1">
      <alignment horizontal="center"/>
    </xf>
    <xf numFmtId="0" fontId="21" fillId="14" borderId="86" xfId="0" applyFont="1" applyFill="1" applyBorder="1" applyAlignment="1">
      <alignment horizontal="center"/>
    </xf>
    <xf numFmtId="0" fontId="21" fillId="14" borderId="87" xfId="0" applyFont="1" applyFill="1" applyBorder="1" applyAlignment="1">
      <alignment horizontal="center"/>
    </xf>
    <xf numFmtId="0" fontId="45" fillId="5" borderId="0" xfId="0" applyFont="1" applyFill="1" applyAlignment="1">
      <alignment horizontal="left" vertical="top"/>
    </xf>
    <xf numFmtId="0" fontId="5" fillId="5" borderId="0" xfId="0" applyFont="1" applyFill="1" applyAlignment="1">
      <alignment horizontal="left" vertical="top" wrapText="1"/>
    </xf>
    <xf numFmtId="0" fontId="5" fillId="5" borderId="84" xfId="0" applyFont="1" applyFill="1" applyBorder="1" applyAlignment="1">
      <alignment horizontal="left" vertical="top" wrapText="1"/>
    </xf>
    <xf numFmtId="0" fontId="21" fillId="5" borderId="16" xfId="0" applyFont="1" applyFill="1" applyBorder="1" applyAlignment="1">
      <alignment horizontal="left" vertical="top" wrapText="1"/>
    </xf>
    <xf numFmtId="0" fontId="21" fillId="5" borderId="2" xfId="0" applyFont="1" applyFill="1" applyBorder="1" applyAlignment="1">
      <alignment horizontal="left" vertical="top" wrapText="1"/>
    </xf>
    <xf numFmtId="0" fontId="21" fillId="5" borderId="3" xfId="0" applyFont="1" applyFill="1" applyBorder="1" applyAlignment="1">
      <alignment horizontal="left" vertical="top" wrapText="1"/>
    </xf>
    <xf numFmtId="0" fontId="21" fillId="5" borderId="15" xfId="0" applyFont="1" applyFill="1" applyBorder="1" applyAlignment="1">
      <alignment horizontal="left" vertical="top" wrapText="1"/>
    </xf>
    <xf numFmtId="0" fontId="21" fillId="5" borderId="0" xfId="0" applyFont="1" applyFill="1" applyAlignment="1">
      <alignment horizontal="left" vertical="top" wrapText="1"/>
    </xf>
    <xf numFmtId="0" fontId="21" fillId="5" borderId="4" xfId="0" applyFont="1" applyFill="1" applyBorder="1" applyAlignment="1">
      <alignment horizontal="left" vertical="top" wrapText="1"/>
    </xf>
    <xf numFmtId="0" fontId="21" fillId="5" borderId="5" xfId="0" applyFont="1" applyFill="1" applyBorder="1" applyAlignment="1">
      <alignment horizontal="left" vertical="top" wrapText="1"/>
    </xf>
    <xf numFmtId="0" fontId="21" fillId="5" borderId="6" xfId="0" applyFont="1" applyFill="1" applyBorder="1" applyAlignment="1">
      <alignment horizontal="left" vertical="top" wrapText="1"/>
    </xf>
    <xf numFmtId="0" fontId="21" fillId="5" borderId="7" xfId="0" applyFont="1" applyFill="1" applyBorder="1" applyAlignment="1">
      <alignment horizontal="left" vertical="top" wrapText="1"/>
    </xf>
    <xf numFmtId="0" fontId="21" fillId="0" borderId="80" xfId="0" applyFont="1" applyBorder="1" applyAlignment="1">
      <alignment horizontal="center"/>
    </xf>
    <xf numFmtId="0" fontId="21" fillId="0" borderId="81" xfId="0" applyFont="1" applyBorder="1" applyAlignment="1">
      <alignment horizontal="center"/>
    </xf>
    <xf numFmtId="0" fontId="21" fillId="0" borderId="82" xfId="0" applyFont="1" applyBorder="1" applyAlignment="1">
      <alignment horizontal="center"/>
    </xf>
    <xf numFmtId="0" fontId="42" fillId="5" borderId="0" xfId="2" applyFont="1" applyFill="1" applyBorder="1" applyAlignment="1" applyProtection="1">
      <alignment horizontal="left" vertical="top" wrapText="1"/>
      <protection locked="0"/>
    </xf>
    <xf numFmtId="0" fontId="44" fillId="5" borderId="0" xfId="0" applyFont="1" applyFill="1" applyAlignment="1">
      <alignment horizontal="left" vertical="top" wrapText="1"/>
    </xf>
    <xf numFmtId="0" fontId="44" fillId="5" borderId="84" xfId="0" applyFont="1" applyFill="1" applyBorder="1" applyAlignment="1">
      <alignment horizontal="left" vertical="top" wrapText="1"/>
    </xf>
    <xf numFmtId="0" fontId="42" fillId="5" borderId="0" xfId="2" applyFont="1" applyFill="1" applyBorder="1" applyAlignment="1" applyProtection="1">
      <alignment horizontal="left" vertical="top" wrapText="1"/>
    </xf>
    <xf numFmtId="0" fontId="78" fillId="5" borderId="0" xfId="0" applyFont="1" applyFill="1" applyAlignment="1">
      <alignment horizontal="left" vertical="center"/>
    </xf>
    <xf numFmtId="0" fontId="34" fillId="5" borderId="0" xfId="0" applyFont="1" applyFill="1" applyAlignment="1">
      <alignment horizontal="left" vertical="center"/>
    </xf>
    <xf numFmtId="0" fontId="5" fillId="0" borderId="69" xfId="0" applyFont="1" applyBorder="1" applyAlignment="1" applyProtection="1">
      <alignment horizontal="left" vertical="center" wrapText="1"/>
      <protection locked="0"/>
    </xf>
    <xf numFmtId="0" fontId="5" fillId="0" borderId="57" xfId="0" applyFont="1" applyBorder="1" applyAlignment="1" applyProtection="1">
      <alignment horizontal="left" vertical="center" wrapText="1"/>
      <protection locked="0"/>
    </xf>
    <xf numFmtId="166" fontId="33" fillId="14" borderId="108" xfId="0" applyNumberFormat="1" applyFont="1" applyFill="1" applyBorder="1" applyAlignment="1">
      <alignment horizontal="left" vertical="center"/>
    </xf>
    <xf numFmtId="166" fontId="33" fillId="14" borderId="109" xfId="0" applyNumberFormat="1" applyFont="1" applyFill="1" applyBorder="1" applyAlignment="1">
      <alignment horizontal="left" vertical="center"/>
    </xf>
    <xf numFmtId="0" fontId="33" fillId="14" borderId="37" xfId="0" applyFont="1" applyFill="1" applyBorder="1" applyAlignment="1">
      <alignment horizontal="center" vertical="center" wrapText="1"/>
    </xf>
    <xf numFmtId="0" fontId="33" fillId="14" borderId="38" xfId="0" applyFont="1" applyFill="1" applyBorder="1" applyAlignment="1">
      <alignment horizontal="center" vertical="center" wrapText="1"/>
    </xf>
    <xf numFmtId="164" fontId="51" fillId="5" borderId="47" xfId="0" applyNumberFormat="1" applyFont="1" applyFill="1" applyBorder="1" applyAlignment="1">
      <alignment horizontal="center" vertical="center" wrapText="1"/>
    </xf>
    <xf numFmtId="164" fontId="51" fillId="5" borderId="0" xfId="0" applyNumberFormat="1" applyFont="1" applyFill="1" applyAlignment="1">
      <alignment horizontal="center" vertical="center" wrapText="1"/>
    </xf>
    <xf numFmtId="14" fontId="27" fillId="5" borderId="109" xfId="0" applyNumberFormat="1" applyFont="1" applyFill="1" applyBorder="1" applyAlignment="1" applyProtection="1">
      <alignment horizontal="left" vertical="center"/>
      <protection locked="0"/>
    </xf>
    <xf numFmtId="14" fontId="27" fillId="5" borderId="110" xfId="0" applyNumberFormat="1" applyFont="1" applyFill="1" applyBorder="1" applyAlignment="1" applyProtection="1">
      <alignment horizontal="left" vertical="center"/>
      <protection locked="0"/>
    </xf>
    <xf numFmtId="0" fontId="50" fillId="5" borderId="0" xfId="0" applyFont="1" applyFill="1" applyAlignment="1">
      <alignment horizontal="center" vertical="center"/>
    </xf>
    <xf numFmtId="0" fontId="39" fillId="15" borderId="166" xfId="0" applyFont="1" applyFill="1" applyBorder="1" applyAlignment="1">
      <alignment horizontal="left" vertical="center" wrapText="1"/>
    </xf>
    <xf numFmtId="0" fontId="39" fillId="15" borderId="81" xfId="0" applyFont="1" applyFill="1" applyBorder="1" applyAlignment="1">
      <alignment horizontal="left" vertical="center" wrapText="1"/>
    </xf>
    <xf numFmtId="0" fontId="39" fillId="15" borderId="82" xfId="0" applyFont="1" applyFill="1" applyBorder="1" applyAlignment="1">
      <alignment horizontal="left" vertical="center" wrapText="1"/>
    </xf>
    <xf numFmtId="0" fontId="53" fillId="15" borderId="5" xfId="0" applyFont="1" applyFill="1" applyBorder="1" applyAlignment="1">
      <alignment horizontal="left" vertical="top" wrapText="1"/>
    </xf>
    <xf numFmtId="0" fontId="53" fillId="15" borderId="6" xfId="0" applyFont="1" applyFill="1" applyBorder="1" applyAlignment="1">
      <alignment horizontal="left" vertical="top" wrapText="1"/>
    </xf>
    <xf numFmtId="0" fontId="53" fillId="15" borderId="7" xfId="0" applyFont="1" applyFill="1" applyBorder="1" applyAlignment="1">
      <alignment horizontal="left" vertical="top" wrapText="1"/>
    </xf>
    <xf numFmtId="0" fontId="5" fillId="14" borderId="0" xfId="0" applyFont="1" applyFill="1" applyAlignment="1">
      <alignment horizontal="center"/>
    </xf>
    <xf numFmtId="0" fontId="5" fillId="15" borderId="15" xfId="0" applyFont="1" applyFill="1" applyBorder="1" applyAlignment="1">
      <alignment horizontal="left" vertical="top" wrapText="1"/>
    </xf>
    <xf numFmtId="0" fontId="5" fillId="15" borderId="0" xfId="0" applyFont="1" applyFill="1" applyAlignment="1">
      <alignment horizontal="left" vertical="top" wrapText="1"/>
    </xf>
    <xf numFmtId="0" fontId="5" fillId="15" borderId="84" xfId="0" applyFont="1" applyFill="1" applyBorder="1" applyAlignment="1">
      <alignment horizontal="left" vertical="top" wrapText="1"/>
    </xf>
    <xf numFmtId="0" fontId="33" fillId="14" borderId="12" xfId="0" applyFont="1" applyFill="1" applyBorder="1" applyAlignment="1">
      <alignment horizontal="center" vertical="center" wrapText="1"/>
    </xf>
    <xf numFmtId="0" fontId="33" fillId="14" borderId="17" xfId="0" applyFont="1" applyFill="1" applyBorder="1" applyAlignment="1">
      <alignment horizontal="center" vertical="center" wrapText="1"/>
    </xf>
    <xf numFmtId="0" fontId="27" fillId="5" borderId="104" xfId="0" applyFont="1" applyFill="1" applyBorder="1" applyAlignment="1" applyProtection="1">
      <alignment horizontal="left" vertical="center"/>
      <protection locked="0"/>
    </xf>
    <xf numFmtId="0" fontId="27" fillId="5" borderId="105" xfId="0" applyFont="1" applyFill="1" applyBorder="1" applyAlignment="1" applyProtection="1">
      <alignment horizontal="left" vertical="center"/>
      <protection locked="0"/>
    </xf>
    <xf numFmtId="166" fontId="33" fillId="14" borderId="103" xfId="0" applyNumberFormat="1" applyFont="1" applyFill="1" applyBorder="1" applyAlignment="1">
      <alignment horizontal="left" vertical="center"/>
    </xf>
    <xf numFmtId="166" fontId="33" fillId="14" borderId="104" xfId="0" applyNumberFormat="1" applyFont="1" applyFill="1" applyBorder="1" applyAlignment="1">
      <alignment horizontal="left" vertical="center"/>
    </xf>
    <xf numFmtId="0" fontId="34" fillId="0" borderId="6" xfId="0" applyFont="1" applyBorder="1" applyAlignment="1">
      <alignment horizontal="center"/>
    </xf>
    <xf numFmtId="0" fontId="34" fillId="0" borderId="7" xfId="0" applyFont="1" applyBorder="1" applyAlignment="1">
      <alignment horizontal="center"/>
    </xf>
    <xf numFmtId="0" fontId="27" fillId="5" borderId="0" xfId="0" applyFont="1" applyFill="1" applyAlignment="1">
      <alignment horizontal="center"/>
    </xf>
    <xf numFmtId="0" fontId="27" fillId="5" borderId="4" xfId="0" applyFont="1" applyFill="1" applyBorder="1" applyAlignment="1">
      <alignment horizontal="center"/>
    </xf>
    <xf numFmtId="1" fontId="5" fillId="0" borderId="37" xfId="0" applyNumberFormat="1" applyFont="1" applyBorder="1" applyAlignment="1" applyProtection="1">
      <alignment horizontal="left" vertical="center" wrapText="1"/>
      <protection locked="0"/>
    </xf>
    <xf numFmtId="1" fontId="5" fillId="0" borderId="12" xfId="0" applyNumberFormat="1" applyFont="1" applyBorder="1" applyAlignment="1" applyProtection="1">
      <alignment horizontal="left" vertical="center" wrapText="1"/>
      <protection locked="0"/>
    </xf>
    <xf numFmtId="1" fontId="5" fillId="0" borderId="17" xfId="0" applyNumberFormat="1" applyFont="1" applyBorder="1" applyAlignment="1" applyProtection="1">
      <alignment horizontal="left" vertical="center" wrapText="1"/>
      <protection locked="0"/>
    </xf>
    <xf numFmtId="0" fontId="35" fillId="15" borderId="14" xfId="0" applyFont="1" applyFill="1" applyBorder="1" applyAlignment="1" applyProtection="1">
      <alignment horizontal="center" vertical="center" wrapText="1"/>
      <protection hidden="1"/>
    </xf>
    <xf numFmtId="0" fontId="35" fillId="15" borderId="17" xfId="0" applyFont="1" applyFill="1" applyBorder="1" applyAlignment="1" applyProtection="1">
      <alignment horizontal="center" vertical="center" wrapText="1"/>
      <protection hidden="1"/>
    </xf>
    <xf numFmtId="0" fontId="33" fillId="14" borderId="14" xfId="0" applyFont="1" applyFill="1" applyBorder="1" applyAlignment="1">
      <alignment horizontal="center" vertical="center" wrapText="1"/>
    </xf>
    <xf numFmtId="0" fontId="86" fillId="5" borderId="0" xfId="0" applyFont="1" applyFill="1" applyAlignment="1">
      <alignment horizontal="left" vertical="center"/>
    </xf>
    <xf numFmtId="49" fontId="59" fillId="0" borderId="18" xfId="8" applyNumberFormat="1" applyFont="1" applyBorder="1" applyAlignment="1" applyProtection="1">
      <alignment horizontal="left" vertical="top" wrapText="1"/>
      <protection locked="0"/>
    </xf>
    <xf numFmtId="49" fontId="59" fillId="0" borderId="34" xfId="8" applyNumberFormat="1" applyFont="1" applyBorder="1" applyAlignment="1" applyProtection="1">
      <alignment horizontal="left" vertical="top" wrapText="1"/>
      <protection locked="0"/>
    </xf>
    <xf numFmtId="49" fontId="59" fillId="0" borderId="30" xfId="8" applyNumberFormat="1" applyFont="1" applyBorder="1" applyAlignment="1" applyProtection="1">
      <alignment horizontal="left" vertical="top" wrapText="1"/>
      <protection locked="0"/>
    </xf>
    <xf numFmtId="0" fontId="37" fillId="0" borderId="18" xfId="8" applyFont="1" applyBorder="1" applyAlignment="1" applyProtection="1">
      <alignment horizontal="left" vertical="top" wrapText="1"/>
      <protection locked="0" hidden="1"/>
    </xf>
    <xf numFmtId="0" fontId="37" fillId="0" borderId="34" xfId="8" applyFont="1" applyBorder="1" applyAlignment="1" applyProtection="1">
      <alignment horizontal="left" vertical="top"/>
      <protection locked="0" hidden="1"/>
    </xf>
    <xf numFmtId="0" fontId="37" fillId="0" borderId="30" xfId="8" applyFont="1" applyBorder="1" applyAlignment="1" applyProtection="1">
      <alignment horizontal="left" vertical="top"/>
      <protection locked="0" hidden="1"/>
    </xf>
    <xf numFmtId="0" fontId="117" fillId="0" borderId="0" xfId="8" applyFont="1" applyAlignment="1" applyProtection="1">
      <alignment horizontal="left" vertical="top"/>
      <protection hidden="1"/>
    </xf>
    <xf numFmtId="0" fontId="117" fillId="0" borderId="0" xfId="0" applyFont="1" applyAlignment="1" applyProtection="1">
      <alignment horizontal="left" vertical="center" wrapText="1"/>
      <protection hidden="1"/>
    </xf>
    <xf numFmtId="0" fontId="117" fillId="0" borderId="0" xfId="8" applyFont="1" applyAlignment="1" applyProtection="1">
      <alignment horizontal="left" vertical="top" wrapText="1"/>
      <protection hidden="1"/>
    </xf>
    <xf numFmtId="49" fontId="37" fillId="0" borderId="1" xfId="8" applyNumberFormat="1" applyFont="1" applyBorder="1" applyAlignment="1" applyProtection="1">
      <alignment horizontal="left" vertical="top" wrapText="1"/>
      <protection locked="0"/>
    </xf>
    <xf numFmtId="0" fontId="99" fillId="0" borderId="0" xfId="8" applyFont="1" applyAlignment="1" applyProtection="1">
      <alignment horizontal="left" wrapText="1"/>
      <protection hidden="1"/>
    </xf>
    <xf numFmtId="0" fontId="58" fillId="0" borderId="0" xfId="0" applyFont="1" applyAlignment="1" applyProtection="1">
      <alignment horizontal="center" vertical="center" wrapText="1"/>
      <protection hidden="1"/>
    </xf>
    <xf numFmtId="0" fontId="99" fillId="0" borderId="0" xfId="0" applyFont="1" applyAlignment="1" applyProtection="1">
      <alignment horizontal="left" vertical="center" wrapText="1"/>
      <protection hidden="1"/>
    </xf>
    <xf numFmtId="0" fontId="119" fillId="0" borderId="0" xfId="0" applyFont="1" applyAlignment="1" applyProtection="1">
      <alignment horizontal="left" vertical="center" wrapText="1"/>
      <protection hidden="1"/>
    </xf>
    <xf numFmtId="0" fontId="5" fillId="0" borderId="0" xfId="8" applyFont="1" applyAlignment="1" applyProtection="1">
      <alignment horizontal="right" vertical="top" wrapText="1"/>
      <protection hidden="1"/>
    </xf>
    <xf numFmtId="49" fontId="37" fillId="0" borderId="180" xfId="8" applyNumberFormat="1" applyFont="1" applyBorder="1" applyAlignment="1" applyProtection="1">
      <alignment horizontal="left" vertical="top" wrapText="1"/>
      <protection locked="0"/>
    </xf>
    <xf numFmtId="49" fontId="37" fillId="0" borderId="181" xfId="8" applyNumberFormat="1" applyFont="1" applyBorder="1" applyAlignment="1" applyProtection="1">
      <alignment horizontal="left" vertical="top" wrapText="1"/>
      <protection locked="0"/>
    </xf>
    <xf numFmtId="49" fontId="37" fillId="0" borderId="182" xfId="8" applyNumberFormat="1" applyFont="1" applyBorder="1" applyAlignment="1" applyProtection="1">
      <alignment horizontal="left" vertical="top" wrapText="1"/>
      <protection locked="0"/>
    </xf>
    <xf numFmtId="0" fontId="53" fillId="29" borderId="198" xfId="10" applyFont="1" applyFill="1" applyBorder="1" applyAlignment="1" applyProtection="1">
      <alignment horizontal="center" vertical="center" wrapText="1"/>
      <protection hidden="1"/>
    </xf>
    <xf numFmtId="0" fontId="53" fillId="29" borderId="199" xfId="10" applyFont="1" applyFill="1" applyBorder="1" applyAlignment="1" applyProtection="1">
      <alignment horizontal="center" vertical="center" wrapText="1"/>
      <protection hidden="1"/>
    </xf>
    <xf numFmtId="0" fontId="53" fillId="29" borderId="197" xfId="10" applyFont="1" applyFill="1" applyBorder="1" applyAlignment="1" applyProtection="1">
      <alignment horizontal="center" vertical="center" wrapText="1"/>
      <protection hidden="1"/>
    </xf>
    <xf numFmtId="0" fontId="53" fillId="29" borderId="190" xfId="10" applyFont="1" applyFill="1" applyBorder="1" applyAlignment="1" applyProtection="1">
      <alignment horizontal="center" vertical="center"/>
      <protection hidden="1"/>
    </xf>
    <xf numFmtId="0" fontId="53" fillId="29" borderId="192" xfId="10" applyFont="1" applyFill="1" applyBorder="1" applyAlignment="1" applyProtection="1">
      <alignment horizontal="center" vertical="center"/>
      <protection hidden="1"/>
    </xf>
    <xf numFmtId="0" fontId="53" fillId="29" borderId="193" xfId="10" applyFont="1" applyFill="1" applyBorder="1" applyAlignment="1" applyProtection="1">
      <alignment horizontal="center" vertical="center"/>
      <protection hidden="1"/>
    </xf>
    <xf numFmtId="0" fontId="117" fillId="0" borderId="0" xfId="8" applyFont="1" applyProtection="1">
      <protection hidden="1"/>
    </xf>
    <xf numFmtId="49" fontId="37" fillId="0" borderId="18" xfId="8" applyNumberFormat="1" applyFont="1" applyBorder="1" applyAlignment="1" applyProtection="1">
      <alignment horizontal="left" vertical="top" wrapText="1"/>
      <protection locked="0"/>
    </xf>
    <xf numFmtId="49" fontId="37" fillId="0" borderId="34" xfId="8" applyNumberFormat="1" applyFont="1" applyBorder="1" applyAlignment="1" applyProtection="1">
      <alignment horizontal="left" vertical="top" wrapText="1"/>
      <protection locked="0"/>
    </xf>
    <xf numFmtId="49" fontId="37" fillId="0" borderId="30" xfId="8" applyNumberFormat="1" applyFont="1" applyBorder="1" applyAlignment="1" applyProtection="1">
      <alignment horizontal="left" vertical="top" wrapText="1"/>
      <protection locked="0"/>
    </xf>
    <xf numFmtId="0" fontId="117" fillId="0" borderId="0" xfId="8" applyFont="1" applyAlignment="1" applyProtection="1">
      <alignment horizontal="left" wrapText="1"/>
      <protection hidden="1"/>
    </xf>
    <xf numFmtId="49" fontId="37" fillId="0" borderId="23" xfId="8" applyNumberFormat="1" applyFont="1" applyBorder="1" applyAlignment="1" applyProtection="1">
      <alignment horizontal="left" vertical="top" wrapText="1"/>
      <protection locked="0"/>
    </xf>
    <xf numFmtId="49" fontId="37" fillId="0" borderId="24" xfId="8" applyNumberFormat="1" applyFont="1" applyBorder="1" applyAlignment="1" applyProtection="1">
      <alignment horizontal="left" vertical="top" wrapText="1"/>
      <protection locked="0"/>
    </xf>
    <xf numFmtId="0" fontId="117" fillId="0" borderId="0" xfId="8" applyFont="1" applyAlignment="1" applyProtection="1">
      <alignment horizontal="left" vertical="center" wrapText="1"/>
      <protection hidden="1"/>
    </xf>
    <xf numFmtId="0" fontId="33" fillId="14" borderId="183" xfId="10" applyFont="1" applyFill="1" applyBorder="1" applyAlignment="1" applyProtection="1">
      <alignment horizontal="center" vertical="center" wrapText="1"/>
      <protection hidden="1"/>
    </xf>
    <xf numFmtId="0" fontId="33" fillId="14" borderId="186" xfId="10" applyFont="1" applyFill="1" applyBorder="1" applyAlignment="1" applyProtection="1">
      <alignment horizontal="center" vertical="center" wrapText="1"/>
      <protection hidden="1"/>
    </xf>
    <xf numFmtId="49" fontId="37" fillId="0" borderId="21" xfId="8" applyNumberFormat="1" applyFont="1" applyBorder="1" applyAlignment="1" applyProtection="1">
      <alignment horizontal="left" vertical="top" wrapText="1"/>
      <protection locked="0"/>
    </xf>
    <xf numFmtId="49" fontId="37" fillId="0" borderId="54" xfId="8" applyNumberFormat="1" applyFont="1" applyBorder="1" applyAlignment="1" applyProtection="1">
      <alignment horizontal="left" vertical="top" wrapText="1"/>
      <protection locked="0"/>
    </xf>
    <xf numFmtId="49" fontId="37" fillId="0" borderId="55" xfId="8" applyNumberFormat="1" applyFont="1" applyBorder="1" applyAlignment="1" applyProtection="1">
      <alignment horizontal="left" vertical="top" wrapText="1"/>
      <protection locked="0"/>
    </xf>
    <xf numFmtId="49" fontId="37" fillId="0" borderId="1" xfId="8" applyNumberFormat="1" applyFont="1" applyBorder="1" applyAlignment="1" applyProtection="1">
      <alignment vertical="center" wrapText="1"/>
      <protection locked="0"/>
    </xf>
    <xf numFmtId="49" fontId="44" fillId="0" borderId="1" xfId="2" applyNumberFormat="1" applyFont="1" applyBorder="1" applyAlignment="1">
      <alignment horizontal="left" vertical="center" wrapText="1"/>
      <protection locked="0"/>
    </xf>
    <xf numFmtId="49" fontId="43" fillId="0" borderId="1" xfId="8" applyNumberFormat="1" applyFont="1" applyBorder="1" applyAlignment="1" applyProtection="1">
      <alignment horizontal="left" vertical="center" wrapText="1"/>
      <protection locked="0"/>
    </xf>
    <xf numFmtId="49" fontId="117" fillId="0" borderId="0" xfId="8" applyNumberFormat="1" applyFont="1" applyAlignment="1">
      <alignment horizontal="left" vertical="top" wrapText="1"/>
    </xf>
    <xf numFmtId="49" fontId="37" fillId="0" borderId="1" xfId="8" applyNumberFormat="1" applyFont="1" applyBorder="1" applyAlignment="1" applyProtection="1">
      <alignment horizontal="left" vertical="center" wrapText="1"/>
      <protection locked="0"/>
    </xf>
    <xf numFmtId="0" fontId="55" fillId="0" borderId="0" xfId="8" applyFont="1" applyAlignment="1" applyProtection="1">
      <alignment horizontal="left" vertical="center" wrapText="1"/>
      <protection hidden="1"/>
    </xf>
    <xf numFmtId="49" fontId="38" fillId="0" borderId="18" xfId="8" applyNumberFormat="1" applyFont="1" applyBorder="1" applyAlignment="1" applyProtection="1">
      <alignment horizontal="left" vertical="center" wrapText="1"/>
      <protection locked="0"/>
    </xf>
    <xf numFmtId="49" fontId="38" fillId="0" borderId="34" xfId="8" applyNumberFormat="1" applyFont="1" applyBorder="1" applyAlignment="1" applyProtection="1">
      <alignment horizontal="left" vertical="center" wrapText="1"/>
      <protection locked="0"/>
    </xf>
    <xf numFmtId="49" fontId="38" fillId="0" borderId="30" xfId="8" applyNumberFormat="1" applyFont="1" applyBorder="1" applyAlignment="1" applyProtection="1">
      <alignment horizontal="left" vertical="center" wrapText="1"/>
      <protection locked="0"/>
    </xf>
    <xf numFmtId="0" fontId="38" fillId="29" borderId="18" xfId="8" applyFont="1" applyFill="1" applyBorder="1" applyAlignment="1">
      <alignment horizontal="left" vertical="center" wrapText="1"/>
    </xf>
    <xf numFmtId="0" fontId="38" fillId="29" borderId="34" xfId="8" applyFont="1" applyFill="1" applyBorder="1" applyAlignment="1">
      <alignment horizontal="left" vertical="center" wrapText="1"/>
    </xf>
    <xf numFmtId="0" fontId="38" fillId="29" borderId="30" xfId="8" applyFont="1" applyFill="1" applyBorder="1" applyAlignment="1">
      <alignment horizontal="left" vertical="center" wrapText="1"/>
    </xf>
    <xf numFmtId="49" fontId="37" fillId="0" borderId="64" xfId="8" applyNumberFormat="1" applyFont="1" applyBorder="1" applyAlignment="1" applyProtection="1">
      <alignment horizontal="left" vertical="center" wrapText="1"/>
      <protection locked="0"/>
    </xf>
    <xf numFmtId="0" fontId="33" fillId="5" borderId="0" xfId="0" applyFont="1" applyFill="1" applyAlignment="1">
      <alignment horizontal="center" vertical="center"/>
    </xf>
    <xf numFmtId="0" fontId="82" fillId="14" borderId="18" xfId="0" applyFont="1" applyFill="1" applyBorder="1" applyAlignment="1" applyProtection="1">
      <alignment horizontal="center" vertical="center"/>
      <protection hidden="1"/>
    </xf>
    <xf numFmtId="0" fontId="82" fillId="14" borderId="30" xfId="0" applyFont="1" applyFill="1" applyBorder="1" applyAlignment="1" applyProtection="1">
      <alignment horizontal="center" vertical="center"/>
      <protection hidden="1"/>
    </xf>
    <xf numFmtId="0" fontId="82" fillId="14" borderId="173" xfId="0" applyFont="1" applyFill="1" applyBorder="1" applyAlignment="1" applyProtection="1">
      <alignment horizontal="center" vertical="center" wrapText="1"/>
      <protection hidden="1"/>
    </xf>
    <xf numFmtId="0" fontId="82" fillId="14" borderId="174" xfId="0" applyFont="1" applyFill="1" applyBorder="1" applyAlignment="1" applyProtection="1">
      <alignment horizontal="center" vertical="center" wrapText="1"/>
      <protection hidden="1"/>
    </xf>
    <xf numFmtId="0" fontId="82" fillId="14" borderId="1" xfId="0" applyFont="1" applyFill="1" applyBorder="1" applyAlignment="1" applyProtection="1">
      <alignment horizontal="center" vertical="center" wrapText="1"/>
      <protection hidden="1"/>
    </xf>
    <xf numFmtId="0" fontId="76" fillId="5" borderId="47" xfId="26" applyFont="1" applyFill="1" applyBorder="1" applyAlignment="1" applyProtection="1">
      <alignment horizontal="left" vertical="top" wrapText="1"/>
      <protection locked="0"/>
    </xf>
    <xf numFmtId="0" fontId="76" fillId="5" borderId="178" xfId="26" applyFont="1" applyFill="1" applyBorder="1" applyAlignment="1" applyProtection="1">
      <alignment horizontal="left" vertical="top" wrapText="1"/>
      <protection locked="0"/>
    </xf>
    <xf numFmtId="0" fontId="76" fillId="5" borderId="0" xfId="26" applyFont="1" applyFill="1" applyAlignment="1" applyProtection="1">
      <alignment horizontal="left" vertical="top" wrapText="1"/>
      <protection locked="0"/>
    </xf>
    <xf numFmtId="0" fontId="76" fillId="5" borderId="63" xfId="26" applyFont="1" applyFill="1" applyBorder="1" applyAlignment="1" applyProtection="1">
      <alignment horizontal="left" vertical="top" wrapText="1"/>
      <protection locked="0"/>
    </xf>
    <xf numFmtId="0" fontId="76" fillId="5" borderId="48" xfId="26" applyFont="1" applyFill="1" applyBorder="1" applyAlignment="1" applyProtection="1">
      <alignment horizontal="left" vertical="top" wrapText="1"/>
      <protection locked="0"/>
    </xf>
    <xf numFmtId="0" fontId="76" fillId="5" borderId="65" xfId="26" applyFont="1" applyFill="1" applyBorder="1" applyAlignment="1" applyProtection="1">
      <alignment horizontal="left" vertical="top" wrapText="1"/>
      <protection locked="0"/>
    </xf>
    <xf numFmtId="0" fontId="99" fillId="5" borderId="0" xfId="25" applyFont="1" applyFill="1" applyAlignment="1" applyProtection="1">
      <alignment horizontal="left" vertical="top" wrapText="1"/>
      <protection hidden="1"/>
    </xf>
    <xf numFmtId="166" fontId="95" fillId="14" borderId="0" xfId="25" quotePrefix="1" applyNumberFormat="1" applyFont="1" applyFill="1" applyAlignment="1" applyProtection="1">
      <alignment horizontal="left" vertical="center"/>
      <protection hidden="1"/>
    </xf>
    <xf numFmtId="0" fontId="80" fillId="5" borderId="0" xfId="25" applyFont="1" applyFill="1" applyAlignment="1" applyProtection="1">
      <alignment horizontal="left" vertical="center" wrapText="1"/>
      <protection hidden="1"/>
    </xf>
    <xf numFmtId="0" fontId="121" fillId="29" borderId="64" xfId="25" applyFont="1" applyFill="1" applyBorder="1" applyAlignment="1" applyProtection="1">
      <alignment horizontal="center" vertical="center" wrapText="1"/>
      <protection hidden="1"/>
    </xf>
    <xf numFmtId="0" fontId="121" fillId="29" borderId="172" xfId="25" applyFont="1" applyFill="1" applyBorder="1" applyAlignment="1" applyProtection="1">
      <alignment horizontal="center" vertical="center" wrapText="1"/>
      <protection hidden="1"/>
    </xf>
    <xf numFmtId="0" fontId="121" fillId="29" borderId="20" xfId="25" applyFont="1" applyFill="1" applyBorder="1" applyAlignment="1" applyProtection="1">
      <alignment horizontal="center" vertical="center" wrapText="1"/>
      <protection hidden="1"/>
    </xf>
    <xf numFmtId="0" fontId="80" fillId="5" borderId="0" xfId="26" applyFont="1" applyFill="1" applyAlignment="1" applyProtection="1">
      <alignment horizontal="left" vertical="top" wrapText="1"/>
      <protection hidden="1"/>
    </xf>
    <xf numFmtId="0" fontId="85" fillId="5" borderId="0" xfId="25" applyFont="1" applyFill="1" applyAlignment="1" applyProtection="1">
      <alignment horizontal="left" vertical="top" wrapText="1"/>
      <protection hidden="1"/>
    </xf>
    <xf numFmtId="0" fontId="27" fillId="5" borderId="167" xfId="4" applyFont="1" applyFill="1" applyBorder="1" applyAlignment="1">
      <alignment horizontal="left" vertical="top" wrapText="1"/>
    </xf>
    <xf numFmtId="0" fontId="27" fillId="5" borderId="86" xfId="4" applyFont="1" applyFill="1" applyBorder="1" applyAlignment="1">
      <alignment horizontal="left" vertical="top" wrapText="1"/>
    </xf>
    <xf numFmtId="0" fontId="27" fillId="5" borderId="170" xfId="4" applyFont="1" applyFill="1" applyBorder="1" applyAlignment="1">
      <alignment horizontal="left" vertical="top" wrapText="1"/>
    </xf>
    <xf numFmtId="0" fontId="86" fillId="0" borderId="0" xfId="0" applyFont="1" applyAlignment="1" applyProtection="1">
      <alignment horizontal="left" vertical="center" wrapText="1"/>
      <protection hidden="1"/>
    </xf>
    <xf numFmtId="0" fontId="86" fillId="0" borderId="149" xfId="0" applyFont="1" applyBorder="1" applyAlignment="1" applyProtection="1">
      <alignment horizontal="left" vertical="center" wrapText="1"/>
      <protection hidden="1"/>
    </xf>
    <xf numFmtId="0" fontId="85" fillId="0" borderId="148" xfId="0" applyFont="1" applyBorder="1" applyAlignment="1" applyProtection="1">
      <alignment horizontal="left" wrapText="1"/>
      <protection hidden="1"/>
    </xf>
    <xf numFmtId="0" fontId="76" fillId="0" borderId="0" xfId="0" applyFont="1" applyAlignment="1" applyProtection="1">
      <alignment horizontal="left" vertical="top" wrapText="1"/>
      <protection hidden="1"/>
    </xf>
    <xf numFmtId="0" fontId="82" fillId="14" borderId="0" xfId="0" applyFont="1" applyFill="1" applyAlignment="1" applyProtection="1">
      <alignment horizontal="left" vertical="center" wrapText="1"/>
      <protection hidden="1"/>
    </xf>
    <xf numFmtId="0" fontId="5" fillId="0" borderId="0" xfId="18" applyFont="1" applyAlignment="1" applyProtection="1">
      <alignment horizontal="left" vertical="top" wrapText="1"/>
      <protection hidden="1"/>
    </xf>
    <xf numFmtId="0" fontId="5" fillId="0" borderId="83" xfId="18" applyFont="1" applyBorder="1" applyAlignment="1" applyProtection="1">
      <alignment horizontal="left" vertical="center" wrapText="1"/>
      <protection hidden="1"/>
    </xf>
    <xf numFmtId="0" fontId="38" fillId="0" borderId="83" xfId="18" applyFont="1" applyBorder="1" applyAlignment="1" applyProtection="1">
      <alignment horizontal="left" vertical="center" wrapText="1"/>
      <protection hidden="1"/>
    </xf>
    <xf numFmtId="0" fontId="38" fillId="0" borderId="0" xfId="18" applyFont="1" applyAlignment="1" applyProtection="1">
      <alignment horizontal="left" vertical="center" wrapText="1"/>
      <protection hidden="1"/>
    </xf>
    <xf numFmtId="0" fontId="38" fillId="0" borderId="84" xfId="18" applyFont="1" applyBorder="1" applyAlignment="1" applyProtection="1">
      <alignment horizontal="left" vertical="center" wrapText="1"/>
      <protection hidden="1"/>
    </xf>
    <xf numFmtId="0" fontId="37" fillId="0" borderId="1" xfId="18" applyFont="1" applyBorder="1" applyAlignment="1" applyProtection="1">
      <alignment horizontal="left" vertical="center" wrapText="1"/>
      <protection hidden="1"/>
    </xf>
    <xf numFmtId="0" fontId="37" fillId="0" borderId="93" xfId="18" applyFont="1" applyBorder="1" applyAlignment="1" applyProtection="1">
      <alignment horizontal="left" vertical="center" wrapText="1"/>
      <protection hidden="1"/>
    </xf>
    <xf numFmtId="0" fontId="27" fillId="0" borderId="18" xfId="17" applyFont="1" applyBorder="1" applyAlignment="1" applyProtection="1">
      <alignment horizontal="left" vertical="top" wrapText="1"/>
      <protection locked="0"/>
    </xf>
    <xf numFmtId="0" fontId="27" fillId="0" borderId="34" xfId="17" applyFont="1" applyBorder="1" applyAlignment="1" applyProtection="1">
      <alignment horizontal="left" vertical="top" wrapText="1"/>
      <protection locked="0"/>
    </xf>
    <xf numFmtId="0" fontId="27" fillId="0" borderId="92" xfId="17" applyFont="1" applyBorder="1" applyAlignment="1" applyProtection="1">
      <alignment horizontal="left" vertical="top" wrapText="1"/>
      <protection locked="0"/>
    </xf>
    <xf numFmtId="0" fontId="5" fillId="0" borderId="83" xfId="18" applyFont="1" applyBorder="1" applyAlignment="1" applyProtection="1">
      <alignment horizontal="left" vertical="top" wrapText="1"/>
      <protection hidden="1"/>
    </xf>
    <xf numFmtId="0" fontId="36" fillId="16" borderId="62" xfId="17" applyFont="1" applyFill="1" applyBorder="1" applyAlignment="1" applyProtection="1">
      <alignment horizontal="left" vertical="top" wrapText="1"/>
      <protection hidden="1"/>
    </xf>
    <xf numFmtId="0" fontId="36" fillId="16" borderId="0" xfId="17" applyFont="1" applyFill="1" applyAlignment="1" applyProtection="1">
      <alignment horizontal="left" vertical="top" wrapText="1"/>
      <protection hidden="1"/>
    </xf>
    <xf numFmtId="0" fontId="36" fillId="16" borderId="63" xfId="17" applyFont="1" applyFill="1" applyBorder="1" applyAlignment="1" applyProtection="1">
      <alignment horizontal="left" vertical="top" wrapText="1"/>
      <protection hidden="1"/>
    </xf>
    <xf numFmtId="0" fontId="27" fillId="0" borderId="27" xfId="17" applyFont="1" applyBorder="1" applyAlignment="1" applyProtection="1">
      <alignment horizontal="left" vertical="top" wrapText="1"/>
      <protection locked="0"/>
    </xf>
    <xf numFmtId="0" fontId="27" fillId="0" borderId="48" xfId="17" applyFont="1" applyBorder="1" applyAlignment="1" applyProtection="1">
      <alignment horizontal="left" vertical="top" wrapText="1"/>
      <protection locked="0"/>
    </xf>
    <xf numFmtId="0" fontId="27" fillId="0" borderId="95" xfId="17" applyFont="1" applyBorder="1" applyAlignment="1" applyProtection="1">
      <alignment horizontal="left" vertical="top" wrapText="1"/>
      <protection locked="0"/>
    </xf>
    <xf numFmtId="0" fontId="27" fillId="0" borderId="83" xfId="17" applyFont="1" applyBorder="1" applyAlignment="1" applyProtection="1">
      <alignment horizontal="left" vertical="center" wrapText="1"/>
      <protection hidden="1"/>
    </xf>
    <xf numFmtId="0" fontId="27" fillId="0" borderId="63" xfId="17" applyFont="1" applyBorder="1" applyAlignment="1" applyProtection="1">
      <alignment horizontal="left" vertical="center" wrapText="1"/>
      <protection hidden="1"/>
    </xf>
    <xf numFmtId="0" fontId="17" fillId="0" borderId="96" xfId="17" applyFont="1" applyBorder="1" applyAlignment="1" applyProtection="1">
      <alignment horizontal="center" vertical="center" wrapText="1"/>
      <protection hidden="1"/>
    </xf>
    <xf numFmtId="0" fontId="17" fillId="0" borderId="48" xfId="17" applyFont="1" applyBorder="1" applyAlignment="1" applyProtection="1">
      <alignment horizontal="center" vertical="center" wrapText="1"/>
      <protection hidden="1"/>
    </xf>
    <xf numFmtId="0" fontId="17" fillId="0" borderId="95" xfId="17" applyFont="1" applyBorder="1" applyAlignment="1" applyProtection="1">
      <alignment horizontal="center" vertical="center" wrapText="1"/>
      <protection hidden="1"/>
    </xf>
    <xf numFmtId="0" fontId="27" fillId="0" borderId="98" xfId="17" applyFont="1" applyBorder="1" applyAlignment="1" applyProtection="1">
      <alignment horizontal="center" vertical="top" wrapText="1"/>
      <protection hidden="1"/>
    </xf>
    <xf numFmtId="0" fontId="27" fillId="0" borderId="34" xfId="17" applyFont="1" applyBorder="1" applyAlignment="1" applyProtection="1">
      <alignment horizontal="center" vertical="top" wrapText="1"/>
      <protection hidden="1"/>
    </xf>
    <xf numFmtId="0" fontId="27" fillId="0" borderId="92" xfId="17" applyFont="1" applyBorder="1" applyAlignment="1" applyProtection="1">
      <alignment horizontal="center" vertical="top" wrapText="1"/>
      <protection hidden="1"/>
    </xf>
    <xf numFmtId="0" fontId="27" fillId="0" borderId="1" xfId="17" applyFont="1" applyBorder="1" applyAlignment="1" applyProtection="1">
      <alignment horizontal="left" vertical="top" wrapText="1"/>
      <protection locked="0"/>
    </xf>
    <xf numFmtId="0" fontId="27" fillId="0" borderId="93" xfId="17" applyFont="1" applyBorder="1" applyAlignment="1" applyProtection="1">
      <alignment horizontal="left" vertical="top" wrapText="1"/>
      <protection locked="0"/>
    </xf>
    <xf numFmtId="0" fontId="71" fillId="0" borderId="96" xfId="12" applyFont="1" applyBorder="1" applyAlignment="1" applyProtection="1">
      <alignment horizontal="center" vertical="center" wrapText="1"/>
      <protection hidden="1"/>
    </xf>
    <xf numFmtId="0" fontId="71" fillId="0" borderId="48" xfId="12" applyFont="1" applyBorder="1" applyAlignment="1" applyProtection="1">
      <alignment horizontal="center" vertical="center" wrapText="1"/>
      <protection hidden="1"/>
    </xf>
    <xf numFmtId="0" fontId="71" fillId="0" borderId="95" xfId="12" applyFont="1" applyBorder="1" applyAlignment="1" applyProtection="1">
      <alignment horizontal="center" vertical="center" wrapText="1"/>
      <protection hidden="1"/>
    </xf>
    <xf numFmtId="0" fontId="47" fillId="0" borderId="97" xfId="17" applyFont="1" applyBorder="1" applyAlignment="1" applyProtection="1">
      <alignment horizontal="left" vertical="top" wrapText="1"/>
      <protection hidden="1"/>
    </xf>
    <xf numFmtId="0" fontId="35" fillId="0" borderId="1" xfId="18" applyFont="1" applyBorder="1" applyAlignment="1" applyProtection="1">
      <alignment horizontal="center" vertical="center"/>
      <protection locked="0"/>
    </xf>
    <xf numFmtId="0" fontId="21" fillId="0" borderId="61" xfId="18" applyFont="1" applyBorder="1" applyAlignment="1" applyProtection="1">
      <alignment horizontal="left" vertical="top"/>
      <protection locked="0"/>
    </xf>
    <xf numFmtId="0" fontId="21" fillId="0" borderId="47" xfId="18" applyFont="1" applyBorder="1" applyAlignment="1" applyProtection="1">
      <alignment horizontal="left" vertical="top"/>
      <protection locked="0"/>
    </xf>
    <xf numFmtId="0" fontId="21" fillId="0" borderId="94" xfId="18" applyFont="1" applyBorder="1" applyAlignment="1" applyProtection="1">
      <alignment horizontal="left" vertical="top"/>
      <protection locked="0"/>
    </xf>
    <xf numFmtId="0" fontId="21" fillId="0" borderId="27" xfId="18" applyFont="1" applyBorder="1" applyAlignment="1" applyProtection="1">
      <alignment horizontal="left" vertical="top"/>
      <protection locked="0"/>
    </xf>
    <xf numFmtId="0" fontId="21" fillId="0" borderId="48" xfId="18" applyFont="1" applyBorder="1" applyAlignment="1" applyProtection="1">
      <alignment horizontal="left" vertical="top"/>
      <protection locked="0"/>
    </xf>
    <xf numFmtId="0" fontId="21" fillId="0" borderId="95" xfId="18" applyFont="1" applyBorder="1" applyAlignment="1" applyProtection="1">
      <alignment horizontal="left" vertical="top"/>
      <protection locked="0"/>
    </xf>
    <xf numFmtId="0" fontId="5" fillId="0" borderId="0" xfId="18" applyFont="1" applyAlignment="1" applyProtection="1">
      <alignment vertical="center" wrapText="1"/>
      <protection hidden="1"/>
    </xf>
    <xf numFmtId="0" fontId="71" fillId="0" borderId="98" xfId="17" applyFont="1" applyBorder="1" applyAlignment="1" applyProtection="1">
      <alignment horizontal="center" vertical="top" wrapText="1"/>
      <protection hidden="1"/>
    </xf>
    <xf numFmtId="0" fontId="71" fillId="0" borderId="34" xfId="17" applyFont="1" applyBorder="1" applyAlignment="1" applyProtection="1">
      <alignment horizontal="center" vertical="top" wrapText="1"/>
      <protection hidden="1"/>
    </xf>
    <xf numFmtId="0" fontId="71" fillId="0" borderId="92" xfId="17" applyFont="1" applyBorder="1" applyAlignment="1" applyProtection="1">
      <alignment horizontal="center" vertical="top" wrapText="1"/>
      <protection hidden="1"/>
    </xf>
    <xf numFmtId="0" fontId="47" fillId="0" borderId="99" xfId="17" applyFont="1" applyBorder="1" applyAlignment="1" applyProtection="1">
      <alignment horizontal="left" vertical="top" wrapText="1"/>
      <protection hidden="1"/>
    </xf>
    <xf numFmtId="0" fontId="35" fillId="0" borderId="20" xfId="18" applyFont="1" applyBorder="1" applyAlignment="1" applyProtection="1">
      <alignment horizontal="center" vertical="center"/>
      <protection locked="0"/>
    </xf>
    <xf numFmtId="0" fontId="21" fillId="0" borderId="62" xfId="18" applyFont="1" applyBorder="1" applyAlignment="1" applyProtection="1">
      <alignment horizontal="left" vertical="top"/>
      <protection locked="0"/>
    </xf>
    <xf numFmtId="0" fontId="21" fillId="0" borderId="0" xfId="18" applyFont="1" applyAlignment="1" applyProtection="1">
      <alignment horizontal="left" vertical="top"/>
      <protection locked="0"/>
    </xf>
    <xf numFmtId="0" fontId="21" fillId="0" borderId="84" xfId="18" applyFont="1" applyBorder="1" applyAlignment="1" applyProtection="1">
      <alignment horizontal="left" vertical="top"/>
      <protection locked="0"/>
    </xf>
    <xf numFmtId="0" fontId="5" fillId="0" borderId="0" xfId="18" applyFont="1" applyAlignment="1" applyProtection="1">
      <alignment horizontal="left" vertical="center"/>
      <protection hidden="1"/>
    </xf>
    <xf numFmtId="0" fontId="21" fillId="0" borderId="18" xfId="18" applyFont="1" applyBorder="1" applyAlignment="1" applyProtection="1">
      <alignment horizontal="left" vertical="top"/>
      <protection locked="0"/>
    </xf>
    <xf numFmtId="0" fontId="21" fillId="0" borderId="34" xfId="18" applyFont="1" applyBorder="1" applyAlignment="1" applyProtection="1">
      <alignment horizontal="left" vertical="top"/>
      <protection locked="0"/>
    </xf>
    <xf numFmtId="0" fontId="21" fillId="0" borderId="92" xfId="18" applyFont="1" applyBorder="1" applyAlignment="1" applyProtection="1">
      <alignment horizontal="left" vertical="top"/>
      <protection locked="0"/>
    </xf>
    <xf numFmtId="2" fontId="5" fillId="0" borderId="1" xfId="18" applyNumberFormat="1" applyFont="1" applyBorder="1" applyAlignment="1" applyProtection="1">
      <alignment horizontal="center" vertical="center" wrapText="1"/>
      <protection locked="0"/>
    </xf>
    <xf numFmtId="49" fontId="5" fillId="0" borderId="18" xfId="18" applyNumberFormat="1" applyFont="1" applyBorder="1" applyAlignment="1" applyProtection="1">
      <alignment horizontal="center" vertical="center" wrapText="1"/>
      <protection locked="0"/>
    </xf>
    <xf numFmtId="49" fontId="5" fillId="0" borderId="34" xfId="18" applyNumberFormat="1" applyFont="1" applyBorder="1" applyAlignment="1" applyProtection="1">
      <alignment horizontal="center" vertical="center" wrapText="1"/>
      <protection locked="0"/>
    </xf>
    <xf numFmtId="49" fontId="5" fillId="0" borderId="30" xfId="18" applyNumberFormat="1" applyFont="1" applyBorder="1" applyAlignment="1" applyProtection="1">
      <alignment horizontal="center" vertical="center" wrapText="1"/>
      <protection locked="0"/>
    </xf>
    <xf numFmtId="172" fontId="5" fillId="0" borderId="18" xfId="18" applyNumberFormat="1" applyFont="1" applyBorder="1" applyAlignment="1" applyProtection="1">
      <alignment horizontal="center" vertical="center" wrapText="1"/>
      <protection locked="0"/>
    </xf>
    <xf numFmtId="172" fontId="5" fillId="0" borderId="30" xfId="18" applyNumberFormat="1" applyFont="1" applyBorder="1" applyAlignment="1" applyProtection="1">
      <alignment horizontal="center" vertical="center" wrapText="1"/>
      <protection locked="0"/>
    </xf>
    <xf numFmtId="0" fontId="27" fillId="5" borderId="1" xfId="17" applyFont="1" applyFill="1" applyBorder="1" applyAlignment="1" applyProtection="1">
      <alignment horizontal="left" vertical="center" wrapText="1"/>
      <protection hidden="1"/>
    </xf>
    <xf numFmtId="0" fontId="27" fillId="5" borderId="93" xfId="17" applyFont="1" applyFill="1" applyBorder="1" applyAlignment="1" applyProtection="1">
      <alignment horizontal="left" vertical="center" wrapText="1"/>
      <protection hidden="1"/>
    </xf>
    <xf numFmtId="49" fontId="75" fillId="0" borderId="97" xfId="18" applyNumberFormat="1" applyFont="1" applyBorder="1" applyAlignment="1" applyProtection="1">
      <alignment horizontal="left" vertical="top" wrapText="1"/>
      <protection locked="0"/>
    </xf>
    <xf numFmtId="49" fontId="75" fillId="0" borderId="1" xfId="18" applyNumberFormat="1" applyFont="1" applyBorder="1" applyAlignment="1" applyProtection="1">
      <alignment horizontal="left" vertical="top" wrapText="1"/>
      <protection locked="0"/>
    </xf>
    <xf numFmtId="49" fontId="75" fillId="0" borderId="93" xfId="18" applyNumberFormat="1" applyFont="1" applyBorder="1" applyAlignment="1" applyProtection="1">
      <alignment horizontal="left" vertical="top" wrapText="1"/>
      <protection locked="0"/>
    </xf>
    <xf numFmtId="49" fontId="5" fillId="0" borderId="97" xfId="18" applyNumberFormat="1" applyFont="1" applyBorder="1" applyAlignment="1" applyProtection="1">
      <alignment horizontal="left" vertical="top" wrapText="1"/>
      <protection locked="0"/>
    </xf>
    <xf numFmtId="49" fontId="5" fillId="0" borderId="1" xfId="18" applyNumberFormat="1" applyFont="1" applyBorder="1" applyAlignment="1" applyProtection="1">
      <alignment horizontal="left" vertical="top" wrapText="1"/>
      <protection locked="0"/>
    </xf>
    <xf numFmtId="49" fontId="5" fillId="0" borderId="93" xfId="18" applyNumberFormat="1" applyFont="1" applyBorder="1" applyAlignment="1" applyProtection="1">
      <alignment horizontal="left" vertical="top" wrapText="1"/>
      <protection locked="0"/>
    </xf>
    <xf numFmtId="49" fontId="5" fillId="0" borderId="97" xfId="18" applyNumberFormat="1" applyFont="1" applyBorder="1" applyAlignment="1" applyProtection="1">
      <alignment horizontal="left" vertical="top" wrapText="1"/>
      <protection hidden="1"/>
    </xf>
    <xf numFmtId="49" fontId="5" fillId="0" borderId="1" xfId="18" applyNumberFormat="1" applyFont="1" applyBorder="1" applyAlignment="1" applyProtection="1">
      <alignment horizontal="left" vertical="top" wrapText="1"/>
      <protection hidden="1"/>
    </xf>
    <xf numFmtId="49" fontId="5" fillId="0" borderId="93" xfId="18" applyNumberFormat="1" applyFont="1" applyBorder="1" applyAlignment="1" applyProtection="1">
      <alignment horizontal="left" vertical="top" wrapText="1"/>
      <protection hidden="1"/>
    </xf>
    <xf numFmtId="0" fontId="5" fillId="5" borderId="15" xfId="0" applyFont="1" applyFill="1" applyBorder="1" applyAlignment="1">
      <alignment horizontal="left" vertical="center" wrapText="1"/>
    </xf>
    <xf numFmtId="0" fontId="5" fillId="5" borderId="0" xfId="0" applyFont="1" applyFill="1" applyAlignment="1">
      <alignment horizontal="left" vertical="center" wrapText="1"/>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18" fillId="14" borderId="14" xfId="2" applyFont="1" applyFill="1" applyBorder="1" applyAlignment="1" applyProtection="1">
      <alignment horizontal="center" vertical="center"/>
    </xf>
    <xf numFmtId="0" fontId="18" fillId="14" borderId="12" xfId="2" applyFont="1" applyFill="1" applyBorder="1" applyAlignment="1" applyProtection="1">
      <alignment horizontal="center" vertical="center"/>
    </xf>
    <xf numFmtId="0" fontId="18" fillId="14" borderId="17" xfId="2" applyFont="1" applyFill="1" applyBorder="1" applyAlignment="1" applyProtection="1">
      <alignment horizontal="center" vertical="center"/>
    </xf>
    <xf numFmtId="0" fontId="5" fillId="5" borderId="15" xfId="0" applyFont="1" applyFill="1" applyBorder="1" applyAlignment="1">
      <alignment horizontal="center" vertical="center" wrapText="1"/>
    </xf>
    <xf numFmtId="0" fontId="5" fillId="5" borderId="63" xfId="0" applyFont="1" applyFill="1" applyBorder="1" applyAlignment="1">
      <alignment horizontal="center" vertical="center" wrapText="1"/>
    </xf>
    <xf numFmtId="0" fontId="5" fillId="5" borderId="51"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5" fillId="5" borderId="34" xfId="0" applyFont="1" applyFill="1" applyBorder="1" applyAlignment="1">
      <alignment horizontal="left" vertical="center" wrapText="1"/>
    </xf>
    <xf numFmtId="0" fontId="5" fillId="5" borderId="32" xfId="0" applyFont="1" applyFill="1" applyBorder="1" applyAlignment="1">
      <alignment horizontal="left" vertical="center" wrapText="1"/>
    </xf>
    <xf numFmtId="0" fontId="5" fillId="5" borderId="5" xfId="0" applyFont="1" applyFill="1" applyBorder="1" applyAlignment="1">
      <alignment horizontal="center" vertical="center" wrapText="1"/>
    </xf>
    <xf numFmtId="0" fontId="5" fillId="5" borderId="60" xfId="0" applyFont="1" applyFill="1" applyBorder="1" applyAlignment="1">
      <alignment horizontal="center" vertical="center" wrapText="1"/>
    </xf>
  </cellXfs>
  <cellStyles count="28">
    <cellStyle name="Comma" xfId="1" builtinId="3"/>
    <cellStyle name="Comma 2" xfId="16" xr:uid="{198090A5-DB3D-4717-AFBE-53328CBC628A}"/>
    <cellStyle name="Currency" xfId="27" builtinId="4"/>
    <cellStyle name="Hyperlink" xfId="2" builtinId="8"/>
    <cellStyle name="Hyperlink 2" xfId="14" xr:uid="{B608BFAC-8FA7-4597-AFD4-5670769BA40C}"/>
    <cellStyle name="Hyperlink 2 2" xfId="22" xr:uid="{BF3BD3BE-588B-446B-9B90-A4391CC246CE}"/>
    <cellStyle name="Hyperlink 3" xfId="24" xr:uid="{D96049BE-9099-4EBE-B9D5-8737D823FACF}"/>
    <cellStyle name="Normal" xfId="0" builtinId="0"/>
    <cellStyle name="Normal 2" xfId="3" xr:uid="{00000000-0005-0000-0000-000003000000}"/>
    <cellStyle name="Normal 2 2" xfId="7" xr:uid="{00000000-0005-0000-0000-000004000000}"/>
    <cellStyle name="Normal 2 2 2" xfId="13" xr:uid="{D7299017-8753-4546-985F-A1108D118940}"/>
    <cellStyle name="Normal 2 3" xfId="11" xr:uid="{E9AE6938-9A56-45E5-B27C-239626E232AD}"/>
    <cellStyle name="Normal 2 3 2" xfId="17" xr:uid="{9898A57F-9442-4A6A-A2DC-39406613008F}"/>
    <cellStyle name="Normal 3" xfId="6" xr:uid="{00000000-0005-0000-0000-000005000000}"/>
    <cellStyle name="Normal 3 2" xfId="10" xr:uid="{D19C9527-A987-47C6-ABF5-4F88D4BF8A32}"/>
    <cellStyle name="Normal 3 2 2" xfId="18" xr:uid="{85F5C5CA-4C2D-4036-B70B-73F4BE8AE37B}"/>
    <cellStyle name="Normal 3 2 2 2 2 2 2" xfId="20" xr:uid="{8D0B2031-AD6C-4DCF-BE9B-82F964802043}"/>
    <cellStyle name="Normal 3 2 3" xfId="23" xr:uid="{2E7A42D6-9970-4869-8610-4F5BD7657486}"/>
    <cellStyle name="Normal 4" xfId="8" xr:uid="{3004391E-675B-4EBB-9A84-B2A10F374D8B}"/>
    <cellStyle name="Normal 4 2" xfId="21" xr:uid="{BD205D35-BEFF-4DC4-8A24-43D3F6E1A0FA}"/>
    <cellStyle name="Normal 4 8 2 2 2" xfId="26" xr:uid="{8D52D294-C024-46C7-86C9-7D7B9026CAC6}"/>
    <cellStyle name="Normal 4 9 2 2" xfId="25" xr:uid="{B9A3B12C-40AD-46F1-BE57-C606712DF965}"/>
    <cellStyle name="Normal 5" xfId="15" xr:uid="{BD987027-1EEC-41E5-A101-4A319B25DB25}"/>
    <cellStyle name="Normal_Business Case Assessment Report Pro-forma" xfId="12" xr:uid="{8DF482F5-1544-4218-A070-C378A9B6132F}"/>
    <cellStyle name="Normal_Oct 2004 Local Fund Projects r03" xfId="4" xr:uid="{00000000-0005-0000-0000-000007000000}"/>
    <cellStyle name="Percent" xfId="5" builtinId="5"/>
    <cellStyle name="Percent 2" xfId="9" xr:uid="{3AF66880-2D5A-4E2F-8A9E-A611934A3AE5}"/>
    <cellStyle name="Percent 2 2" xfId="19" xr:uid="{A0F6A9E6-31E8-4C8F-B638-71CF6CA58089}"/>
  </cellStyles>
  <dxfs count="143">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ill>
        <patternFill>
          <bgColor rgb="FFFF0000"/>
        </patternFill>
      </fill>
    </dxf>
    <dxf>
      <fill>
        <patternFill>
          <bgColor rgb="FFFF0000"/>
        </patternFill>
      </fill>
    </dxf>
    <dxf>
      <fill>
        <patternFill>
          <bgColor rgb="FFFF0000"/>
        </patternFill>
      </fill>
    </dxf>
    <dxf>
      <font>
        <color theme="0"/>
      </font>
      <fill>
        <patternFill>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ill>
        <patternFill>
          <bgColor rgb="FFFF0000"/>
        </patternFill>
      </fill>
    </dxf>
    <dxf>
      <fill>
        <patternFill>
          <bgColor rgb="FFFF000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ill>
        <patternFill>
          <bgColor rgb="FFFF000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bgColor theme="0"/>
        </patternFill>
      </fill>
    </dxf>
    <dxf>
      <font>
        <color theme="0"/>
      </font>
      <fill>
        <patternFill patternType="solid">
          <bgColor theme="0"/>
        </patternFill>
      </fill>
    </dxf>
    <dxf>
      <font>
        <color rgb="FF9C0006"/>
      </font>
      <fill>
        <patternFill>
          <bgColor rgb="FFFFC7CE"/>
        </patternFill>
      </fill>
    </dxf>
    <dxf>
      <fill>
        <patternFill>
          <bgColor rgb="FFEB4B4B"/>
        </patternFill>
      </fill>
    </dxf>
    <dxf>
      <font>
        <color theme="0"/>
      </font>
      <fill>
        <patternFill>
          <bgColor rgb="FFC0504D"/>
        </patternFill>
      </fill>
    </dxf>
    <dxf>
      <font>
        <color theme="0"/>
      </font>
      <fill>
        <patternFill>
          <bgColor rgb="FFF79646"/>
        </patternFill>
      </fill>
    </dxf>
    <dxf>
      <font>
        <color theme="0"/>
      </font>
      <fill>
        <patternFill>
          <bgColor rgb="FF9BBB59"/>
        </patternFill>
      </fill>
    </dxf>
    <dxf>
      <font>
        <color theme="0"/>
      </font>
      <fill>
        <patternFill>
          <bgColor rgb="FFE26B0A"/>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b val="0"/>
        <i val="0"/>
        <strike val="0"/>
        <color rgb="FFFF0000"/>
      </font>
      <fill>
        <patternFill>
          <bgColor theme="5" tint="0.79998168889431442"/>
        </patternFill>
      </fill>
    </dxf>
    <dxf>
      <font>
        <color rgb="FFFF0000"/>
      </font>
      <fill>
        <patternFill>
          <bgColor theme="5" tint="0.79998168889431442"/>
        </patternFill>
      </fill>
    </dxf>
    <dxf>
      <font>
        <color rgb="FFFF0000"/>
      </font>
      <fill>
        <patternFill>
          <fgColor theme="0"/>
          <bgColor theme="5" tint="0.79998168889431442"/>
        </patternFill>
      </fill>
    </dxf>
    <dxf>
      <font>
        <color rgb="FFFF0000"/>
      </font>
      <fill>
        <patternFill>
          <bgColor theme="5" tint="0.79998168889431442"/>
        </patternFill>
      </fill>
    </dxf>
    <dxf>
      <font>
        <b/>
        <i val="0"/>
      </font>
      <fill>
        <patternFill>
          <bgColor theme="6" tint="0.79998168889431442"/>
        </patternFill>
      </fill>
      <border>
        <left/>
        <right style="thin">
          <color auto="1"/>
        </right>
        <top style="thin">
          <color auto="1"/>
        </top>
        <bottom style="thin">
          <color auto="1"/>
        </bottom>
        <vertical/>
        <horizontal/>
      </border>
    </dxf>
    <dxf>
      <font>
        <color theme="0" tint="-0.34998626667073579"/>
      </font>
      <fill>
        <patternFill>
          <bgColor theme="0" tint="-0.34998626667073579"/>
        </patternFill>
      </fill>
    </dxf>
    <dxf>
      <font>
        <color rgb="FFFF0000"/>
      </font>
      <fill>
        <patternFill>
          <bgColor theme="5" tint="0.79998168889431442"/>
        </patternFill>
      </fill>
    </dxf>
    <dxf>
      <font>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color rgb="FFFF0000"/>
      </font>
      <fill>
        <patternFill>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
      <font>
        <b/>
        <strike val="0"/>
        <outline val="0"/>
        <shadow val="0"/>
        <u val="none"/>
        <vertAlign val="baseline"/>
        <sz val="8"/>
        <name val="Verdana"/>
        <family val="2"/>
        <scheme val="none"/>
      </font>
      <fill>
        <patternFill patternType="solid">
          <bgColor theme="0"/>
        </patternFill>
      </fill>
      <border diagonalUp="0" diagonalDown="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8"/>
        <color theme="1"/>
        <name val="Verdana"/>
        <family val="2"/>
        <scheme val="none"/>
      </font>
      <numFmt numFmtId="2" formatCode="0.00"/>
      <fill>
        <patternFill patternType="solid">
          <fgColor indexed="64"/>
          <bgColor theme="0"/>
        </patternFill>
      </fill>
      <border diagonalUp="0" diagonalDown="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8"/>
        <color theme="1"/>
        <name val="Verdana"/>
        <family val="2"/>
        <scheme val="none"/>
      </font>
      <numFmt numFmtId="2" formatCode="0.00"/>
      <fill>
        <patternFill patternType="solid">
          <fgColor indexed="64"/>
          <bgColor theme="0"/>
        </patternFill>
      </fill>
      <border diagonalUp="0" diagonalDown="0">
        <left style="thin">
          <color indexed="64"/>
        </left>
        <right/>
        <top style="thin">
          <color indexed="64"/>
        </top>
        <bottom style="thin">
          <color indexed="64"/>
        </bottom>
      </border>
      <protection locked="1" hidden="1"/>
    </dxf>
    <dxf>
      <font>
        <strike val="0"/>
        <outline val="0"/>
        <shadow val="0"/>
        <u val="none"/>
        <vertAlign val="baseline"/>
        <sz val="8"/>
        <name val="Verdana"/>
        <family val="2"/>
        <scheme val="none"/>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8"/>
        <name val="Verdana"/>
        <family val="2"/>
        <scheme val="none"/>
      </font>
      <numFmt numFmtId="34" formatCode="_-&quot;£&quot;* #,##0.00_-;\-&quot;£&quot;* #,##0.00_-;_-&quot;£&quot;* &quot;-&quot;??_-;_-@_-"/>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8"/>
        <name val="Verdana"/>
        <family val="2"/>
        <scheme val="none"/>
      </font>
      <numFmt numFmtId="34" formatCode="_-&quot;£&quot;* #,##0.00_-;\-&quot;£&quot;* #,##0.00_-;_-&quot;£&quot;* &quot;-&quot;??_-;_-@_-"/>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34" formatCode="_-&quot;£&quot;* #,##0.00_-;\-&quot;£&quot;* #,##0.00_-;_-&quot;£&quot;* &quot;-&quot;??_-;_-@_-"/>
      <fill>
        <patternFill patternType="solid">
          <fgColor rgb="FFD9D9D9"/>
          <bgColor theme="0"/>
        </patternFill>
      </fill>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34" formatCode="_-&quot;£&quot;* #,##0.00_-;\-&quot;£&quot;* #,##0.00_-;_-&quot;£&quot;* &quot;-&quot;??_-;_-@_-"/>
      <fill>
        <patternFill patternType="solid">
          <fgColor rgb="FFD9D9D9"/>
          <bgColor theme="0"/>
        </patternFill>
      </fill>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8"/>
        <name val="Verdana"/>
        <family val="2"/>
        <scheme val="none"/>
      </font>
      <numFmt numFmtId="34" formatCode="_-&quot;£&quot;* #,##0.00_-;\-&quot;£&quot;* #,##0.00_-;_-&quot;£&quot;* &quot;-&quot;??_-;_-@_-"/>
      <fill>
        <patternFill patternType="solid">
          <bgColor theme="0"/>
        </patternFill>
      </fill>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34" formatCode="_-&quot;£&quot;* #,##0.00_-;\-&quot;£&quot;* #,##0.00_-;_-&quot;£&quot;* &quot;-&quot;??_-;_-@_-"/>
      <fill>
        <patternFill patternType="solid">
          <fgColor rgb="FFA6A6A6"/>
          <bgColor theme="0"/>
        </patternFill>
      </fill>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8"/>
        <name val="Verdana"/>
        <family val="2"/>
        <scheme val="none"/>
      </font>
      <numFmt numFmtId="34" formatCode="_-&quot;£&quot;* #,##0.00_-;\-&quot;£&quot;* #,##0.00_-;_-&quot;£&quot;* &quot;-&quot;??_-;_-@_-"/>
      <fill>
        <patternFill patternType="solid">
          <bgColor theme="0"/>
        </patternFill>
      </fill>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34" formatCode="_-&quot;£&quot;* #,##0.00_-;\-&quot;£&quot;* #,##0.00_-;_-&quot;£&quot;* &quot;-&quot;??_-;_-@_-"/>
      <fill>
        <patternFill patternType="solid">
          <fgColor rgb="FFA6A6A6"/>
          <bgColor theme="0"/>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000000"/>
        <name val="Verdana"/>
        <family val="2"/>
        <scheme val="none"/>
      </font>
      <numFmt numFmtId="34" formatCode="_-&quot;£&quot;* #,##0.00_-;\-&quot;£&quot;* #,##0.00_-;_-&quot;£&quot;* &quot;-&quot;??_-;_-@_-"/>
      <fill>
        <patternFill patternType="solid">
          <fgColor rgb="FFA6A6A6"/>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8"/>
        <name val="Verdana"/>
        <family val="2"/>
        <scheme val="none"/>
      </font>
      <numFmt numFmtId="34" formatCode="_-&quot;£&quot;* #,##0.00_-;\-&quot;£&quot;* #,##0.00_-;_-&quot;£&quot;* &quot;-&quot;??_-;_-@_-"/>
      <fill>
        <patternFill patternType="solid">
          <bgColor theme="0"/>
        </patternFill>
      </fill>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34" formatCode="_-&quot;£&quot;* #,##0.00_-;\-&quot;£&quot;* #,##0.00_-;_-&quot;£&quot;* &quot;-&quot;??_-;_-@_-"/>
      <fill>
        <patternFill patternType="solid">
          <fgColor rgb="FFA6A6A6"/>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8"/>
        <name val="Verdana"/>
        <family val="2"/>
        <scheme val="none"/>
      </font>
      <numFmt numFmtId="34" formatCode="_-&quot;£&quot;* #,##0.00_-;\-&quot;£&quot;* #,##0.00_-;_-&quot;£&quot;* &quot;-&quot;??_-;_-@_-"/>
      <fill>
        <patternFill patternType="solid">
          <fgColor rgb="FFA6A6A6"/>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8"/>
        <name val="Verdana"/>
        <family val="2"/>
        <scheme val="none"/>
      </font>
      <numFmt numFmtId="34" formatCode="_-&quot;£&quot;* #,##0.00_-;\-&quot;£&quot;* #,##0.00_-;_-&quot;£&quot;* &quot;-&quot;??_-;_-@_-"/>
      <fill>
        <patternFill patternType="solid">
          <bgColor theme="0"/>
        </patternFill>
      </fill>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34" formatCode="_-&quot;£&quot;* #,##0.00_-;\-&quot;£&quot;* #,##0.00_-;_-&quot;£&quot;* &quot;-&quot;??_-;_-@_-"/>
      <fill>
        <patternFill patternType="solid">
          <fgColor rgb="FFD9D9D9"/>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1" formatCode="0"/>
      <fill>
        <patternFill patternType="solid">
          <fgColor rgb="FFA6A6A6"/>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2" formatCode="0.00"/>
      <fill>
        <patternFill patternType="solid">
          <fgColor rgb="FFA6A6A6"/>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2" formatCode="0.00"/>
      <fill>
        <patternFill patternType="solid">
          <fgColor rgb="FFD9D9D9"/>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34" formatCode="_-&quot;£&quot;* #,##0.00_-;\-&quot;£&quot;* #,##0.00_-;_-&quot;£&quot;* &quot;-&quot;??_-;_-@_-"/>
      <fill>
        <patternFill patternType="solid">
          <fgColor rgb="FFD9D9D9"/>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auto="1"/>
        <name val="Verdana"/>
        <family val="2"/>
        <scheme val="none"/>
      </font>
      <fill>
        <patternFill patternType="solid">
          <fgColor rgb="FFA6A6A6"/>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auto="1"/>
        <name val="Verdana"/>
        <family val="2"/>
        <scheme val="none"/>
      </font>
      <numFmt numFmtId="0" formatCode="General"/>
      <fill>
        <patternFill patternType="solid">
          <fgColor rgb="FFD9D9D9"/>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19" formatCode="dd/mm/yyyy"/>
      <fill>
        <patternFill patternType="solid">
          <fgColor rgb="FFD9D9D9"/>
          <bgColor theme="0"/>
        </patternFill>
      </fill>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8"/>
        <color rgb="FF000000"/>
        <name val="Verdana"/>
        <family val="2"/>
        <scheme val="none"/>
      </font>
      <numFmt numFmtId="19" formatCode="dd/mm/yyyy"/>
      <fill>
        <patternFill patternType="solid">
          <fgColor rgb="FFD9D9D9"/>
          <bgColor theme="0"/>
        </patternFill>
      </fill>
      <border diagonalUp="0" diagonalDown="0">
        <left/>
        <right style="thin">
          <color indexed="64"/>
        </right>
        <top style="thin">
          <color indexed="64"/>
        </top>
        <bottom style="thin">
          <color indexed="64"/>
        </bottom>
      </border>
      <protection locked="1" hidden="1"/>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8"/>
        <name val="Verdana"/>
        <family val="2"/>
        <scheme val="none"/>
      </font>
      <fill>
        <patternFill patternType="solid">
          <bgColor theme="0"/>
        </patternFill>
      </fill>
    </dxf>
    <dxf>
      <border>
        <bottom style="thin">
          <color indexed="64"/>
        </bottom>
      </border>
    </dxf>
    <dxf>
      <font>
        <strike val="0"/>
        <outline val="0"/>
        <shadow val="0"/>
        <u val="none"/>
        <vertAlign val="baseline"/>
        <sz val="8"/>
        <color theme="0"/>
        <name val="Verdana"/>
        <family val="2"/>
        <scheme val="none"/>
      </font>
      <fill>
        <patternFill patternType="solid">
          <bgColor rgb="FF2DAE76"/>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D0F2E3"/>
      <color rgb="FFFF0000"/>
      <color rgb="FF382573"/>
      <color rgb="FF2DAE76"/>
      <color rgb="FFACEACF"/>
      <color rgb="FFD0F2CF"/>
      <color rgb="FFE4DFEC"/>
      <color rgb="FFBDB0E6"/>
      <color rgb="FF00B050"/>
      <color rgb="FF9BBB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hyperlink" Target="#Guidance!A1"/></Relationships>
</file>

<file path=xl/drawings/_rels/drawing6.xml.rels><?xml version="1.0" encoding="UTF-8" standalone="yes"?>
<Relationships xmlns="http://schemas.openxmlformats.org/package/2006/relationships"><Relationship Id="rId1" Type="http://schemas.openxmlformats.org/officeDocument/2006/relationships/image" Target="../media/image1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10620375</xdr:colOff>
      <xdr:row>1</xdr:row>
      <xdr:rowOff>98778</xdr:rowOff>
    </xdr:from>
    <xdr:to>
      <xdr:col>1</xdr:col>
      <xdr:colOff>12428008</xdr:colOff>
      <xdr:row>5</xdr:row>
      <xdr:rowOff>25400</xdr:rowOff>
    </xdr:to>
    <xdr:pic>
      <xdr:nvPicPr>
        <xdr:cNvPr id="2" name="Picture 1">
          <a:extLst>
            <a:ext uri="{FF2B5EF4-FFF2-40B4-BE49-F238E27FC236}">
              <a16:creationId xmlns:a16="http://schemas.microsoft.com/office/drawing/2014/main" id="{A419F29A-F15A-4A15-94C4-AA9ACD984FE2}"/>
            </a:ext>
          </a:extLst>
        </xdr:cNvPr>
        <xdr:cNvPicPr>
          <a:picLocks noChangeAspect="1"/>
        </xdr:cNvPicPr>
      </xdr:nvPicPr>
      <xdr:blipFill>
        <a:blip xmlns:r="http://schemas.openxmlformats.org/officeDocument/2006/relationships" r:embed="rId1"/>
        <a:stretch>
          <a:fillRect/>
        </a:stretch>
      </xdr:blipFill>
      <xdr:spPr>
        <a:xfrm>
          <a:off x="10896600" y="308328"/>
          <a:ext cx="1813983" cy="9140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114300</xdr:colOff>
      <xdr:row>1</xdr:row>
      <xdr:rowOff>120651</xdr:rowOff>
    </xdr:from>
    <xdr:ext cx="1638300" cy="765810"/>
    <xdr:pic>
      <xdr:nvPicPr>
        <xdr:cNvPr id="11" name="Picture 10">
          <a:extLst>
            <a:ext uri="{FF2B5EF4-FFF2-40B4-BE49-F238E27FC236}">
              <a16:creationId xmlns:a16="http://schemas.microsoft.com/office/drawing/2014/main" id="{DD079104-67B0-43EF-A0D4-A5A816D8B498}"/>
            </a:ext>
          </a:extLst>
        </xdr:cNvPr>
        <xdr:cNvPicPr>
          <a:picLocks noChangeAspect="1"/>
        </xdr:cNvPicPr>
      </xdr:nvPicPr>
      <xdr:blipFill>
        <a:blip xmlns:r="http://schemas.openxmlformats.org/officeDocument/2006/relationships" r:embed="rId1"/>
        <a:stretch>
          <a:fillRect/>
        </a:stretch>
      </xdr:blipFill>
      <xdr:spPr>
        <a:xfrm>
          <a:off x="8947150" y="311151"/>
          <a:ext cx="1701800" cy="765810"/>
        </a:xfrm>
        <a:prstGeom prst="rect">
          <a:avLst/>
        </a:prstGeom>
      </xdr:spPr>
    </xdr:pic>
    <xdr:clientData/>
  </xdr:oneCellAnchor>
  <xdr:oneCellAnchor>
    <xdr:from>
      <xdr:col>1</xdr:col>
      <xdr:colOff>133351</xdr:colOff>
      <xdr:row>43</xdr:row>
      <xdr:rowOff>50801</xdr:rowOff>
    </xdr:from>
    <xdr:ext cx="9725025" cy="847952"/>
    <xdr:pic>
      <xdr:nvPicPr>
        <xdr:cNvPr id="14" name="Picture 13">
          <a:extLst>
            <a:ext uri="{FF2B5EF4-FFF2-40B4-BE49-F238E27FC236}">
              <a16:creationId xmlns:a16="http://schemas.microsoft.com/office/drawing/2014/main" id="{CFB0D06C-CEE2-4536-9F74-40DE2BC60428}"/>
            </a:ext>
          </a:extLst>
        </xdr:cNvPr>
        <xdr:cNvPicPr>
          <a:picLocks noChangeAspect="1"/>
        </xdr:cNvPicPr>
      </xdr:nvPicPr>
      <xdr:blipFill>
        <a:blip xmlns:r="http://schemas.openxmlformats.org/officeDocument/2006/relationships" r:embed="rId2"/>
        <a:stretch>
          <a:fillRect/>
        </a:stretch>
      </xdr:blipFill>
      <xdr:spPr>
        <a:xfrm>
          <a:off x="457201" y="11214101"/>
          <a:ext cx="10210800" cy="835252"/>
        </a:xfrm>
        <a:prstGeom prst="rect">
          <a:avLst/>
        </a:prstGeom>
      </xdr:spPr>
    </xdr:pic>
    <xdr:clientData/>
  </xdr:oneCellAnchor>
  <xdr:oneCellAnchor>
    <xdr:from>
      <xdr:col>15</xdr:col>
      <xdr:colOff>87965</xdr:colOff>
      <xdr:row>51</xdr:row>
      <xdr:rowOff>72838</xdr:rowOff>
    </xdr:from>
    <xdr:ext cx="1626519" cy="765922"/>
    <xdr:pic>
      <xdr:nvPicPr>
        <xdr:cNvPr id="10" name="Picture 9">
          <a:extLst>
            <a:ext uri="{FF2B5EF4-FFF2-40B4-BE49-F238E27FC236}">
              <a16:creationId xmlns:a16="http://schemas.microsoft.com/office/drawing/2014/main" id="{87689721-07B5-4335-A61A-899648B24300}"/>
            </a:ext>
          </a:extLst>
        </xdr:cNvPr>
        <xdr:cNvPicPr>
          <a:picLocks noChangeAspect="1"/>
        </xdr:cNvPicPr>
      </xdr:nvPicPr>
      <xdr:blipFill>
        <a:blip xmlns:r="http://schemas.openxmlformats.org/officeDocument/2006/relationships" r:embed="rId3"/>
        <a:stretch>
          <a:fillRect/>
        </a:stretch>
      </xdr:blipFill>
      <xdr:spPr>
        <a:xfrm>
          <a:off x="8413936" y="12074338"/>
          <a:ext cx="1626519" cy="765922"/>
        </a:xfrm>
        <a:prstGeom prst="rect">
          <a:avLst/>
        </a:prstGeom>
      </xdr:spPr>
    </xdr:pic>
    <xdr:clientData/>
  </xdr:oneCellAnchor>
  <xdr:twoCellAnchor editAs="oneCell">
    <xdr:from>
      <xdr:col>2</xdr:col>
      <xdr:colOff>7283</xdr:colOff>
      <xdr:row>12</xdr:row>
      <xdr:rowOff>19861</xdr:rowOff>
    </xdr:from>
    <xdr:to>
      <xdr:col>15</xdr:col>
      <xdr:colOff>74706</xdr:colOff>
      <xdr:row>15</xdr:row>
      <xdr:rowOff>30624</xdr:rowOff>
    </xdr:to>
    <xdr:pic>
      <xdr:nvPicPr>
        <xdr:cNvPr id="2" name="Picture 1">
          <a:extLst>
            <a:ext uri="{FF2B5EF4-FFF2-40B4-BE49-F238E27FC236}">
              <a16:creationId xmlns:a16="http://schemas.microsoft.com/office/drawing/2014/main" id="{3825E5DD-E695-90B9-3DB9-A74A8A723351}"/>
            </a:ext>
          </a:extLst>
        </xdr:cNvPr>
        <xdr:cNvPicPr>
          <a:picLocks noChangeAspect="1"/>
        </xdr:cNvPicPr>
      </xdr:nvPicPr>
      <xdr:blipFill>
        <a:blip xmlns:r="http://schemas.openxmlformats.org/officeDocument/2006/relationships" r:embed="rId4"/>
        <a:stretch>
          <a:fillRect/>
        </a:stretch>
      </xdr:blipFill>
      <xdr:spPr>
        <a:xfrm>
          <a:off x="500342" y="2978214"/>
          <a:ext cx="8419540" cy="873056"/>
        </a:xfrm>
        <a:prstGeom prst="rect">
          <a:avLst/>
        </a:prstGeom>
      </xdr:spPr>
    </xdr:pic>
    <xdr:clientData/>
  </xdr:twoCellAnchor>
  <xdr:twoCellAnchor editAs="oneCell">
    <xdr:from>
      <xdr:col>2</xdr:col>
      <xdr:colOff>22413</xdr:colOff>
      <xdr:row>18</xdr:row>
      <xdr:rowOff>22411</xdr:rowOff>
    </xdr:from>
    <xdr:to>
      <xdr:col>16</xdr:col>
      <xdr:colOff>430120</xdr:colOff>
      <xdr:row>21</xdr:row>
      <xdr:rowOff>31636</xdr:rowOff>
    </xdr:to>
    <xdr:pic>
      <xdr:nvPicPr>
        <xdr:cNvPr id="4" name="Picture 3">
          <a:extLst>
            <a:ext uri="{FF2B5EF4-FFF2-40B4-BE49-F238E27FC236}">
              <a16:creationId xmlns:a16="http://schemas.microsoft.com/office/drawing/2014/main" id="{3A8AC682-A6F6-7520-4308-144FEC4EEBBD}"/>
            </a:ext>
          </a:extLst>
        </xdr:cNvPr>
        <xdr:cNvPicPr>
          <a:picLocks noChangeAspect="1"/>
        </xdr:cNvPicPr>
      </xdr:nvPicPr>
      <xdr:blipFill>
        <a:blip xmlns:r="http://schemas.openxmlformats.org/officeDocument/2006/relationships" r:embed="rId5"/>
        <a:stretch>
          <a:fillRect/>
        </a:stretch>
      </xdr:blipFill>
      <xdr:spPr>
        <a:xfrm>
          <a:off x="515472" y="4332940"/>
          <a:ext cx="9405470" cy="938753"/>
        </a:xfrm>
        <a:prstGeom prst="rect">
          <a:avLst/>
        </a:prstGeom>
      </xdr:spPr>
    </xdr:pic>
    <xdr:clientData/>
  </xdr:twoCellAnchor>
  <xdr:twoCellAnchor editAs="oneCell">
    <xdr:from>
      <xdr:col>2</xdr:col>
      <xdr:colOff>26146</xdr:colOff>
      <xdr:row>23</xdr:row>
      <xdr:rowOff>40156</xdr:rowOff>
    </xdr:from>
    <xdr:to>
      <xdr:col>7</xdr:col>
      <xdr:colOff>11765</xdr:colOff>
      <xdr:row>27</xdr:row>
      <xdr:rowOff>96142</xdr:rowOff>
    </xdr:to>
    <xdr:pic>
      <xdr:nvPicPr>
        <xdr:cNvPr id="5" name="Picture 4">
          <a:extLst>
            <a:ext uri="{FF2B5EF4-FFF2-40B4-BE49-F238E27FC236}">
              <a16:creationId xmlns:a16="http://schemas.microsoft.com/office/drawing/2014/main" id="{FC893FE0-D2ED-87C8-30E8-6FDBB4ECD2C2}"/>
            </a:ext>
          </a:extLst>
        </xdr:cNvPr>
        <xdr:cNvPicPr>
          <a:picLocks noChangeAspect="1"/>
        </xdr:cNvPicPr>
      </xdr:nvPicPr>
      <xdr:blipFill>
        <a:blip xmlns:r="http://schemas.openxmlformats.org/officeDocument/2006/relationships" r:embed="rId6"/>
        <a:stretch>
          <a:fillRect/>
        </a:stretch>
      </xdr:blipFill>
      <xdr:spPr>
        <a:xfrm>
          <a:off x="519205" y="5665509"/>
          <a:ext cx="3201147" cy="997280"/>
        </a:xfrm>
        <a:prstGeom prst="rect">
          <a:avLst/>
        </a:prstGeom>
      </xdr:spPr>
    </xdr:pic>
    <xdr:clientData/>
  </xdr:twoCellAnchor>
  <xdr:twoCellAnchor editAs="oneCell">
    <xdr:from>
      <xdr:col>2</xdr:col>
      <xdr:colOff>22412</xdr:colOff>
      <xdr:row>29</xdr:row>
      <xdr:rowOff>134471</xdr:rowOff>
    </xdr:from>
    <xdr:to>
      <xdr:col>7</xdr:col>
      <xdr:colOff>354292</xdr:colOff>
      <xdr:row>33</xdr:row>
      <xdr:rowOff>179684</xdr:rowOff>
    </xdr:to>
    <xdr:pic>
      <xdr:nvPicPr>
        <xdr:cNvPr id="12" name="Picture 11">
          <a:extLst>
            <a:ext uri="{FF2B5EF4-FFF2-40B4-BE49-F238E27FC236}">
              <a16:creationId xmlns:a16="http://schemas.microsoft.com/office/drawing/2014/main" id="{5CFF1DB7-106F-BBAB-02B3-6BC9FF38DFF5}"/>
            </a:ext>
          </a:extLst>
        </xdr:cNvPr>
        <xdr:cNvPicPr>
          <a:picLocks noChangeAspect="1"/>
        </xdr:cNvPicPr>
      </xdr:nvPicPr>
      <xdr:blipFill>
        <a:blip xmlns:r="http://schemas.openxmlformats.org/officeDocument/2006/relationships" r:embed="rId7"/>
        <a:stretch>
          <a:fillRect/>
        </a:stretch>
      </xdr:blipFill>
      <xdr:spPr>
        <a:xfrm>
          <a:off x="515471" y="7141883"/>
          <a:ext cx="3541058" cy="818980"/>
        </a:xfrm>
        <a:prstGeom prst="rect">
          <a:avLst/>
        </a:prstGeom>
      </xdr:spPr>
    </xdr:pic>
    <xdr:clientData/>
  </xdr:twoCellAnchor>
  <xdr:twoCellAnchor editAs="oneCell">
    <xdr:from>
      <xdr:col>2</xdr:col>
      <xdr:colOff>0</xdr:colOff>
      <xdr:row>37</xdr:row>
      <xdr:rowOff>0</xdr:rowOff>
    </xdr:from>
    <xdr:to>
      <xdr:col>10</xdr:col>
      <xdr:colOff>426296</xdr:colOff>
      <xdr:row>41</xdr:row>
      <xdr:rowOff>64477</xdr:rowOff>
    </xdr:to>
    <xdr:pic>
      <xdr:nvPicPr>
        <xdr:cNvPr id="13" name="Picture 12">
          <a:extLst>
            <a:ext uri="{FF2B5EF4-FFF2-40B4-BE49-F238E27FC236}">
              <a16:creationId xmlns:a16="http://schemas.microsoft.com/office/drawing/2014/main" id="{7EFE2786-18D4-09A6-8522-64598498196E}"/>
            </a:ext>
          </a:extLst>
        </xdr:cNvPr>
        <xdr:cNvPicPr>
          <a:picLocks noChangeAspect="1"/>
        </xdr:cNvPicPr>
      </xdr:nvPicPr>
      <xdr:blipFill>
        <a:blip xmlns:r="http://schemas.openxmlformats.org/officeDocument/2006/relationships" r:embed="rId8"/>
        <a:stretch>
          <a:fillRect/>
        </a:stretch>
      </xdr:blipFill>
      <xdr:spPr>
        <a:xfrm>
          <a:off x="493059" y="8561294"/>
          <a:ext cx="5569236" cy="8382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980016</xdr:colOff>
      <xdr:row>2</xdr:row>
      <xdr:rowOff>31749</xdr:rowOff>
    </xdr:from>
    <xdr:to>
      <xdr:col>21</xdr:col>
      <xdr:colOff>629424</xdr:colOff>
      <xdr:row>4</xdr:row>
      <xdr:rowOff>250280</xdr:rowOff>
    </xdr:to>
    <xdr:pic>
      <xdr:nvPicPr>
        <xdr:cNvPr id="4" name="Picture 3">
          <a:extLst>
            <a:ext uri="{FF2B5EF4-FFF2-40B4-BE49-F238E27FC236}">
              <a16:creationId xmlns:a16="http://schemas.microsoft.com/office/drawing/2014/main" id="{FE41D1AC-D4E3-4A6F-9000-3B5F03FAD61B}"/>
            </a:ext>
          </a:extLst>
        </xdr:cNvPr>
        <xdr:cNvPicPr>
          <a:picLocks noChangeAspect="1"/>
        </xdr:cNvPicPr>
      </xdr:nvPicPr>
      <xdr:blipFill>
        <a:blip xmlns:r="http://schemas.openxmlformats.org/officeDocument/2006/relationships" r:embed="rId1"/>
        <a:stretch>
          <a:fillRect/>
        </a:stretch>
      </xdr:blipFill>
      <xdr:spPr>
        <a:xfrm>
          <a:off x="19807766" y="374649"/>
          <a:ext cx="2139666" cy="8827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613834</xdr:colOff>
      <xdr:row>1</xdr:row>
      <xdr:rowOff>134056</xdr:rowOff>
    </xdr:from>
    <xdr:to>
      <xdr:col>8</xdr:col>
      <xdr:colOff>1323903</xdr:colOff>
      <xdr:row>6</xdr:row>
      <xdr:rowOff>225633</xdr:rowOff>
    </xdr:to>
    <xdr:pic>
      <xdr:nvPicPr>
        <xdr:cNvPr id="4" name="Picture 3">
          <a:extLst>
            <a:ext uri="{FF2B5EF4-FFF2-40B4-BE49-F238E27FC236}">
              <a16:creationId xmlns:a16="http://schemas.microsoft.com/office/drawing/2014/main" id="{955BAA00-7EDA-4D13-970E-E7737010A8B4}"/>
            </a:ext>
          </a:extLst>
        </xdr:cNvPr>
        <xdr:cNvPicPr>
          <a:picLocks noChangeAspect="1"/>
        </xdr:cNvPicPr>
      </xdr:nvPicPr>
      <xdr:blipFill>
        <a:blip xmlns:r="http://schemas.openxmlformats.org/officeDocument/2006/relationships" r:embed="rId1"/>
        <a:stretch>
          <a:fillRect/>
        </a:stretch>
      </xdr:blipFill>
      <xdr:spPr>
        <a:xfrm>
          <a:off x="10456334" y="338667"/>
          <a:ext cx="2151944" cy="968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250032</xdr:colOff>
      <xdr:row>2</xdr:row>
      <xdr:rowOff>61685</xdr:rowOff>
    </xdr:from>
    <xdr:ext cx="1689974" cy="837751"/>
    <xdr:pic>
      <xdr:nvPicPr>
        <xdr:cNvPr id="7" name="Picture 2">
          <a:hlinkClick xmlns:r="http://schemas.openxmlformats.org/officeDocument/2006/relationships" r:id="rId1"/>
          <a:extLst>
            <a:ext uri="{FF2B5EF4-FFF2-40B4-BE49-F238E27FC236}">
              <a16:creationId xmlns:a16="http://schemas.microsoft.com/office/drawing/2014/main" id="{C693EADC-8689-4C49-B103-CA61484ED322}"/>
            </a:ext>
          </a:extLst>
        </xdr:cNvPr>
        <xdr:cNvPicPr>
          <a:picLocks noChangeAspect="1"/>
        </xdr:cNvPicPr>
      </xdr:nvPicPr>
      <xdr:blipFill>
        <a:blip xmlns:r="http://schemas.openxmlformats.org/officeDocument/2006/relationships" r:embed="rId2"/>
        <a:stretch>
          <a:fillRect/>
        </a:stretch>
      </xdr:blipFill>
      <xdr:spPr>
        <a:xfrm>
          <a:off x="28967907" y="323623"/>
          <a:ext cx="1689974" cy="837751"/>
        </a:xfrm>
        <a:prstGeom prst="rect">
          <a:avLst/>
        </a:prstGeom>
      </xdr:spPr>
    </xdr:pic>
    <xdr:clientData/>
  </xdr:oneCellAnchor>
  <xdr:twoCellAnchor editAs="oneCell">
    <xdr:from>
      <xdr:col>27</xdr:col>
      <xdr:colOff>2076791</xdr:colOff>
      <xdr:row>2</xdr:row>
      <xdr:rowOff>59531</xdr:rowOff>
    </xdr:from>
    <xdr:to>
      <xdr:col>31</xdr:col>
      <xdr:colOff>368434</xdr:colOff>
      <xdr:row>5</xdr:row>
      <xdr:rowOff>387464</xdr:rowOff>
    </xdr:to>
    <xdr:pic>
      <xdr:nvPicPr>
        <xdr:cNvPr id="8" name="Picture 4">
          <a:extLst>
            <a:ext uri="{FF2B5EF4-FFF2-40B4-BE49-F238E27FC236}">
              <a16:creationId xmlns:a16="http://schemas.microsoft.com/office/drawing/2014/main" id="{22AD6BFC-A093-4F79-8A64-266296D8FC2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794666" y="321469"/>
          <a:ext cx="869743" cy="8676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1007985</xdr:colOff>
      <xdr:row>1</xdr:row>
      <xdr:rowOff>203446</xdr:rowOff>
    </xdr:from>
    <xdr:to>
      <xdr:col>6</xdr:col>
      <xdr:colOff>1275193</xdr:colOff>
      <xdr:row>3</xdr:row>
      <xdr:rowOff>440494</xdr:rowOff>
    </xdr:to>
    <xdr:pic>
      <xdr:nvPicPr>
        <xdr:cNvPr id="2" name="Picture 1">
          <a:extLst>
            <a:ext uri="{FF2B5EF4-FFF2-40B4-BE49-F238E27FC236}">
              <a16:creationId xmlns:a16="http://schemas.microsoft.com/office/drawing/2014/main" id="{B88C903B-611A-4E4E-B2CA-503AD14B27FC}"/>
            </a:ext>
          </a:extLst>
        </xdr:cNvPr>
        <xdr:cNvPicPr>
          <a:picLocks noChangeAspect="1"/>
        </xdr:cNvPicPr>
      </xdr:nvPicPr>
      <xdr:blipFill>
        <a:blip xmlns:r="http://schemas.openxmlformats.org/officeDocument/2006/relationships" r:embed="rId1"/>
        <a:stretch>
          <a:fillRect/>
        </a:stretch>
      </xdr:blipFill>
      <xdr:spPr>
        <a:xfrm>
          <a:off x="9786225" y="409186"/>
          <a:ext cx="1669289" cy="8923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1193800</xdr:colOff>
      <xdr:row>1</xdr:row>
      <xdr:rowOff>152400</xdr:rowOff>
    </xdr:from>
    <xdr:to>
      <xdr:col>7</xdr:col>
      <xdr:colOff>1438275</xdr:colOff>
      <xdr:row>5</xdr:row>
      <xdr:rowOff>76994</xdr:rowOff>
    </xdr:to>
    <xdr:pic>
      <xdr:nvPicPr>
        <xdr:cNvPr id="3" name="Picture 2">
          <a:extLst>
            <a:ext uri="{FF2B5EF4-FFF2-40B4-BE49-F238E27FC236}">
              <a16:creationId xmlns:a16="http://schemas.microsoft.com/office/drawing/2014/main" id="{672AA0BA-FECB-42D8-9F69-7BA991AADB82}"/>
            </a:ext>
          </a:extLst>
        </xdr:cNvPr>
        <xdr:cNvPicPr>
          <a:picLocks noChangeAspect="1"/>
        </xdr:cNvPicPr>
      </xdr:nvPicPr>
      <xdr:blipFill>
        <a:blip xmlns:r="http://schemas.openxmlformats.org/officeDocument/2006/relationships" r:embed="rId1"/>
        <a:stretch>
          <a:fillRect/>
        </a:stretch>
      </xdr:blipFill>
      <xdr:spPr>
        <a:xfrm>
          <a:off x="9147175" y="361950"/>
          <a:ext cx="1720850" cy="8199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539750</xdr:colOff>
      <xdr:row>1</xdr:row>
      <xdr:rowOff>76200</xdr:rowOff>
    </xdr:from>
    <xdr:to>
      <xdr:col>11</xdr:col>
      <xdr:colOff>558800</xdr:colOff>
      <xdr:row>1</xdr:row>
      <xdr:rowOff>661988</xdr:rowOff>
    </xdr:to>
    <xdr:pic>
      <xdr:nvPicPr>
        <xdr:cNvPr id="3" name="Picture 2">
          <a:extLst>
            <a:ext uri="{FF2B5EF4-FFF2-40B4-BE49-F238E27FC236}">
              <a16:creationId xmlns:a16="http://schemas.microsoft.com/office/drawing/2014/main" id="{4084289A-1263-475C-B6E5-CB34E910F0E8}"/>
            </a:ext>
          </a:extLst>
        </xdr:cNvPr>
        <xdr:cNvPicPr>
          <a:picLocks noChangeAspect="1"/>
        </xdr:cNvPicPr>
      </xdr:nvPicPr>
      <xdr:blipFill>
        <a:blip xmlns:r="http://schemas.openxmlformats.org/officeDocument/2006/relationships" r:embed="rId1"/>
        <a:stretch>
          <a:fillRect/>
        </a:stretch>
      </xdr:blipFill>
      <xdr:spPr>
        <a:xfrm>
          <a:off x="6311900" y="285750"/>
          <a:ext cx="1301750" cy="5857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552450</xdr:colOff>
      <xdr:row>1</xdr:row>
      <xdr:rowOff>76200</xdr:rowOff>
    </xdr:from>
    <xdr:to>
      <xdr:col>11</xdr:col>
      <xdr:colOff>571500</xdr:colOff>
      <xdr:row>1</xdr:row>
      <xdr:rowOff>661988</xdr:rowOff>
    </xdr:to>
    <xdr:pic>
      <xdr:nvPicPr>
        <xdr:cNvPr id="3" name="Picture 2">
          <a:extLst>
            <a:ext uri="{FF2B5EF4-FFF2-40B4-BE49-F238E27FC236}">
              <a16:creationId xmlns:a16="http://schemas.microsoft.com/office/drawing/2014/main" id="{0A34145A-82FF-4595-8578-2ABE94901D99}"/>
            </a:ext>
          </a:extLst>
        </xdr:cNvPr>
        <xdr:cNvPicPr>
          <a:picLocks noChangeAspect="1"/>
        </xdr:cNvPicPr>
      </xdr:nvPicPr>
      <xdr:blipFill>
        <a:blip xmlns:r="http://schemas.openxmlformats.org/officeDocument/2006/relationships" r:embed="rId1"/>
        <a:stretch>
          <a:fillRect/>
        </a:stretch>
      </xdr:blipFill>
      <xdr:spPr>
        <a:xfrm>
          <a:off x="5949950" y="285750"/>
          <a:ext cx="1301750" cy="585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alix365.sharepoint.com/Tec/Docs/C.%20Other%20scheme/Wales%20Scheme/1.%20Planning/Application%20Form%20Log/Wales%20FTC%20Application%20Form%20V0.2%20-%20Extended.xlsx" TargetMode="External"/><Relationship Id="rId1" Type="http://schemas.openxmlformats.org/officeDocument/2006/relationships/externalLinkPath" Target="/Tec/Docs/C.%20Other%20scheme/Wales%20Scheme/1.%20Planning/Application%20Form%20Log/Wales%20FTC%20Application%20Form%20V0.2%20-%20Extend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l/OtherProgrammes/Phase%203%20PSDS/2.%20Applications/4.%20NHS/Northampton%20General%20Hospital%20NHS%20Trust%20-%2030168/Application%20Form/phase-3-psds-application-form---northampt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alixfs01/shared/Documents%20and%20Settings/dobl1733/Local%20Settings/Temporary%20Internet%20Files/Content.Outlook/BV6CWOUN/SEELS%20Project%20Compliance%20Tool%20v22%20Fuel%20Conversion%20v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alixfs01/shared/SEELS/England/DfE/Academies/SEEF/3.%20SEEF%203%202018-19/Revised%20Application%20Documents%20Drafts/Application%20Form/Final%20Version/SEEF%20Application%20Form%202018-19.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OnaSabotie\Downloads\Wales%20Application%20Form%20V4%20_3%20(1).xlsx" TargetMode="External"/><Relationship Id="rId1" Type="http://schemas.openxmlformats.org/officeDocument/2006/relationships/externalLinkPath" Target="/Users/OnaSabotie/Downloads/Wales%20Application%20Form%20V4%20_3%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mattc.SALIX/Downloads/Cost%20Saving%20Analysis%20Tool%20-%20V%201.1%20-%20Queens%20Park%20High.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ccstorage1/t&amp;e$/Technical%20Services%20-%20Nov09/13.%20Technology%20Specific%20Work/22.%20Swimming%20pool%20cover/Pool%20Heatloss%20-%20Version%201.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alixfs01/shared/Users/CraigM/AppData/Local/Microsoft/Windows/Temporary%20Internet%20Files/Content.Outlook/1K4MSJRC/Multiple%20Fuel%20Compliance%20Tool%20Version%2027%20-%20SEE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RYSTAL_PERSIST"/>
      <sheetName val="Guidance"/>
      <sheetName val="Step 1 Introduction"/>
      <sheetName val="Step 2a Building Project Design"/>
      <sheetName val="Step 2b EV Proposal"/>
      <sheetName val="Step 3a Site Details"/>
      <sheetName val="Step 3b Building Details"/>
      <sheetName val="Step 3c Heating System"/>
      <sheetName val="Step 4 Measure Details"/>
      <sheetName val="Step 5a Project Governance"/>
      <sheetName val="Step 5b Social Contribution"/>
      <sheetName val="Step 6 Loan Amortisation"/>
      <sheetName val="Draft LAT"/>
      <sheetName val="QC Check"/>
      <sheetName val="Assessment Form"/>
      <sheetName val="Extra look-up - Incomplete"/>
      <sheetName val="Eligible Technologies"/>
      <sheetName val="Scoring Criteria - Incomplete"/>
      <sheetName val="Backing Sheet - Buildings"/>
      <sheetName val="Terms of Use"/>
      <sheetName val="Revision History"/>
      <sheetName val="Data Outputs"/>
      <sheetName val="Boiler Age Data"/>
      <sheetName val="PETREAD - Incomple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YSTAL_PERSIST"/>
      <sheetName val="Guidance"/>
      <sheetName val="Step 1 Project Introduction"/>
      <sheetName val="Step 2 Building Details"/>
      <sheetName val="Step 3.1 Existing heating"/>
      <sheetName val="Step 3.2 Heating System Data"/>
      <sheetName val="Step 3.3 Low Carbon Heating"/>
      <sheetName val="Step 4 Support Tool"/>
      <sheetName val="Step 5 Business Case"/>
      <sheetName val="Step 6 Submit Application"/>
      <sheetName val="Eligible Technologies"/>
      <sheetName val="Application Form User Terms"/>
      <sheetName val="Backing Sheet Buildings"/>
      <sheetName val="Extra look-up"/>
      <sheetName val="Assessment Form"/>
      <sheetName val="Revision History"/>
      <sheetName val="PETRE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Table"/>
      <sheetName val="CRYSTAL_PERSIST"/>
      <sheetName val="Project_Compliance_Tool"/>
      <sheetName val="Project Data Input Sheet"/>
      <sheetName val="Project_Assessment_Criteria"/>
      <sheetName val="Persistence_Factor_Methodology"/>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nology List &amp; Con. Factors"/>
      <sheetName val="Step 1 Application Form"/>
      <sheetName val="Step 2 ECM 1"/>
      <sheetName val="ECM 2"/>
      <sheetName val="ECM 3"/>
      <sheetName val="ECM 4"/>
      <sheetName val="ECM 5"/>
      <sheetName val="Step 3 Business Case"/>
      <sheetName val="Step 4 Submission"/>
      <sheetName val="Terms and Conditions"/>
      <sheetName val="Revision History"/>
      <sheetName val="Backing sheet"/>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uidance Notes"/>
      <sheetName val="Pre-application checks"/>
      <sheetName val="Programme details"/>
      <sheetName val="ECM 1"/>
      <sheetName val="ECM 2"/>
      <sheetName val="ECM 3"/>
      <sheetName val="ECM 4"/>
      <sheetName val="ECM 5"/>
      <sheetName val="ECM 6"/>
      <sheetName val="ECM 7"/>
      <sheetName val="ECM 8"/>
      <sheetName val="ECM 9"/>
      <sheetName val="ECM 10"/>
      <sheetName val="Technology List &amp; Con. Factors"/>
      <sheetName val="Persistence Factor Model"/>
      <sheetName val="Assessment Form"/>
      <sheetName val="Assessment Form (Pre-tender)"/>
      <sheetName val="Technologies Under Review"/>
      <sheetName val="Revision History"/>
      <sheetName val="Backing sheet"/>
      <sheetName val="Compliancy"/>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Dashboard"/>
      <sheetName val="Terms and Conditions"/>
      <sheetName val="Revision History"/>
      <sheetName val="CO2"/>
    </sheetNames>
    <sheetDataSet>
      <sheetData sheetId="0" refreshError="1"/>
      <sheetData sheetId="1"/>
      <sheetData sheetId="2" refreshError="1"/>
      <sheetData sheetId="3" refreshError="1"/>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Table"/>
      <sheetName val="CRYSTAL_PERSIST"/>
      <sheetName val="User Notes"/>
      <sheetName val="Project Compliance Tool"/>
      <sheetName val="Project 1 data input"/>
      <sheetName val="Project 2 data input"/>
      <sheetName val="Project 3 data input"/>
      <sheetName val="Project 4 data input"/>
      <sheetName val="Project 5 data input"/>
      <sheetName val="Extra look-up"/>
      <sheetName val="Additionality Criteria"/>
      <sheetName val="Assessment Criteria"/>
      <sheetName val="QA"/>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25C6DE7-78E1-40FE-AB04-71F1A8FBFD48}" name="Table145242" displayName="Table145242" ref="C69:AB93" totalsRowShown="0" headerRowDxfId="142" dataDxfId="140" headerRowBorderDxfId="141" tableBorderDxfId="139" totalsRowBorderDxfId="138">
  <autoFilter ref="C69:AB93" xr:uid="{F389C94A-51B3-484B-8EF5-7DD131962147}"/>
  <tableColumns count="26">
    <tableColumn id="1" xr3:uid="{91F43F19-070C-44D7-AECF-5C15A3B8FD84}" name="Dechrau'r Flwyddyn" dataDxfId="137"/>
    <tableColumn id="2" xr3:uid="{D6C4FC04-4235-4609-8767-DD13A45DE158}" name="Diwedd y Flwyddyn" dataDxfId="136"/>
    <tableColumn id="3" xr3:uid="{40B8725F-12A8-43ED-BC90-3F75C9B9FC87}" name="Rhif Talu Ad-daliad Cyfalaf" dataDxfId="135"/>
    <tableColumn id="19" xr3:uid="{48E5BBC1-4107-4FA0-974A-430CC29F823E}" name="Rhif Ad-dalu Llog" dataDxfId="134"/>
    <tableColumn id="4" xr3:uid="{910F0E81-8AAC-490D-B48A-4A8156A2CEDE}" name="Blwyddyn Ariannol y Taliad" dataDxfId="133"/>
    <tableColumn id="16" xr3:uid="{B91FFA86-A11C-477A-B4F6-C709E1DE9319}" name="Cuddio Colofn, BT Gyntaf" dataDxfId="132">
      <calculatedColumnFormula>LEFT(Table145242[[#This Row],[Blwyddyn Ariannol y Taliad]],4)</calculatedColumnFormula>
    </tableColumn>
    <tableColumn id="20" xr3:uid="{91186221-ED07-478B-8FDE-54E293BB1255}" name="Cuddio Colofn" dataDxfId="131">
      <calculatedColumnFormula>TRIM(Table145242[[#This Row],[Cuddio Colofn, BT Gyntaf]])</calculatedColumnFormula>
    </tableColumn>
    <tableColumn id="17" xr3:uid="{9028ECBA-0D1F-483D-8EB7-3BBD7981952C}" name="Cuddio Colofn Blwyddyn Ariannol" dataDxfId="130">
      <calculatedColumnFormula>#REF!</calculatedColumnFormula>
    </tableColumn>
    <tableColumn id="5" xr3:uid="{2280F1E7-9E0C-4E7D-BC94-F9F2D20A4CC1}" name="Cuddio - Taliad Benthyciad Cychwynnol" dataDxfId="129"/>
    <tableColumn id="6" xr3:uid="{6554CE89-A6A4-4D5C-9679-3EBF54C28D7C}" name="Balans Cyfalaf Cychwynnol" dataDxfId="128"/>
    <tableColumn id="7" xr3:uid="{A8F4241B-ED55-4D0C-926F-37A5E078F785}" name="Isafswm gwerth ad-dalu gofynnol (y flwyddyn)" dataDxfId="127"/>
    <tableColumn id="22" xr3:uid="{64975D51-CFA8-4D20-AB58-3B98C12F5C93}" name="Taliad Llog" dataDxfId="126">
      <calculatedColumnFormula>IF(Table145242[[#This Row],[Rhif Ad-dalu Llog]]="1",#REF!,"N/A")</calculatedColumnFormula>
    </tableColumn>
    <tableColumn id="9" xr3:uid="{A463158D-4DEA-4D34-9F1D-9C27B958D7C2}" name="Ad-daliad Cyfalaf" dataDxfId="125">
      <calculatedColumnFormula>IF(AB71="Ad-daliadau cyfalaf wedi gorffen",Table145242[[#This Row],[Balans Cyfalaf Cychwynnol]],IF(Table145242[[#This Row],[Cuddio Colofn]]&gt;=AO26,IFERROR((Table145242[[#This Row],[Isafswm gwerth ad-dalu gofynnol (y flwyddyn)]]-Table145242[[#This Row],[Taliad Llog]]),0),0))</calculatedColumnFormula>
    </tableColumn>
    <tableColumn id="25" xr3:uid="{006DB695-6D28-4BF9-A5CC-E066CBA94F17}" name="Hide - " dataDxfId="124">
      <calculatedColumnFormula>TRIM(Table145242[[#This Row],[Ad-daliad Cyfalaf]])</calculatedColumnFormula>
    </tableColumn>
    <tableColumn id="10" xr3:uid="{43624142-8AD4-4D79-B54A-F7D7C2B7F0DF}" name="Ad-daliad Cyfalaf Cynnar" dataDxfId="123"/>
    <tableColumn id="11" xr3:uid="{F7E716D9-AF17-41AF-A30A-9E4F851D3792}" name="Cyfanswm Ad-daliad (heb gynnwys taliadau llog)" dataDxfId="122">
      <calculatedColumnFormula>SUM(Table145242[[#This Row],[Ad-daliad Cyfalaf]:[Ad-daliad Cyfalaf Cynnar]])</calculatedColumnFormula>
    </tableColumn>
    <tableColumn id="8" xr3:uid="{4085529A-7AE0-4C9E-BD32-E3F03E2C0E12}" name="Hide - All payments" dataDxfId="121">
      <calculatedColumnFormula>SUM(Table145242[[#This Row],[Taliad Llog]:[Ad-daliad Cyfalaf Cynnar]])</calculatedColumnFormula>
    </tableColumn>
    <tableColumn id="12" xr3:uid="{3E07A880-79FC-4615-9BF8-AA1B16968530}" name="Balans Cyfalaf ar y Diwedd" dataDxfId="120">
      <calculatedColumnFormula>IF(Table145242[[#This Row],[Cyfanswm Ad-daliad (heb gynnwys taliadau llog)]]=0,Table145242[[#This Row],[Balans Cyfalaf Cychwynnol]],L70-R70)</calculatedColumnFormula>
    </tableColumn>
    <tableColumn id="13" xr3:uid="{83248607-B588-48D9-8BEE-433E71B95957}" name="Taliadau Cyfalaf Cronnol" dataDxfId="119">
      <calculatedColumnFormula>SUM($M$70:$M70)</calculatedColumnFormula>
    </tableColumn>
    <tableColumn id="14" xr3:uid="{3C93CE42-4624-4DE7-8D14-B6ABE6C33B64}" name="Taliadau Llog Cronnol" dataDxfId="118">
      <calculatedColumnFormula>IF(#REF!&gt;0,SUM(#REF!),"N/A")</calculatedColumnFormula>
    </tableColumn>
    <tableColumn id="18" xr3:uid="{1405638D-9D3A-4E85-96A7-74695130A68C}" name="Prawf Balans ar y Diwedd - mae'n dangos beth ddylai'r taliad terfynol fod" dataDxfId="117"/>
    <tableColumn id="21" xr3:uid="{6EEBC3F1-F194-4BEB-A009-5C45081C1AD5}" name="Hide" dataDxfId="116">
      <calculatedColumnFormula>IF(Table145242[[#This Row],[Prawf Balans ar y Diwedd - mae''n dangos beth ddylai''r taliad terfynol fod]]&lt;M65,Table145242[[#This Row],[Prawf Balans ar y Diwedd - mae''n dangos beth ddylai''r taliad terfynol fod]],"")</calculatedColumnFormula>
    </tableColumn>
    <tableColumn id="23" xr3:uid="{169A00BE-83D8-4D2C-938C-8B8B323BA49A}" name="Hide 3" dataDxfId="115">
      <calculatedColumnFormula>TRIM(Table145242[[#This Row],[Taliadau Cyfalaf Cronnol]])</calculatedColumnFormula>
    </tableColumn>
    <tableColumn id="26" xr3:uid="{1802A334-404C-4E67-8997-7B4B439AF39A}" name="Os yw'r cyfalaf ar y diwedd yn fenthyciad" dataDxfId="114">
      <calculatedColumnFormula>IF(Table145242[[#This Row],[Balans Cyfalaf ar y Diwedd]]=D49,Table145242[[#This Row],[Balans Cyfalaf ar y Diwedd]],0)</calculatedColumnFormula>
    </tableColumn>
    <tableColumn id="24" xr3:uid="{8F1ACE0A-7F17-40C6-9E1C-C1D0EEAA30D8}" name="Hide 4" dataDxfId="113">
      <calculatedColumnFormula>IFERROR(VALUE(Table145242[[#This Row],[Rhif Talu Ad-daliad Cyfalaf]]), 0)</calculatedColumnFormula>
    </tableColumn>
    <tableColumn id="15" xr3:uid="{8767C452-248A-46DE-BEF4-8E3B3DEAE120}" name="Statws Ad-dalu" dataDxfId="112">
      <calculatedColumnFormula>IF(OR(L69&lt;=$N$18,AB69="Ad-daliadau cyfalaf wedi gorffen"),"Ad-daliadau Cyfalaf wedi Gorffen","Ad-daliadau cyfalaf yn anghyflawn")</calculatedColumnFormula>
    </tableColumn>
  </tableColumns>
  <tableStyleInfo name="TableStyleMedium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2.bin"/><Relationship Id="rId1" Type="http://schemas.openxmlformats.org/officeDocument/2006/relationships/hyperlink" Target="mailto:technical@salixfinance.co.uk"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5.bin"/><Relationship Id="rId4" Type="http://schemas.openxmlformats.org/officeDocument/2006/relationships/table" Target="../tables/table1.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V1"/>
  <sheetViews>
    <sheetView workbookViewId="0"/>
  </sheetViews>
  <sheetFormatPr defaultColWidth="8.81640625" defaultRowHeight="12.5" x14ac:dyDescent="0.25"/>
  <sheetData>
    <row r="1" spans="22:22" x14ac:dyDescent="0.25">
      <c r="V1" s="1" t="s">
        <v>0</v>
      </c>
    </row>
  </sheetData>
  <pageMargins left="0.7" right="0.7" top="0.75" bottom="0.75" header="0.3" footer="0.3"/>
  <customProperties>
    <customPr name="GU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382573"/>
    <pageSetUpPr fitToPage="1"/>
  </sheetPr>
  <dimension ref="B1:AR45"/>
  <sheetViews>
    <sheetView showGridLines="0" showRowColHeaders="0" topLeftCell="B1" zoomScale="115" zoomScaleNormal="115" workbookViewId="0">
      <selection activeCell="B3" sqref="B3:L7"/>
    </sheetView>
  </sheetViews>
  <sheetFormatPr defaultColWidth="9.1796875" defaultRowHeight="16" x14ac:dyDescent="0.5"/>
  <cols>
    <col min="1" max="16384" width="9.1796875" style="3"/>
  </cols>
  <sheetData>
    <row r="1" spans="2:12" ht="16.5" thickBot="1" x14ac:dyDescent="0.55000000000000004"/>
    <row r="2" spans="2:12" ht="54.75" customHeight="1" thickBot="1" x14ac:dyDescent="0.55000000000000004">
      <c r="B2" s="253" t="s">
        <v>625</v>
      </c>
      <c r="C2" s="254"/>
      <c r="D2" s="254"/>
      <c r="E2" s="254"/>
      <c r="F2" s="254"/>
      <c r="G2" s="254"/>
      <c r="H2" s="254"/>
      <c r="I2" s="254"/>
      <c r="J2" s="254"/>
      <c r="K2" s="254"/>
      <c r="L2" s="255"/>
    </row>
    <row r="3" spans="2:12" ht="12.75" customHeight="1" x14ac:dyDescent="0.5">
      <c r="B3" s="1030" t="s">
        <v>626</v>
      </c>
      <c r="C3" s="1031"/>
      <c r="D3" s="1031"/>
      <c r="E3" s="1031"/>
      <c r="F3" s="1031"/>
      <c r="G3" s="1031"/>
      <c r="H3" s="1031"/>
      <c r="I3" s="1031"/>
      <c r="J3" s="1031"/>
      <c r="K3" s="1031"/>
      <c r="L3" s="1032"/>
    </row>
    <row r="4" spans="2:12" x14ac:dyDescent="0.5">
      <c r="B4" s="1030"/>
      <c r="C4" s="1031"/>
      <c r="D4" s="1031"/>
      <c r="E4" s="1031"/>
      <c r="F4" s="1031"/>
      <c r="G4" s="1031"/>
      <c r="H4" s="1031"/>
      <c r="I4" s="1031"/>
      <c r="J4" s="1031"/>
      <c r="K4" s="1031"/>
      <c r="L4" s="1032"/>
    </row>
    <row r="5" spans="2:12" x14ac:dyDescent="0.5">
      <c r="B5" s="1030"/>
      <c r="C5" s="1031"/>
      <c r="D5" s="1031"/>
      <c r="E5" s="1031"/>
      <c r="F5" s="1031"/>
      <c r="G5" s="1031"/>
      <c r="H5" s="1031"/>
      <c r="I5" s="1031"/>
      <c r="J5" s="1031"/>
      <c r="K5" s="1031"/>
      <c r="L5" s="1032"/>
    </row>
    <row r="6" spans="2:12" ht="30.75" customHeight="1" x14ac:dyDescent="0.5">
      <c r="B6" s="1030"/>
      <c r="C6" s="1031"/>
      <c r="D6" s="1031"/>
      <c r="E6" s="1031"/>
      <c r="F6" s="1031"/>
      <c r="G6" s="1031"/>
      <c r="H6" s="1031"/>
      <c r="I6" s="1031"/>
      <c r="J6" s="1031"/>
      <c r="K6" s="1031"/>
      <c r="L6" s="1032"/>
    </row>
    <row r="7" spans="2:12" ht="133.5" customHeight="1" thickBot="1" x14ac:dyDescent="0.55000000000000004">
      <c r="B7" s="1033"/>
      <c r="C7" s="1034"/>
      <c r="D7" s="1034"/>
      <c r="E7" s="1034"/>
      <c r="F7" s="1034"/>
      <c r="G7" s="1034"/>
      <c r="H7" s="1034"/>
      <c r="I7" s="1034"/>
      <c r="J7" s="1034"/>
      <c r="K7" s="1034"/>
      <c r="L7" s="1035"/>
    </row>
    <row r="8" spans="2:12" s="4" customFormat="1" ht="13.5" customHeight="1" thickBot="1" x14ac:dyDescent="0.3">
      <c r="B8" s="1036"/>
      <c r="C8" s="1037"/>
      <c r="D8" s="1037"/>
      <c r="E8" s="1037"/>
      <c r="F8" s="1037"/>
      <c r="G8" s="1037"/>
      <c r="H8" s="1037"/>
      <c r="I8" s="1037"/>
      <c r="J8" s="1037"/>
      <c r="K8" s="1037"/>
      <c r="L8" s="1038"/>
    </row>
    <row r="9" spans="2:12" x14ac:dyDescent="0.5">
      <c r="B9" s="199"/>
    </row>
    <row r="10" spans="2:12" s="4" customFormat="1" ht="13.5" customHeight="1" x14ac:dyDescent="0.25"/>
    <row r="11" spans="2:12" s="4" customFormat="1" ht="19.5" customHeight="1" x14ac:dyDescent="0.25">
      <c r="B11" s="195"/>
    </row>
    <row r="42" spans="18:44" x14ac:dyDescent="0.5">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4" spans="18:44" x14ac:dyDescent="0.5">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8:44" x14ac:dyDescent="0.5">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sheetData>
  <sheetProtection algorithmName="SHA-512" hashValue="7M+wdfwsR+ULOVLg/HC/tle3N0gbsymUiPvhts9AyO5BoGDOpEbAVDcT1z0hQ5NChbHJigpavDlU+cs5JOzvFQ==" saltValue="dPe/fts38gN9d5rnTkvsdw==" spinCount="100000" sheet="1" selectLockedCells="1" selectUnlockedCells="1"/>
  <mergeCells count="2">
    <mergeCell ref="B3:L7"/>
    <mergeCell ref="B8:L8"/>
  </mergeCells>
  <pageMargins left="0.70866141732283472" right="0.70866141732283472" top="0.74803149606299213" bottom="0.74803149606299213" header="0.31496062992125984" footer="0.31496062992125984"/>
  <pageSetup paperSize="9" scale="75" orientation="portrait" r:id="rId1"/>
  <customProperties>
    <customPr name="GU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382573"/>
    <pageSetUpPr fitToPage="1"/>
  </sheetPr>
  <dimension ref="B1:AR45"/>
  <sheetViews>
    <sheetView showGridLines="0" showRowColHeaders="0" zoomScale="115" zoomScaleNormal="115" workbookViewId="0">
      <selection activeCell="D4" sqref="D4:L4"/>
    </sheetView>
  </sheetViews>
  <sheetFormatPr defaultColWidth="9.1796875" defaultRowHeight="16" x14ac:dyDescent="0.5"/>
  <cols>
    <col min="1" max="1" width="3.81640625" style="3" customWidth="1"/>
    <col min="2" max="16384" width="9.1796875" style="3"/>
  </cols>
  <sheetData>
    <row r="1" spans="2:12" ht="16.5" thickBot="1" x14ac:dyDescent="0.55000000000000004"/>
    <row r="2" spans="2:12" ht="54.75" customHeight="1" thickBot="1" x14ac:dyDescent="0.55000000000000004">
      <c r="B2" s="256" t="s">
        <v>627</v>
      </c>
      <c r="C2" s="251"/>
      <c r="D2" s="251"/>
      <c r="E2" s="251"/>
      <c r="F2" s="251"/>
      <c r="G2" s="251"/>
      <c r="H2" s="251"/>
      <c r="I2" s="251"/>
      <c r="J2" s="251"/>
      <c r="K2" s="251"/>
      <c r="L2" s="252"/>
    </row>
    <row r="3" spans="2:12" ht="71.25" customHeight="1" x14ac:dyDescent="0.5">
      <c r="B3" s="1039" t="s">
        <v>628</v>
      </c>
      <c r="C3" s="1040"/>
      <c r="D3" s="1031" t="s">
        <v>629</v>
      </c>
      <c r="E3" s="1031"/>
      <c r="F3" s="1031"/>
      <c r="G3" s="1031"/>
      <c r="H3" s="1031"/>
      <c r="I3" s="1031"/>
      <c r="J3" s="1031"/>
      <c r="K3" s="1031"/>
      <c r="L3" s="1032"/>
    </row>
    <row r="4" spans="2:12" ht="71.25" customHeight="1" x14ac:dyDescent="0.5">
      <c r="B4" s="1041" t="s">
        <v>630</v>
      </c>
      <c r="C4" s="1042"/>
      <c r="D4" s="1043" t="s">
        <v>631</v>
      </c>
      <c r="E4" s="1043"/>
      <c r="F4" s="1043"/>
      <c r="G4" s="1043"/>
      <c r="H4" s="1043"/>
      <c r="I4" s="1043"/>
      <c r="J4" s="1043"/>
      <c r="K4" s="1043"/>
      <c r="L4" s="1044"/>
    </row>
    <row r="5" spans="2:12" ht="71.25" customHeight="1" x14ac:dyDescent="0.5">
      <c r="B5" s="1041" t="s">
        <v>632</v>
      </c>
      <c r="C5" s="1042"/>
      <c r="D5" s="1043" t="s">
        <v>633</v>
      </c>
      <c r="E5" s="1043"/>
      <c r="F5" s="1043"/>
      <c r="G5" s="1043"/>
      <c r="H5" s="1043"/>
      <c r="I5" s="1043"/>
      <c r="J5" s="1043"/>
      <c r="K5" s="1043"/>
      <c r="L5" s="1044"/>
    </row>
    <row r="6" spans="2:12" ht="71.25" customHeight="1" x14ac:dyDescent="0.5">
      <c r="B6" s="1041" t="s">
        <v>634</v>
      </c>
      <c r="C6" s="1042"/>
      <c r="D6" s="1043" t="s">
        <v>635</v>
      </c>
      <c r="E6" s="1043"/>
      <c r="F6" s="1043"/>
      <c r="G6" s="1043"/>
      <c r="H6" s="1043"/>
      <c r="I6" s="1043"/>
      <c r="J6" s="1043"/>
      <c r="K6" s="1043"/>
      <c r="L6" s="1044"/>
    </row>
    <row r="7" spans="2:12" ht="71.25" customHeight="1" thickBot="1" x14ac:dyDescent="0.55000000000000004">
      <c r="B7" s="1045" t="s">
        <v>636</v>
      </c>
      <c r="C7" s="1046"/>
      <c r="D7" s="1034" t="s">
        <v>637</v>
      </c>
      <c r="E7" s="1034"/>
      <c r="F7" s="1034"/>
      <c r="G7" s="1034"/>
      <c r="H7" s="1034"/>
      <c r="I7" s="1034"/>
      <c r="J7" s="1034"/>
      <c r="K7" s="1034"/>
      <c r="L7" s="1035"/>
    </row>
    <row r="8" spans="2:12" s="4" customFormat="1" ht="13.5" customHeight="1" thickBot="1" x14ac:dyDescent="0.3">
      <c r="B8" s="196"/>
      <c r="C8" s="197"/>
      <c r="D8" s="197"/>
      <c r="E8" s="197"/>
      <c r="F8" s="197"/>
      <c r="G8" s="197"/>
      <c r="H8" s="197"/>
      <c r="I8" s="197"/>
      <c r="J8" s="197"/>
      <c r="K8" s="197"/>
      <c r="L8" s="198"/>
    </row>
    <row r="10" spans="2:12" s="4" customFormat="1" ht="13.5" customHeight="1" x14ac:dyDescent="0.25"/>
    <row r="11" spans="2:12" s="4" customFormat="1" ht="19.5" customHeight="1" x14ac:dyDescent="0.25">
      <c r="B11" s="195"/>
    </row>
    <row r="42" spans="18:44" x14ac:dyDescent="0.5">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4" spans="18:44" x14ac:dyDescent="0.5">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8:44" x14ac:dyDescent="0.5">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sheetData>
  <sheetProtection algorithmName="SHA-512" hashValue="+QXWMMgX7ST3in5EEyGT4NPYyRrhGnU3jx5cQndYPKI18A738rLv/nyfuGWxYDQNq58tjErD4e1qHIRBFflLRw==" saltValue="iYIuBQDcBiW7jQyFSHClcA==" spinCount="100000" sheet="1" selectLockedCells="1" selectUnlockedCells="1"/>
  <mergeCells count="10">
    <mergeCell ref="D3:L3"/>
    <mergeCell ref="B3:C3"/>
    <mergeCell ref="B6:C6"/>
    <mergeCell ref="D6:L6"/>
    <mergeCell ref="B7:C7"/>
    <mergeCell ref="D7:L7"/>
    <mergeCell ref="B5:C5"/>
    <mergeCell ref="D5:L5"/>
    <mergeCell ref="B4:C4"/>
    <mergeCell ref="D4:L4"/>
  </mergeCells>
  <pageMargins left="0.70866141732283472" right="0.70866141732283472" top="0.74803149606299213" bottom="0.74803149606299213" header="0.31496062992125984" footer="0.31496062992125984"/>
  <pageSetup paperSize="9" scale="78" orientation="portrait" r:id="rId1"/>
  <customProperties>
    <customPr name="GU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382573"/>
    <pageSetUpPr fitToPage="1"/>
  </sheetPr>
  <dimension ref="A1:BD363"/>
  <sheetViews>
    <sheetView showGridLines="0" zoomScaleNormal="100" workbookViewId="0">
      <selection activeCell="E9" sqref="E9"/>
    </sheetView>
  </sheetViews>
  <sheetFormatPr defaultColWidth="8.81640625" defaultRowHeight="12.5" x14ac:dyDescent="0.25"/>
  <cols>
    <col min="1" max="1" width="8.81640625" customWidth="1"/>
    <col min="2" max="3" width="12.54296875" customWidth="1"/>
    <col min="4" max="4" width="76.54296875" customWidth="1"/>
    <col min="5" max="5" width="10.453125" customWidth="1"/>
  </cols>
  <sheetData>
    <row r="1" spans="1:56" ht="13" thickBot="1"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56" ht="15" x14ac:dyDescent="0.3">
      <c r="A2" s="2"/>
      <c r="B2" s="169" t="s">
        <v>225</v>
      </c>
      <c r="C2" s="170" t="s">
        <v>638</v>
      </c>
      <c r="D2" s="171" t="s">
        <v>639</v>
      </c>
      <c r="E2" s="172" t="s">
        <v>640</v>
      </c>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row>
    <row r="3" spans="1:56" ht="40.5" x14ac:dyDescent="0.25">
      <c r="A3" s="2"/>
      <c r="B3" s="555" t="s">
        <v>641</v>
      </c>
      <c r="C3" s="556">
        <v>38</v>
      </c>
      <c r="D3" s="554" t="s">
        <v>642</v>
      </c>
      <c r="E3" s="557" t="s">
        <v>643</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row>
    <row r="4" spans="1:56" ht="13.5" x14ac:dyDescent="0.25">
      <c r="A4" s="2"/>
      <c r="B4" s="555" t="s">
        <v>644</v>
      </c>
      <c r="C4" s="556">
        <v>37.200000000000003</v>
      </c>
      <c r="D4" s="554" t="s">
        <v>645</v>
      </c>
      <c r="E4" s="557" t="s">
        <v>643</v>
      </c>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1:56" ht="81" x14ac:dyDescent="0.25">
      <c r="A5" s="2"/>
      <c r="B5" s="173">
        <v>45170</v>
      </c>
      <c r="C5" s="174">
        <v>37</v>
      </c>
      <c r="D5" s="175" t="s">
        <v>646</v>
      </c>
      <c r="E5" s="176" t="s">
        <v>643</v>
      </c>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row>
    <row r="6" spans="1:56" ht="27" x14ac:dyDescent="0.25">
      <c r="A6" s="2"/>
      <c r="B6" s="173">
        <v>44470</v>
      </c>
      <c r="C6" s="174">
        <v>36.1</v>
      </c>
      <c r="D6" s="175" t="s">
        <v>647</v>
      </c>
      <c r="E6" s="176" t="s">
        <v>648</v>
      </c>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spans="1:56" ht="27" x14ac:dyDescent="0.25">
      <c r="A7" s="2"/>
      <c r="B7" s="173">
        <v>44378</v>
      </c>
      <c r="C7" s="174">
        <v>36</v>
      </c>
      <c r="D7" s="175" t="s">
        <v>649</v>
      </c>
      <c r="E7" s="176" t="s">
        <v>650</v>
      </c>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row>
    <row r="8" spans="1:56" ht="81" x14ac:dyDescent="0.25">
      <c r="A8" s="2"/>
      <c r="B8" s="173">
        <v>44044</v>
      </c>
      <c r="C8" s="174">
        <v>35.1</v>
      </c>
      <c r="D8" s="175" t="s">
        <v>651</v>
      </c>
      <c r="E8" s="176" t="s">
        <v>650</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row>
    <row r="9" spans="1:56" ht="270" x14ac:dyDescent="0.25">
      <c r="A9" s="2"/>
      <c r="B9" s="173">
        <v>44013</v>
      </c>
      <c r="C9" s="174">
        <v>35</v>
      </c>
      <c r="D9" s="175" t="s">
        <v>652</v>
      </c>
      <c r="E9" s="176" t="s">
        <v>650</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row>
    <row r="10" spans="1:56" ht="13.5" hidden="1" x14ac:dyDescent="0.25">
      <c r="A10" s="2"/>
      <c r="B10" s="173">
        <v>43952</v>
      </c>
      <c r="C10" s="174">
        <v>34.1</v>
      </c>
      <c r="D10" s="175" t="s">
        <v>653</v>
      </c>
      <c r="E10" s="176" t="s">
        <v>654</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row>
    <row r="11" spans="1:56" ht="67.5" hidden="1" x14ac:dyDescent="0.25">
      <c r="A11" s="2"/>
      <c r="B11" s="173">
        <v>43556</v>
      </c>
      <c r="C11" s="174">
        <v>34</v>
      </c>
      <c r="D11" s="175" t="s">
        <v>655</v>
      </c>
      <c r="E11" s="176" t="s">
        <v>656</v>
      </c>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row>
    <row r="12" spans="1:56" ht="13.5" hidden="1" x14ac:dyDescent="0.25">
      <c r="A12" s="2"/>
      <c r="B12" s="173">
        <v>43479</v>
      </c>
      <c r="C12" s="174">
        <v>33.1</v>
      </c>
      <c r="D12" s="175" t="s">
        <v>657</v>
      </c>
      <c r="E12" s="176" t="s">
        <v>658</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row>
    <row r="13" spans="1:56" ht="162" hidden="1" x14ac:dyDescent="0.25">
      <c r="A13" s="2"/>
      <c r="B13" s="173">
        <v>43221</v>
      </c>
      <c r="C13" s="174">
        <v>33</v>
      </c>
      <c r="D13" s="175" t="s">
        <v>659</v>
      </c>
      <c r="E13" s="176" t="s">
        <v>660</v>
      </c>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row>
    <row r="14" spans="1:56" ht="40.5" hidden="1" x14ac:dyDescent="0.25">
      <c r="A14" s="2"/>
      <c r="B14" s="173">
        <v>43009</v>
      </c>
      <c r="C14" s="174">
        <v>32.1</v>
      </c>
      <c r="D14" s="175" t="s">
        <v>661</v>
      </c>
      <c r="E14" s="176" t="s">
        <v>662</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row>
    <row r="15" spans="1:56" ht="40.5" hidden="1" x14ac:dyDescent="0.25">
      <c r="A15" s="2"/>
      <c r="B15" s="173">
        <v>42948</v>
      </c>
      <c r="C15" s="174">
        <v>32</v>
      </c>
      <c r="D15" s="175" t="s">
        <v>663</v>
      </c>
      <c r="E15" s="176" t="s">
        <v>664</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row>
    <row r="16" spans="1:56" ht="13.5" hidden="1" x14ac:dyDescent="0.25">
      <c r="A16" s="2"/>
      <c r="B16" s="177">
        <v>42826</v>
      </c>
      <c r="C16" s="178">
        <v>31.2</v>
      </c>
      <c r="D16" s="179" t="s">
        <v>665</v>
      </c>
      <c r="E16" s="180" t="s">
        <v>664</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row>
    <row r="17" spans="1:41" ht="40.5" hidden="1" x14ac:dyDescent="0.25">
      <c r="A17" s="2"/>
      <c r="B17" s="177">
        <v>42705</v>
      </c>
      <c r="C17" s="178">
        <v>31.1</v>
      </c>
      <c r="D17" s="179" t="s">
        <v>666</v>
      </c>
      <c r="E17" s="180" t="s">
        <v>664</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row>
    <row r="18" spans="1:41" ht="216" hidden="1" x14ac:dyDescent="0.25">
      <c r="A18" s="2"/>
      <c r="B18" s="177">
        <v>42552</v>
      </c>
      <c r="C18" s="178">
        <v>31</v>
      </c>
      <c r="D18" s="179" t="s">
        <v>667</v>
      </c>
      <c r="E18" s="180" t="s">
        <v>668</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row>
    <row r="19" spans="1:41" ht="67.5" hidden="1" x14ac:dyDescent="0.25">
      <c r="A19" s="2"/>
      <c r="B19" s="177">
        <v>42156</v>
      </c>
      <c r="C19" s="178">
        <v>30</v>
      </c>
      <c r="D19" s="179" t="s">
        <v>669</v>
      </c>
      <c r="E19" s="180" t="s">
        <v>616</v>
      </c>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row>
    <row r="20" spans="1:41" ht="42.5" hidden="1" x14ac:dyDescent="0.3">
      <c r="A20" s="2"/>
      <c r="B20" s="177">
        <v>41791</v>
      </c>
      <c r="C20" s="178">
        <v>29</v>
      </c>
      <c r="D20" s="181" t="s">
        <v>670</v>
      </c>
      <c r="E20" s="180" t="s">
        <v>616</v>
      </c>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row>
    <row r="21" spans="1:41" ht="27" hidden="1" x14ac:dyDescent="0.25">
      <c r="A21" s="2"/>
      <c r="B21" s="182">
        <v>41671</v>
      </c>
      <c r="C21" s="174">
        <v>28.2</v>
      </c>
      <c r="D21" s="175" t="s">
        <v>671</v>
      </c>
      <c r="E21" s="176" t="s">
        <v>672</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row>
    <row r="22" spans="1:41" ht="27" hidden="1" x14ac:dyDescent="0.25">
      <c r="A22" s="2"/>
      <c r="B22" s="182">
        <v>41609</v>
      </c>
      <c r="C22" s="174">
        <v>28.1</v>
      </c>
      <c r="D22" s="175" t="s">
        <v>673</v>
      </c>
      <c r="E22" s="176" t="s">
        <v>672</v>
      </c>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row>
    <row r="23" spans="1:41" ht="56" hidden="1" x14ac:dyDescent="0.25">
      <c r="A23" s="2"/>
      <c r="B23" s="182">
        <v>41456</v>
      </c>
      <c r="C23" s="174">
        <v>28</v>
      </c>
      <c r="D23" s="175" t="s">
        <v>674</v>
      </c>
      <c r="E23" s="176" t="s">
        <v>672</v>
      </c>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row>
    <row r="24" spans="1:41" ht="27" hidden="1" x14ac:dyDescent="0.25">
      <c r="A24" s="2"/>
      <c r="B24" s="182">
        <v>41333</v>
      </c>
      <c r="C24" s="174">
        <v>27.5</v>
      </c>
      <c r="D24" s="175" t="s">
        <v>675</v>
      </c>
      <c r="E24" s="176" t="s">
        <v>672</v>
      </c>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row>
    <row r="25" spans="1:41" ht="27" hidden="1" x14ac:dyDescent="0.25">
      <c r="A25" s="2"/>
      <c r="B25" s="182">
        <v>41275</v>
      </c>
      <c r="C25" s="174">
        <v>27.1</v>
      </c>
      <c r="D25" s="183" t="s">
        <v>676</v>
      </c>
      <c r="E25" s="176" t="s">
        <v>616</v>
      </c>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row>
    <row r="26" spans="1:41" ht="27" hidden="1" x14ac:dyDescent="0.25">
      <c r="A26" s="2"/>
      <c r="B26" s="182">
        <v>41214</v>
      </c>
      <c r="C26" s="174">
        <v>27</v>
      </c>
      <c r="D26" s="183" t="s">
        <v>677</v>
      </c>
      <c r="E26" s="180" t="s">
        <v>672</v>
      </c>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row>
    <row r="27" spans="1:41" ht="67.5" hidden="1" x14ac:dyDescent="0.25">
      <c r="A27" s="2"/>
      <c r="B27" s="182">
        <v>41091</v>
      </c>
      <c r="C27" s="184">
        <v>26.2</v>
      </c>
      <c r="D27" s="185" t="s">
        <v>678</v>
      </c>
      <c r="E27" s="186" t="s">
        <v>679</v>
      </c>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row>
    <row r="28" spans="1:41" ht="13.5" hidden="1" x14ac:dyDescent="0.25">
      <c r="A28" s="2"/>
      <c r="B28" s="187">
        <v>40920</v>
      </c>
      <c r="C28" s="188" t="s">
        <v>680</v>
      </c>
      <c r="D28" s="189" t="s">
        <v>681</v>
      </c>
      <c r="E28" s="190" t="s">
        <v>679</v>
      </c>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row>
    <row r="29" spans="1:41" ht="135.5" hidden="1" thickBot="1" x14ac:dyDescent="0.3">
      <c r="A29" s="2"/>
      <c r="B29" s="191">
        <v>40848</v>
      </c>
      <c r="C29" s="192" t="s">
        <v>682</v>
      </c>
      <c r="D29" s="193" t="s">
        <v>683</v>
      </c>
      <c r="E29" s="194" t="s">
        <v>679</v>
      </c>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row>
    <row r="30" spans="1:4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row>
    <row r="31" spans="1:4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row>
    <row r="32" spans="1:4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row>
    <row r="33" spans="1:4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row>
    <row r="34" spans="1:4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row>
    <row r="35" spans="1:4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row>
    <row r="36" spans="1:4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row>
    <row r="37" spans="1:4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row>
    <row r="38" spans="1:4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row>
    <row r="39" spans="1:4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row>
    <row r="40" spans="1:4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row>
    <row r="41" spans="1:4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row>
    <row r="42" spans="1:4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row>
    <row r="43" spans="1:4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row>
    <row r="44" spans="1:4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row>
    <row r="45" spans="1:4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row>
    <row r="46" spans="1:4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row>
    <row r="47" spans="1:4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row>
    <row r="48" spans="1:4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row>
    <row r="49" spans="1:4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row>
    <row r="50" spans="1:4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row>
    <row r="51" spans="1:4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row>
    <row r="53" spans="1:4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row>
    <row r="54" spans="1:4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4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row>
    <row r="59" spans="1:4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row>
    <row r="60" spans="1:4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row>
    <row r="64" spans="1:4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row>
    <row r="96" spans="1:4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row>
    <row r="97" spans="1:4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1:4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row r="99" spans="1:4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row>
    <row r="100" spans="1:4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spans="1:4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row>
    <row r="102" spans="1:4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4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row>
    <row r="106" spans="1:4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row>
    <row r="108" spans="1:4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row>
    <row r="109" spans="1:4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row>
    <row r="110" spans="1:4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row>
    <row r="111" spans="1:4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1:4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row>
    <row r="113" spans="1:4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row>
    <row r="114" spans="1:4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row>
    <row r="115" spans="1:4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spans="1:4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row>
    <row r="117" spans="1:4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row>
    <row r="118" spans="1:4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row>
    <row r="119" spans="1:4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spans="1:4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spans="1:4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spans="1:4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spans="1:4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spans="1:4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row r="126" spans="1:4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row>
    <row r="127" spans="1:4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row>
    <row r="128" spans="1:4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row>
    <row r="129" spans="1:4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row>
    <row r="130" spans="1:4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spans="1:4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row>
    <row r="132" spans="1:4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row>
    <row r="133" spans="1:4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row>
    <row r="134" spans="1:4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row>
    <row r="135" spans="1:4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row>
    <row r="136" spans="1:4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row>
    <row r="137" spans="1:4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row>
    <row r="138" spans="1:4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row>
    <row r="139" spans="1:4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row>
    <row r="140" spans="1:4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row>
    <row r="141" spans="1:4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row>
    <row r="142" spans="1:4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row>
    <row r="143" spans="1:4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row>
    <row r="144" spans="1:4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row>
    <row r="145" spans="1:4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row>
    <row r="146" spans="1:4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row>
    <row r="147" spans="1:4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row>
    <row r="148" spans="1:4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row>
    <row r="149" spans="1:4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row>
    <row r="150" spans="1:4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row>
    <row r="151" spans="1:4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row>
    <row r="152" spans="1:4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row>
    <row r="153" spans="1:4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row>
    <row r="154" spans="1:4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row>
    <row r="155" spans="1:4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row>
    <row r="156" spans="1:4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row>
    <row r="157" spans="1:4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row>
    <row r="158" spans="1:4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row>
    <row r="159" spans="1:4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row>
    <row r="160" spans="1:4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row>
    <row r="161" spans="1:4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4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row>
    <row r="163" spans="1:4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row>
    <row r="164" spans="1:4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row>
    <row r="165" spans="1:4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row>
    <row r="166" spans="1:4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row>
    <row r="167" spans="1:4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row r="207" spans="1:4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row>
    <row r="208" spans="1:4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row>
    <row r="209" spans="1:4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row>
    <row r="210" spans="1:4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row>
    <row r="211" spans="1:4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row>
    <row r="212" spans="1:4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row>
    <row r="213" spans="1:4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row>
    <row r="214" spans="1:4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row>
    <row r="215" spans="1:4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row>
    <row r="216" spans="1:4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row>
    <row r="217" spans="1:4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row>
    <row r="218" spans="1:4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row>
    <row r="219" spans="1:4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row>
    <row r="220" spans="1:4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row>
    <row r="221" spans="1:4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row>
    <row r="222" spans="1:4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row>
    <row r="223" spans="1:4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row>
    <row r="224" spans="1:4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row>
    <row r="225" spans="1:4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row>
    <row r="226" spans="1:4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row>
    <row r="227" spans="1:4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row>
    <row r="228" spans="1:4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row>
    <row r="229" spans="1:4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row>
    <row r="230" spans="1:4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row>
    <row r="231" spans="1:4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row>
    <row r="232" spans="1:4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row>
    <row r="233" spans="1:4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row>
    <row r="234" spans="1:4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row>
    <row r="235" spans="1:4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row>
    <row r="236" spans="1:4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row>
    <row r="237" spans="1:4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row>
    <row r="238" spans="1:4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row>
    <row r="239" spans="1:4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row>
    <row r="240" spans="1:4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row>
    <row r="241" spans="1:4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row>
    <row r="242" spans="1:4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row>
    <row r="243" spans="1:4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row>
    <row r="244" spans="1:4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row>
    <row r="245" spans="1:4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row>
    <row r="246" spans="1:4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row>
    <row r="247" spans="1:4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row>
    <row r="248" spans="1:4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row>
    <row r="249" spans="1:4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row>
    <row r="250" spans="1:4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row>
    <row r="251" spans="1:4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row>
    <row r="252" spans="1:4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row>
    <row r="253" spans="1:4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row>
    <row r="254" spans="1:4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row>
    <row r="255" spans="1:4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row>
    <row r="256" spans="1:4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row>
    <row r="257" spans="1:4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row>
    <row r="258" spans="1:4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row>
    <row r="259" spans="1:4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row>
    <row r="260" spans="1:4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row>
    <row r="261" spans="1:4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row>
    <row r="262" spans="1:4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row>
    <row r="263" spans="1:4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row>
    <row r="264" spans="1:4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row>
    <row r="265" spans="1:4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row>
    <row r="266" spans="1:4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row>
    <row r="267" spans="1:4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row>
    <row r="268" spans="1:4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row>
    <row r="269" spans="1:4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row>
    <row r="270" spans="1:4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row>
    <row r="271" spans="1:4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row>
    <row r="272" spans="1:4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row>
    <row r="273" spans="1:4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row>
    <row r="274" spans="1:4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row>
    <row r="275" spans="1:4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row>
    <row r="276" spans="1:4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row>
    <row r="277" spans="1:4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row>
    <row r="278" spans="1:4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row>
    <row r="279" spans="1:4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row>
    <row r="280" spans="1:4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row>
    <row r="281" spans="1:4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row>
    <row r="282" spans="1:4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row>
    <row r="283" spans="1:4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row>
    <row r="284" spans="1:4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row>
    <row r="285" spans="1:4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row>
    <row r="286" spans="1:4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row>
    <row r="287" spans="1:4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row>
    <row r="288" spans="1:4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row>
    <row r="289" spans="1:4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row>
    <row r="290" spans="1:4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row>
    <row r="291" spans="1:4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row>
    <row r="292" spans="1:4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row>
    <row r="293" spans="1:4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row>
    <row r="294" spans="1:4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row>
    <row r="295" spans="1:4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row>
    <row r="296" spans="1:4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row>
    <row r="297" spans="1:4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row>
    <row r="298" spans="1:4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row>
    <row r="299" spans="1:4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row>
    <row r="300" spans="1:4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row>
    <row r="301" spans="1:4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row>
    <row r="302" spans="1:4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row>
    <row r="303" spans="1:4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row>
    <row r="304" spans="1:4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row>
    <row r="305" spans="1:4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row>
    <row r="306" spans="1:4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row>
    <row r="307" spans="1:4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row>
    <row r="308" spans="1:4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row>
    <row r="309" spans="1:4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row>
    <row r="310" spans="1:4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row>
    <row r="311" spans="1:4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row>
    <row r="312" spans="1:4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row>
    <row r="313" spans="1:4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row>
    <row r="314" spans="1:4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row>
    <row r="315" spans="1:4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row>
    <row r="316" spans="1:4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row>
    <row r="317" spans="1:4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row>
    <row r="318" spans="1:4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row>
    <row r="319" spans="1:4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row>
    <row r="320" spans="1:4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row>
    <row r="321" spans="1:4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row>
    <row r="322" spans="1:4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row>
    <row r="323" spans="1:4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row>
    <row r="324" spans="1:4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row>
    <row r="325" spans="1:4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row>
    <row r="326" spans="1:4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row>
    <row r="327" spans="1:4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row>
    <row r="328" spans="1:4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row>
    <row r="329" spans="1:4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row>
    <row r="330" spans="1:4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row>
    <row r="331" spans="1:4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row>
    <row r="332" spans="1:4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row>
    <row r="333" spans="1:4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row>
    <row r="334" spans="1:4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row>
    <row r="335" spans="1:4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row>
    <row r="336" spans="1:4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row>
    <row r="337" spans="1:4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row>
    <row r="338" spans="1:4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row>
    <row r="339" spans="1:4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row>
    <row r="340" spans="1:4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row>
    <row r="341" spans="1:4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row>
    <row r="342" spans="1:4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row>
    <row r="343" spans="1:4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row>
    <row r="344" spans="1:4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row>
    <row r="345" spans="1:4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row>
    <row r="346" spans="1:4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row>
    <row r="347" spans="1:4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row>
    <row r="348" spans="1:4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row>
    <row r="349" spans="1:4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row>
    <row r="350" spans="1:4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row>
    <row r="351" spans="1:41" x14ac:dyDescent="0.25">
      <c r="B351" s="2"/>
      <c r="C351" s="2"/>
      <c r="D351" s="2"/>
      <c r="E351" s="2"/>
    </row>
    <row r="352" spans="1:41" x14ac:dyDescent="0.25">
      <c r="B352" s="2"/>
      <c r="C352" s="2"/>
      <c r="D352" s="2"/>
      <c r="E352" s="2"/>
    </row>
    <row r="353" spans="2:5" x14ac:dyDescent="0.25">
      <c r="B353" s="2"/>
      <c r="C353" s="2"/>
      <c r="D353" s="2"/>
      <c r="E353" s="2"/>
    </row>
    <row r="354" spans="2:5" x14ac:dyDescent="0.25">
      <c r="B354" s="2"/>
      <c r="C354" s="2"/>
      <c r="D354" s="2"/>
      <c r="E354" s="2"/>
    </row>
    <row r="355" spans="2:5" x14ac:dyDescent="0.25">
      <c r="B355" s="2"/>
      <c r="C355" s="2"/>
      <c r="D355" s="2"/>
      <c r="E355" s="2"/>
    </row>
    <row r="356" spans="2:5" x14ac:dyDescent="0.25">
      <c r="B356" s="2"/>
      <c r="C356" s="2"/>
      <c r="D356" s="2"/>
      <c r="E356" s="2"/>
    </row>
    <row r="357" spans="2:5" x14ac:dyDescent="0.25">
      <c r="B357" s="2"/>
      <c r="C357" s="2"/>
      <c r="D357" s="2"/>
      <c r="E357" s="2"/>
    </row>
    <row r="358" spans="2:5" x14ac:dyDescent="0.25">
      <c r="B358" s="2"/>
      <c r="C358" s="2"/>
      <c r="D358" s="2"/>
      <c r="E358" s="2"/>
    </row>
    <row r="359" spans="2:5" x14ac:dyDescent="0.25">
      <c r="B359" s="2"/>
      <c r="C359" s="2"/>
      <c r="D359" s="2"/>
      <c r="E359" s="2"/>
    </row>
    <row r="360" spans="2:5" x14ac:dyDescent="0.25">
      <c r="B360" s="2"/>
      <c r="C360" s="2"/>
      <c r="D360" s="2"/>
      <c r="E360" s="2"/>
    </row>
    <row r="361" spans="2:5" x14ac:dyDescent="0.25">
      <c r="B361" s="2"/>
      <c r="C361" s="2"/>
      <c r="D361" s="2"/>
      <c r="E361" s="2"/>
    </row>
    <row r="362" spans="2:5" x14ac:dyDescent="0.25">
      <c r="B362" s="2"/>
      <c r="C362" s="2"/>
      <c r="D362" s="2"/>
      <c r="E362" s="2"/>
    </row>
    <row r="363" spans="2:5" x14ac:dyDescent="0.25">
      <c r="B363" s="2"/>
      <c r="C363" s="2"/>
      <c r="D363" s="2"/>
      <c r="E363" s="2"/>
    </row>
  </sheetData>
  <pageMargins left="0.70866141732283472" right="0.70866141732283472" top="0.74803149606299213" bottom="0.74803149606299213" header="0.31496062992125984" footer="0.31496062992125984"/>
  <pageSetup paperSize="9" scale="53" orientation="portrait" r:id="rId1"/>
  <customProperties>
    <customPr name="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ACEACF"/>
  </sheetPr>
  <dimension ref="A1:AB23"/>
  <sheetViews>
    <sheetView showGridLines="0" topLeftCell="A6" zoomScale="105" zoomScaleNormal="130" workbookViewId="0">
      <selection activeCell="I13" sqref="I13"/>
    </sheetView>
  </sheetViews>
  <sheetFormatPr defaultColWidth="9.1796875" defaultRowHeight="13" x14ac:dyDescent="0.25"/>
  <cols>
    <col min="1" max="1" width="16.54296875" style="36" customWidth="1"/>
    <col min="2" max="9" width="5.54296875" style="36" customWidth="1"/>
    <col min="10" max="10" width="9.54296875" style="36" bestFit="1" customWidth="1"/>
    <col min="11" max="11" width="8.54296875" style="36" customWidth="1"/>
    <col min="12" max="15" width="5.453125" style="36" customWidth="1"/>
    <col min="16" max="16" width="8" style="36" customWidth="1"/>
    <col min="17" max="22" width="5.453125" style="36" customWidth="1"/>
    <col min="23" max="23" width="5" style="36" customWidth="1"/>
    <col min="24" max="34" width="5.453125" style="36" customWidth="1"/>
    <col min="35" max="35" width="5" style="36" customWidth="1"/>
    <col min="36" max="46" width="5.453125" style="36" customWidth="1"/>
    <col min="47" max="16384" width="9.1796875" style="36"/>
  </cols>
  <sheetData>
    <row r="1" spans="1:28" x14ac:dyDescent="0.25">
      <c r="A1" s="35" t="s">
        <v>684</v>
      </c>
    </row>
    <row r="2" spans="1:28" x14ac:dyDescent="0.25">
      <c r="A2" s="37"/>
      <c r="F2" s="38"/>
      <c r="H2" s="39"/>
      <c r="I2" s="40"/>
      <c r="T2" s="41"/>
      <c r="V2" s="42"/>
      <c r="Y2" s="42"/>
      <c r="Z2" s="42"/>
    </row>
    <row r="4" spans="1:28" x14ac:dyDescent="0.25">
      <c r="A4" s="43" t="s">
        <v>685</v>
      </c>
    </row>
    <row r="6" spans="1:28" ht="48" customHeight="1" x14ac:dyDescent="0.25">
      <c r="A6" s="44" t="s">
        <v>686</v>
      </c>
      <c r="B6" s="44" t="s">
        <v>687</v>
      </c>
      <c r="C6" s="44" t="s">
        <v>688</v>
      </c>
      <c r="D6" s="44" t="s">
        <v>689</v>
      </c>
      <c r="E6" s="44" t="s">
        <v>690</v>
      </c>
      <c r="F6" s="44" t="s">
        <v>691</v>
      </c>
      <c r="G6" s="44" t="s">
        <v>692</v>
      </c>
      <c r="H6" s="44" t="s">
        <v>693</v>
      </c>
      <c r="I6" s="44" t="s">
        <v>694</v>
      </c>
      <c r="J6" s="44" t="s">
        <v>695</v>
      </c>
      <c r="K6" s="44" t="s">
        <v>696</v>
      </c>
      <c r="L6" s="44" t="s">
        <v>697</v>
      </c>
      <c r="M6" s="44" t="s">
        <v>698</v>
      </c>
      <c r="N6" s="44" t="s">
        <v>477</v>
      </c>
      <c r="O6" s="44" t="s">
        <v>699</v>
      </c>
      <c r="P6" s="44" t="s">
        <v>700</v>
      </c>
      <c r="Q6" s="44" t="s">
        <v>701</v>
      </c>
      <c r="R6" s="44" t="s">
        <v>702</v>
      </c>
      <c r="S6" s="44" t="s">
        <v>703</v>
      </c>
      <c r="T6" s="44" t="s">
        <v>704</v>
      </c>
      <c r="U6" s="44" t="s">
        <v>705</v>
      </c>
      <c r="V6" s="44" t="s">
        <v>706</v>
      </c>
      <c r="W6" s="44" t="s">
        <v>707</v>
      </c>
      <c r="X6" s="44" t="s">
        <v>58</v>
      </c>
      <c r="Y6" s="44" t="s">
        <v>708</v>
      </c>
      <c r="Z6" s="44" t="s">
        <v>709</v>
      </c>
      <c r="AA6" s="44" t="s">
        <v>710</v>
      </c>
      <c r="AB6" s="44" t="s">
        <v>532</v>
      </c>
    </row>
    <row r="7" spans="1:28" ht="22.5" customHeight="1" x14ac:dyDescent="0.25">
      <c r="A7" s="37" t="str">
        <f>IF($A$2="","",$A$2)</f>
        <v/>
      </c>
      <c r="B7" s="45">
        <f>'Project Compliance Tool'!C9</f>
        <v>0</v>
      </c>
      <c r="C7" s="45">
        <f>'Project Compliance Tool'!D9</f>
        <v>0</v>
      </c>
      <c r="D7" s="79">
        <f>'Project Compliance Tool'!E9</f>
        <v>0</v>
      </c>
      <c r="E7" s="46">
        <f>'Project Compliance Tool'!F9</f>
        <v>0</v>
      </c>
      <c r="F7" s="46">
        <f>'Project Compliance Tool'!G9</f>
        <v>0</v>
      </c>
      <c r="G7" s="47" t="str">
        <f>'Project Compliance Tool'!O65</f>
        <v/>
      </c>
      <c r="H7" s="47">
        <f>'Project Compliance Tool'!N65</f>
        <v>0</v>
      </c>
      <c r="I7" s="48" t="str">
        <f>IFERROR(H7/G7,"")</f>
        <v/>
      </c>
      <c r="J7" s="49">
        <f>IF(SUM($K$14:$K$22)&gt;0,"MPS",C13)</f>
        <v>0</v>
      </c>
      <c r="K7" s="49">
        <f>IF(SUM($K$14:$K$22)&gt;0,"MPS",D13)</f>
        <v>0</v>
      </c>
      <c r="L7" s="49">
        <f>IF(SUM($K$14:$K$22)&gt;0,"MPS",E13)</f>
        <v>0</v>
      </c>
      <c r="M7" s="49" t="str">
        <f>IF(SUM($K$14:$K$22)&gt;0,"MPS",F13)</f>
        <v/>
      </c>
      <c r="N7" s="49">
        <f>IF(SUM($K$14:$K$22)&gt;0,"Multiple Project Types",G13)</f>
        <v>0</v>
      </c>
      <c r="O7" s="49">
        <f>IF(SUM($K$14:$K$22)&gt;0,"MPS",H13)</f>
        <v>0</v>
      </c>
      <c r="P7" s="49">
        <f>IF(SUM($K$14:$K$22)&gt;0,"MPS",I13)</f>
        <v>0</v>
      </c>
      <c r="Q7" s="49">
        <f>IF(SUM($K$14:$K$22)&gt;0,"MPS",J13)</f>
        <v>0</v>
      </c>
      <c r="R7" s="49" t="str">
        <f>IF(SUM($K$14:$K$22)&gt;0,"MPS",K13)</f>
        <v/>
      </c>
      <c r="S7" s="50" t="e">
        <f>IF(R7="MPS","MPS",R7/P7)</f>
        <v>#VALUE!</v>
      </c>
      <c r="T7" s="47" t="str">
        <f>'Project Compliance Tool'!P65</f>
        <v/>
      </c>
      <c r="U7" s="51" t="str">
        <f>'Project Compliance Tool'!Q65</f>
        <v/>
      </c>
      <c r="V7" s="51" t="str">
        <f>'Project Compliance Tool'!R65</f>
        <v/>
      </c>
      <c r="W7" s="51" t="str">
        <f>'Project Compliance Tool'!S65</f>
        <v/>
      </c>
      <c r="X7" s="49" t="str">
        <f>IF(SUM($M$14:$M$22)&gt;0,"MPS",M13)</f>
        <v/>
      </c>
      <c r="Y7" s="52" t="str">
        <f>'Project Compliance Tool'!T65</f>
        <v/>
      </c>
      <c r="Z7" s="52" t="str">
        <f>'Project Compliance Tool'!U65</f>
        <v/>
      </c>
      <c r="AA7" s="47">
        <f>Q23</f>
        <v>0</v>
      </c>
      <c r="AB7" s="52" t="str">
        <f>'Project Compliance Tool'!V65</f>
        <v>Dewiswch Raglen</v>
      </c>
    </row>
    <row r="10" spans="1:28" x14ac:dyDescent="0.25">
      <c r="A10" s="43" t="s">
        <v>711</v>
      </c>
    </row>
    <row r="12" spans="1:28" ht="78" x14ac:dyDescent="0.25">
      <c r="A12" s="44" t="s">
        <v>686</v>
      </c>
      <c r="B12" s="44" t="s">
        <v>712</v>
      </c>
      <c r="C12" s="44" t="s">
        <v>713</v>
      </c>
      <c r="D12" s="44" t="s">
        <v>714</v>
      </c>
      <c r="E12" s="44" t="s">
        <v>697</v>
      </c>
      <c r="F12" s="44" t="s">
        <v>698</v>
      </c>
      <c r="G12" s="44" t="s">
        <v>477</v>
      </c>
      <c r="H12" s="44" t="s">
        <v>715</v>
      </c>
      <c r="I12" s="44" t="s">
        <v>716</v>
      </c>
      <c r="J12" s="44" t="s">
        <v>717</v>
      </c>
      <c r="K12" s="44" t="s">
        <v>718</v>
      </c>
      <c r="L12" s="44" t="s">
        <v>703</v>
      </c>
      <c r="M12" s="44" t="s">
        <v>58</v>
      </c>
      <c r="N12" s="44" t="s">
        <v>719</v>
      </c>
      <c r="O12" s="44" t="s">
        <v>707</v>
      </c>
      <c r="P12" s="44" t="s">
        <v>720</v>
      </c>
      <c r="Q12" s="44" t="s">
        <v>710</v>
      </c>
      <c r="R12" s="44" t="s">
        <v>721</v>
      </c>
      <c r="T12" s="44" t="s">
        <v>722</v>
      </c>
      <c r="U12" s="44" t="s">
        <v>723</v>
      </c>
    </row>
    <row r="13" spans="1:28" x14ac:dyDescent="0.25">
      <c r="A13" s="37" t="str">
        <f>IF($A$2="","",$A$2)</f>
        <v/>
      </c>
      <c r="B13" s="37" t="e">
        <f>U13&amp;T13&amp;$A$2</f>
        <v>#N/A</v>
      </c>
      <c r="C13" s="37">
        <f>'Project Compliance Tool'!D12</f>
        <v>0</v>
      </c>
      <c r="D13" s="53">
        <f>'Project Compliance Tool'!E12</f>
        <v>0</v>
      </c>
      <c r="E13" s="53">
        <f>'Project Compliance Tool'!F12</f>
        <v>0</v>
      </c>
      <c r="F13" s="53" t="str">
        <f>'Project Compliance Tool'!G12</f>
        <v/>
      </c>
      <c r="G13" s="37">
        <f>'Project Compliance Tool'!H12</f>
        <v>0</v>
      </c>
      <c r="H13" s="37">
        <f>'Project Compliance Tool'!I12</f>
        <v>0</v>
      </c>
      <c r="I13" s="53">
        <f>'Project Compliance Tool'!K12</f>
        <v>0</v>
      </c>
      <c r="J13" s="53">
        <f>'Project Compliance Tool'!L12</f>
        <v>0</v>
      </c>
      <c r="K13" s="53" t="str">
        <f>'Project Compliance Tool'!M12</f>
        <v/>
      </c>
      <c r="L13" s="54">
        <f>'Project Compliance Tool'!N12</f>
        <v>0</v>
      </c>
      <c r="M13" s="53" t="str">
        <f>'Project Compliance Tool'!W12</f>
        <v/>
      </c>
      <c r="N13" s="47" t="str">
        <f>'Project Compliance Tool'!P12</f>
        <v/>
      </c>
      <c r="O13" s="53" t="str">
        <f>'Project Compliance Tool'!S12</f>
        <v/>
      </c>
      <c r="P13" s="53" t="str">
        <f>'Project Compliance Tool'!T12</f>
        <v/>
      </c>
      <c r="Q13" s="47" t="str">
        <f>IFERROR(N13*M13,"")</f>
        <v/>
      </c>
      <c r="R13" s="47">
        <f>'Project Compliance Tool'!O12</f>
        <v>0</v>
      </c>
      <c r="T13" s="37">
        <f>COUNTIF($U$13:U13,U13)</f>
        <v>1</v>
      </c>
      <c r="U13" s="37" t="e">
        <f>VLOOKUP(C13,'Eligible Technologies'!$J$17:$Q$26,7,FALSE)</f>
        <v>#N/A</v>
      </c>
      <c r="V13" s="55">
        <f t="shared" ref="V13:V22" si="0">IF(LEN(TRIM(C13))=0,0,LEN(TRIM(C13))-LEN(SUBSTITUTE(C13," ",""))+1)</f>
        <v>1</v>
      </c>
      <c r="W13" s="55" t="e">
        <f>RIGHT(C13,LEN(C13)-FIND("^^",SUBSTITUTE(C13," ",
"^^",LEN(C13)-LEN(SUBSTITUTE(C13," ","")))))</f>
        <v>#VALUE!</v>
      </c>
    </row>
    <row r="14" spans="1:28" x14ac:dyDescent="0.25">
      <c r="A14" s="37" t="str">
        <f t="shared" ref="A14:A22" si="1">IF($A$2="","",$A$2)</f>
        <v/>
      </c>
      <c r="B14" s="37" t="e">
        <f>U14&amp;T14&amp;$A$2</f>
        <v>#N/A</v>
      </c>
      <c r="C14" s="37">
        <f>'Project Compliance Tool'!D13</f>
        <v>0</v>
      </c>
      <c r="D14" s="53">
        <f>'Project Compliance Tool'!E13</f>
        <v>0</v>
      </c>
      <c r="E14" s="53">
        <f>'Project Compliance Tool'!F13</f>
        <v>0</v>
      </c>
      <c r="F14" s="53" t="str">
        <f>'Project Compliance Tool'!G13</f>
        <v/>
      </c>
      <c r="G14" s="37">
        <f>'Project Compliance Tool'!H13</f>
        <v>0</v>
      </c>
      <c r="H14" s="37">
        <f>'Project Compliance Tool'!I13</f>
        <v>0</v>
      </c>
      <c r="I14" s="53">
        <f>'Project Compliance Tool'!K13</f>
        <v>0</v>
      </c>
      <c r="J14" s="53">
        <f>'Project Compliance Tool'!L13</f>
        <v>0</v>
      </c>
      <c r="K14" s="53" t="str">
        <f>'Project Compliance Tool'!M13</f>
        <v/>
      </c>
      <c r="L14" s="54">
        <f>'Project Compliance Tool'!N13</f>
        <v>0</v>
      </c>
      <c r="M14" s="53" t="str">
        <f>'Project Compliance Tool'!W13</f>
        <v/>
      </c>
      <c r="N14" s="47" t="str">
        <f>'Project Compliance Tool'!P13</f>
        <v/>
      </c>
      <c r="O14" s="53" t="str">
        <f>'Project Compliance Tool'!S13</f>
        <v/>
      </c>
      <c r="P14" s="53" t="str">
        <f>'Project Compliance Tool'!T13</f>
        <v/>
      </c>
      <c r="Q14" s="47" t="str">
        <f t="shared" ref="Q14:Q22" si="2">IFERROR(N14*M14,"")</f>
        <v/>
      </c>
      <c r="R14" s="47">
        <f>'Project Compliance Tool'!O13</f>
        <v>0</v>
      </c>
      <c r="T14" s="37">
        <f>COUNTIF($U$13:U14,U14)</f>
        <v>2</v>
      </c>
      <c r="U14" s="37" t="e">
        <f>VLOOKUP(C14,'Eligible Technologies'!$J$17:$Q$26,7,FALSE)</f>
        <v>#N/A</v>
      </c>
      <c r="V14" s="55">
        <f t="shared" si="0"/>
        <v>1</v>
      </c>
      <c r="W14" s="55" t="e">
        <f>RIGHT(C14,LEN(C14)-FIND("^^",SUBSTITUTE(C14," ",
"^^",LEN(C14)-LEN(SUBSTITUTE(C14," ","")))))</f>
        <v>#VALUE!</v>
      </c>
    </row>
    <row r="15" spans="1:28" x14ac:dyDescent="0.25">
      <c r="A15" s="37" t="str">
        <f t="shared" si="1"/>
        <v/>
      </c>
      <c r="B15" s="37" t="e">
        <f t="shared" ref="B15:B22" si="3">U15&amp;T15&amp;$A$2</f>
        <v>#N/A</v>
      </c>
      <c r="C15" s="37">
        <f>'Project Compliance Tool'!D14</f>
        <v>0</v>
      </c>
      <c r="D15" s="53">
        <f>'Project Compliance Tool'!E14</f>
        <v>0</v>
      </c>
      <c r="E15" s="53">
        <f>'Project Compliance Tool'!F14</f>
        <v>0</v>
      </c>
      <c r="F15" s="53" t="str">
        <f>'Project Compliance Tool'!G14</f>
        <v/>
      </c>
      <c r="G15" s="37">
        <f>'Project Compliance Tool'!H14</f>
        <v>0</v>
      </c>
      <c r="H15" s="37">
        <f>'Project Compliance Tool'!I14</f>
        <v>0</v>
      </c>
      <c r="I15" s="53">
        <f>'Project Compliance Tool'!K14</f>
        <v>0</v>
      </c>
      <c r="J15" s="53">
        <f>'Project Compliance Tool'!L14</f>
        <v>0</v>
      </c>
      <c r="K15" s="53" t="str">
        <f>'Project Compliance Tool'!M14</f>
        <v/>
      </c>
      <c r="L15" s="54">
        <f>'Project Compliance Tool'!N14</f>
        <v>0</v>
      </c>
      <c r="M15" s="53" t="str">
        <f>'Project Compliance Tool'!W14</f>
        <v/>
      </c>
      <c r="N15" s="47" t="str">
        <f>'Project Compliance Tool'!P14</f>
        <v/>
      </c>
      <c r="O15" s="53" t="str">
        <f>'Project Compliance Tool'!S14</f>
        <v/>
      </c>
      <c r="P15" s="53" t="str">
        <f>'Project Compliance Tool'!T14</f>
        <v/>
      </c>
      <c r="Q15" s="47" t="str">
        <f t="shared" si="2"/>
        <v/>
      </c>
      <c r="R15" s="47">
        <f>'Project Compliance Tool'!O14</f>
        <v>0</v>
      </c>
      <c r="T15" s="37">
        <f>COUNTIF($U$13:U15,U15)</f>
        <v>3</v>
      </c>
      <c r="U15" s="37" t="e">
        <f>VLOOKUP(C15,'Eligible Technologies'!$J$17:$Q$26,7,FALSE)</f>
        <v>#N/A</v>
      </c>
      <c r="V15" s="55">
        <f t="shared" si="0"/>
        <v>1</v>
      </c>
      <c r="W15" s="55" t="e">
        <f>RIGHT(C15,LEN(C15)-FIND("^^",SUBSTITUTE(C15," ",
"^^",LEN(C15)-LEN(SUBSTITUTE(C15," ","")))))</f>
        <v>#VALUE!</v>
      </c>
    </row>
    <row r="16" spans="1:28" x14ac:dyDescent="0.25">
      <c r="A16" s="37" t="str">
        <f t="shared" si="1"/>
        <v/>
      </c>
      <c r="B16" s="37" t="e">
        <f t="shared" si="3"/>
        <v>#N/A</v>
      </c>
      <c r="C16" s="37">
        <f>'Project Compliance Tool'!D15</f>
        <v>0</v>
      </c>
      <c r="D16" s="53">
        <f>'Project Compliance Tool'!E15</f>
        <v>0</v>
      </c>
      <c r="E16" s="53">
        <f>'Project Compliance Tool'!F15</f>
        <v>0</v>
      </c>
      <c r="F16" s="53" t="str">
        <f>'Project Compliance Tool'!G15</f>
        <v/>
      </c>
      <c r="G16" s="37">
        <f>'Project Compliance Tool'!H15</f>
        <v>0</v>
      </c>
      <c r="H16" s="37">
        <f>'Project Compliance Tool'!I15</f>
        <v>0</v>
      </c>
      <c r="I16" s="53">
        <f>'Project Compliance Tool'!K15</f>
        <v>0</v>
      </c>
      <c r="J16" s="53">
        <f>'Project Compliance Tool'!L15</f>
        <v>0</v>
      </c>
      <c r="K16" s="53" t="str">
        <f>'Project Compliance Tool'!M15</f>
        <v/>
      </c>
      <c r="L16" s="54">
        <f>'Project Compliance Tool'!N15</f>
        <v>0</v>
      </c>
      <c r="M16" s="53" t="str">
        <f>'Project Compliance Tool'!W15</f>
        <v/>
      </c>
      <c r="N16" s="47" t="str">
        <f>'Project Compliance Tool'!P15</f>
        <v/>
      </c>
      <c r="O16" s="53" t="str">
        <f>'Project Compliance Tool'!S15</f>
        <v/>
      </c>
      <c r="P16" s="53" t="str">
        <f>'Project Compliance Tool'!T15</f>
        <v/>
      </c>
      <c r="Q16" s="47" t="str">
        <f t="shared" si="2"/>
        <v/>
      </c>
      <c r="R16" s="47">
        <f>'Project Compliance Tool'!O15</f>
        <v>0</v>
      </c>
      <c r="T16" s="37">
        <f>COUNTIF($U$13:U16,U16)</f>
        <v>4</v>
      </c>
      <c r="U16" s="37" t="e">
        <f>VLOOKUP(C16,'Eligible Technologies'!$J$17:$Q$26,7,FALSE)</f>
        <v>#N/A</v>
      </c>
      <c r="V16" s="55">
        <f t="shared" si="0"/>
        <v>1</v>
      </c>
      <c r="W16" s="55" t="e">
        <f>RIGHT(C16,LEN(C16)-FIND("^^",SUBSTITUTE(C16," ",
"^^",LEN(C16)-LEN(SUBSTITUTE(C16," ","")))))</f>
        <v>#VALUE!</v>
      </c>
    </row>
    <row r="17" spans="1:23" x14ac:dyDescent="0.25">
      <c r="A17" s="37" t="str">
        <f t="shared" si="1"/>
        <v/>
      </c>
      <c r="B17" s="37" t="e">
        <f t="shared" si="3"/>
        <v>#N/A</v>
      </c>
      <c r="C17" s="37">
        <f>'Project Compliance Tool'!D16</f>
        <v>0</v>
      </c>
      <c r="D17" s="53">
        <f>'Project Compliance Tool'!E16</f>
        <v>0</v>
      </c>
      <c r="E17" s="53">
        <f>'Project Compliance Tool'!F16</f>
        <v>0</v>
      </c>
      <c r="F17" s="53" t="str">
        <f>'Project Compliance Tool'!G16</f>
        <v/>
      </c>
      <c r="G17" s="37">
        <f>'Project Compliance Tool'!H16</f>
        <v>0</v>
      </c>
      <c r="H17" s="37">
        <f>'Project Compliance Tool'!I16</f>
        <v>0</v>
      </c>
      <c r="I17" s="53">
        <f>'Project Compliance Tool'!K16</f>
        <v>0</v>
      </c>
      <c r="J17" s="53">
        <f>'Project Compliance Tool'!L16</f>
        <v>0</v>
      </c>
      <c r="K17" s="53" t="str">
        <f>'Project Compliance Tool'!M16</f>
        <v/>
      </c>
      <c r="L17" s="54">
        <f>'Project Compliance Tool'!N16</f>
        <v>0</v>
      </c>
      <c r="M17" s="53" t="str">
        <f>'Project Compliance Tool'!W16</f>
        <v/>
      </c>
      <c r="N17" s="47" t="str">
        <f>'Project Compliance Tool'!P16</f>
        <v/>
      </c>
      <c r="O17" s="53" t="str">
        <f>'Project Compliance Tool'!S16</f>
        <v/>
      </c>
      <c r="P17" s="53" t="str">
        <f>'Project Compliance Tool'!T16</f>
        <v/>
      </c>
      <c r="Q17" s="47" t="str">
        <f t="shared" si="2"/>
        <v/>
      </c>
      <c r="R17" s="47">
        <f>'Project Compliance Tool'!O16</f>
        <v>0</v>
      </c>
      <c r="T17" s="37">
        <f>COUNTIF($U$13:U17,U17)</f>
        <v>5</v>
      </c>
      <c r="U17" s="37" t="e">
        <f>VLOOKUP(C17,'Eligible Technologies'!$J$17:$Q$26,7,FALSE)</f>
        <v>#N/A</v>
      </c>
      <c r="V17" s="55">
        <f t="shared" si="0"/>
        <v>1</v>
      </c>
      <c r="W17" s="55" t="e">
        <f t="shared" ref="W17:W22" si="4">RIGHT(C17,LEN(C17)-FIND("^^",SUBSTITUTE(C17," ",
"^^",LEN(C17)-LEN(SUBSTITUTE(C17," ","")))))</f>
        <v>#VALUE!</v>
      </c>
    </row>
    <row r="18" spans="1:23" x14ac:dyDescent="0.25">
      <c r="A18" s="37" t="str">
        <f t="shared" si="1"/>
        <v/>
      </c>
      <c r="B18" s="37" t="e">
        <f t="shared" si="3"/>
        <v>#N/A</v>
      </c>
      <c r="C18" s="37">
        <f>'Project Compliance Tool'!D17</f>
        <v>0</v>
      </c>
      <c r="D18" s="53">
        <f>'Project Compliance Tool'!E17</f>
        <v>0</v>
      </c>
      <c r="E18" s="53">
        <f>'Project Compliance Tool'!F17</f>
        <v>0</v>
      </c>
      <c r="F18" s="53" t="str">
        <f>'Project Compliance Tool'!G17</f>
        <v/>
      </c>
      <c r="G18" s="37">
        <f>'Project Compliance Tool'!H17</f>
        <v>0</v>
      </c>
      <c r="H18" s="37">
        <f>'Project Compliance Tool'!I17</f>
        <v>0</v>
      </c>
      <c r="I18" s="53">
        <f>'Project Compliance Tool'!K17</f>
        <v>0</v>
      </c>
      <c r="J18" s="53">
        <f>'Project Compliance Tool'!L17</f>
        <v>0</v>
      </c>
      <c r="K18" s="53" t="str">
        <f>'Project Compliance Tool'!M17</f>
        <v/>
      </c>
      <c r="L18" s="54">
        <f>'Project Compliance Tool'!N17</f>
        <v>0</v>
      </c>
      <c r="M18" s="53" t="str">
        <f>'Project Compliance Tool'!W17</f>
        <v/>
      </c>
      <c r="N18" s="47" t="str">
        <f>'Project Compliance Tool'!P17</f>
        <v/>
      </c>
      <c r="O18" s="53" t="str">
        <f>'Project Compliance Tool'!S17</f>
        <v/>
      </c>
      <c r="P18" s="53" t="str">
        <f>'Project Compliance Tool'!T17</f>
        <v/>
      </c>
      <c r="Q18" s="47" t="str">
        <f t="shared" si="2"/>
        <v/>
      </c>
      <c r="R18" s="47">
        <f>'Project Compliance Tool'!O17</f>
        <v>0</v>
      </c>
      <c r="T18" s="37">
        <f>COUNTIF($U$13:U18,U18)</f>
        <v>6</v>
      </c>
      <c r="U18" s="37" t="e">
        <f>VLOOKUP(C18,'Eligible Technologies'!$J$17:$Q$26,7,FALSE)</f>
        <v>#N/A</v>
      </c>
      <c r="V18" s="55">
        <f t="shared" si="0"/>
        <v>1</v>
      </c>
      <c r="W18" s="55" t="e">
        <f t="shared" si="4"/>
        <v>#VALUE!</v>
      </c>
    </row>
    <row r="19" spans="1:23" x14ac:dyDescent="0.25">
      <c r="A19" s="37" t="str">
        <f t="shared" si="1"/>
        <v/>
      </c>
      <c r="B19" s="37" t="e">
        <f t="shared" si="3"/>
        <v>#N/A</v>
      </c>
      <c r="C19" s="37">
        <f>'Project Compliance Tool'!D18</f>
        <v>0</v>
      </c>
      <c r="D19" s="53">
        <f>'Project Compliance Tool'!E18</f>
        <v>0</v>
      </c>
      <c r="E19" s="53">
        <f>'Project Compliance Tool'!F18</f>
        <v>0</v>
      </c>
      <c r="F19" s="53" t="str">
        <f>'Project Compliance Tool'!G18</f>
        <v/>
      </c>
      <c r="G19" s="37">
        <f>'Project Compliance Tool'!H18</f>
        <v>0</v>
      </c>
      <c r="H19" s="37">
        <f>'Project Compliance Tool'!I18</f>
        <v>0</v>
      </c>
      <c r="I19" s="53">
        <f>'Project Compliance Tool'!K18</f>
        <v>0</v>
      </c>
      <c r="J19" s="53">
        <f>'Project Compliance Tool'!L18</f>
        <v>0</v>
      </c>
      <c r="K19" s="53" t="str">
        <f>'Project Compliance Tool'!M18</f>
        <v/>
      </c>
      <c r="L19" s="54">
        <f>'Project Compliance Tool'!N18</f>
        <v>0</v>
      </c>
      <c r="M19" s="53" t="str">
        <f>'Project Compliance Tool'!W18</f>
        <v/>
      </c>
      <c r="N19" s="47" t="str">
        <f>'Project Compliance Tool'!P18</f>
        <v/>
      </c>
      <c r="O19" s="53" t="str">
        <f>'Project Compliance Tool'!S18</f>
        <v/>
      </c>
      <c r="P19" s="53" t="str">
        <f>'Project Compliance Tool'!T18</f>
        <v/>
      </c>
      <c r="Q19" s="47" t="str">
        <f t="shared" si="2"/>
        <v/>
      </c>
      <c r="R19" s="47">
        <f>'Project Compliance Tool'!O18</f>
        <v>0</v>
      </c>
      <c r="T19" s="37">
        <f>COUNTIF($U$13:U19,U19)</f>
        <v>7</v>
      </c>
      <c r="U19" s="37" t="e">
        <f>VLOOKUP(C19,'Eligible Technologies'!$J$17:$Q$26,7,FALSE)</f>
        <v>#N/A</v>
      </c>
      <c r="V19" s="55">
        <f t="shared" si="0"/>
        <v>1</v>
      </c>
      <c r="W19" s="55" t="e">
        <f t="shared" si="4"/>
        <v>#VALUE!</v>
      </c>
    </row>
    <row r="20" spans="1:23" x14ac:dyDescent="0.25">
      <c r="A20" s="37" t="str">
        <f t="shared" si="1"/>
        <v/>
      </c>
      <c r="B20" s="37" t="e">
        <f t="shared" si="3"/>
        <v>#N/A</v>
      </c>
      <c r="C20" s="37">
        <f>'Project Compliance Tool'!D19</f>
        <v>0</v>
      </c>
      <c r="D20" s="53">
        <f>'Project Compliance Tool'!E19</f>
        <v>0</v>
      </c>
      <c r="E20" s="53">
        <f>'Project Compliance Tool'!F19</f>
        <v>0</v>
      </c>
      <c r="F20" s="53" t="str">
        <f>'Project Compliance Tool'!G19</f>
        <v/>
      </c>
      <c r="G20" s="37">
        <f>'Project Compliance Tool'!H19</f>
        <v>0</v>
      </c>
      <c r="H20" s="37">
        <f>'Project Compliance Tool'!I19</f>
        <v>0</v>
      </c>
      <c r="I20" s="53">
        <f>'Project Compliance Tool'!K19</f>
        <v>0</v>
      </c>
      <c r="J20" s="53">
        <f>'Project Compliance Tool'!L19</f>
        <v>0</v>
      </c>
      <c r="K20" s="53" t="str">
        <f>'Project Compliance Tool'!M19</f>
        <v/>
      </c>
      <c r="L20" s="54">
        <f>'Project Compliance Tool'!N19</f>
        <v>0</v>
      </c>
      <c r="M20" s="53" t="str">
        <f>'Project Compliance Tool'!W19</f>
        <v/>
      </c>
      <c r="N20" s="47" t="str">
        <f>'Project Compliance Tool'!P19</f>
        <v/>
      </c>
      <c r="O20" s="53" t="str">
        <f>'Project Compliance Tool'!S19</f>
        <v/>
      </c>
      <c r="P20" s="53" t="str">
        <f>'Project Compliance Tool'!T19</f>
        <v/>
      </c>
      <c r="Q20" s="47" t="str">
        <f t="shared" si="2"/>
        <v/>
      </c>
      <c r="R20" s="47">
        <f>'Project Compliance Tool'!O19</f>
        <v>0</v>
      </c>
      <c r="T20" s="37">
        <f>COUNTIF($U$13:U20,U20)</f>
        <v>8</v>
      </c>
      <c r="U20" s="37" t="e">
        <f>VLOOKUP(C20,'Eligible Technologies'!$J$17:$Q$26,7,FALSE)</f>
        <v>#N/A</v>
      </c>
      <c r="V20" s="55">
        <f t="shared" si="0"/>
        <v>1</v>
      </c>
      <c r="W20" s="55" t="e">
        <f t="shared" si="4"/>
        <v>#VALUE!</v>
      </c>
    </row>
    <row r="21" spans="1:23" x14ac:dyDescent="0.25">
      <c r="A21" s="37" t="str">
        <f t="shared" si="1"/>
        <v/>
      </c>
      <c r="B21" s="37" t="e">
        <f t="shared" si="3"/>
        <v>#N/A</v>
      </c>
      <c r="C21" s="37">
        <f>'Project Compliance Tool'!D20</f>
        <v>0</v>
      </c>
      <c r="D21" s="53">
        <f>'Project Compliance Tool'!E20</f>
        <v>0</v>
      </c>
      <c r="E21" s="53">
        <f>'Project Compliance Tool'!F20</f>
        <v>0</v>
      </c>
      <c r="F21" s="53" t="str">
        <f>'Project Compliance Tool'!G20</f>
        <v/>
      </c>
      <c r="G21" s="37">
        <f>'Project Compliance Tool'!H20</f>
        <v>0</v>
      </c>
      <c r="H21" s="37">
        <f>'Project Compliance Tool'!I20</f>
        <v>0</v>
      </c>
      <c r="I21" s="53">
        <f>'Project Compliance Tool'!K20</f>
        <v>0</v>
      </c>
      <c r="J21" s="53">
        <f>'Project Compliance Tool'!L20</f>
        <v>0</v>
      </c>
      <c r="K21" s="53" t="str">
        <f>'Project Compliance Tool'!M20</f>
        <v/>
      </c>
      <c r="L21" s="54">
        <f>'Project Compliance Tool'!N20</f>
        <v>0</v>
      </c>
      <c r="M21" s="53" t="str">
        <f>'Project Compliance Tool'!W20</f>
        <v/>
      </c>
      <c r="N21" s="47" t="str">
        <f>'Project Compliance Tool'!P20</f>
        <v/>
      </c>
      <c r="O21" s="53" t="str">
        <f>'Project Compliance Tool'!S20</f>
        <v/>
      </c>
      <c r="P21" s="53" t="str">
        <f>'Project Compliance Tool'!T20</f>
        <v/>
      </c>
      <c r="Q21" s="47" t="str">
        <f t="shared" si="2"/>
        <v/>
      </c>
      <c r="R21" s="47">
        <f>'Project Compliance Tool'!O20</f>
        <v>0</v>
      </c>
      <c r="T21" s="37">
        <f>COUNTIF($U$13:U21,U21)</f>
        <v>9</v>
      </c>
      <c r="U21" s="37" t="e">
        <f>VLOOKUP(C21,'Eligible Technologies'!$J$17:$Q$26,7,FALSE)</f>
        <v>#N/A</v>
      </c>
      <c r="V21" s="55">
        <f t="shared" si="0"/>
        <v>1</v>
      </c>
      <c r="W21" s="55" t="e">
        <f t="shared" si="4"/>
        <v>#VALUE!</v>
      </c>
    </row>
    <row r="22" spans="1:23" x14ac:dyDescent="0.25">
      <c r="A22" s="37" t="str">
        <f t="shared" si="1"/>
        <v/>
      </c>
      <c r="B22" s="37" t="e">
        <f t="shared" si="3"/>
        <v>#N/A</v>
      </c>
      <c r="C22" s="37">
        <f>'Project Compliance Tool'!D61</f>
        <v>0</v>
      </c>
      <c r="D22" s="53">
        <f>'Project Compliance Tool'!E61</f>
        <v>0</v>
      </c>
      <c r="E22" s="53">
        <f>'Project Compliance Tool'!F61</f>
        <v>0</v>
      </c>
      <c r="F22" s="53" t="str">
        <f>'Project Compliance Tool'!G61</f>
        <v/>
      </c>
      <c r="G22" s="37">
        <f>'Project Compliance Tool'!H61</f>
        <v>0</v>
      </c>
      <c r="H22" s="37">
        <f>'Project Compliance Tool'!I61</f>
        <v>0</v>
      </c>
      <c r="I22" s="53">
        <f>'Project Compliance Tool'!K61</f>
        <v>0</v>
      </c>
      <c r="J22" s="53">
        <f>'Project Compliance Tool'!L61</f>
        <v>0</v>
      </c>
      <c r="K22" s="53" t="str">
        <f>'Project Compliance Tool'!M61</f>
        <v/>
      </c>
      <c r="L22" s="54">
        <f>'Project Compliance Tool'!N61</f>
        <v>0</v>
      </c>
      <c r="M22" s="53" t="str">
        <f>'Project Compliance Tool'!W61</f>
        <v/>
      </c>
      <c r="N22" s="47" t="str">
        <f>'Project Compliance Tool'!P61</f>
        <v/>
      </c>
      <c r="O22" s="53" t="str">
        <f>'Project Compliance Tool'!S61</f>
        <v/>
      </c>
      <c r="P22" s="53" t="str">
        <f>'Project Compliance Tool'!T61</f>
        <v/>
      </c>
      <c r="Q22" s="47" t="str">
        <f t="shared" si="2"/>
        <v/>
      </c>
      <c r="R22" s="47">
        <f>'Project Compliance Tool'!O61</f>
        <v>0</v>
      </c>
      <c r="T22" s="37">
        <f>COUNTIF($U$13:U22,U22)</f>
        <v>10</v>
      </c>
      <c r="U22" s="37" t="e">
        <f>VLOOKUP(C22,'Eligible Technologies'!$J$17:$Q$26,7,FALSE)</f>
        <v>#N/A</v>
      </c>
      <c r="V22" s="55">
        <f t="shared" si="0"/>
        <v>1</v>
      </c>
      <c r="W22" s="55" t="e">
        <f t="shared" si="4"/>
        <v>#VALUE!</v>
      </c>
    </row>
    <row r="23" spans="1:23" x14ac:dyDescent="0.25">
      <c r="N23" s="47">
        <f>SUM(N13:N22)</f>
        <v>0</v>
      </c>
      <c r="O23" s="52">
        <f>SUM(O13:O22)</f>
        <v>0</v>
      </c>
      <c r="P23" s="52">
        <f>SUM(P13:P22)</f>
        <v>0</v>
      </c>
      <c r="Q23" s="47">
        <f>SUM(Q13:Q22)</f>
        <v>0</v>
      </c>
      <c r="R23" s="47">
        <f>SUM(R13:R22)</f>
        <v>0</v>
      </c>
    </row>
  </sheetData>
  <sheetProtection algorithmName="SHA-512" hashValue="4rKqlHARhD06BatU2PsWe5IG/5XyWpDZu/AFl7uQMXt7S7lBXVUPxDK55xpP05CaFH99+weT+tfwGi6pWG13VQ==" saltValue="Gpb0DpCDQRrhsKMCsXELIA==" spinCount="100000" sheet="1" formatColumns="0" formatRows="0"/>
  <pageMargins left="0.7" right="0.7" top="0.75" bottom="0.75" header="0.3" footer="0.3"/>
  <pageSetup paperSize="9" orientation="portrait" horizontalDpi="4294967293" r:id="rId1"/>
  <customProperties>
    <customPr name="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EBA6F-7DCE-4F1B-9460-358E553AF87C}">
  <sheetPr codeName="Sheet7">
    <tabColor rgb="FF382573"/>
  </sheetPr>
  <dimension ref="A1:B12"/>
  <sheetViews>
    <sheetView showRowColHeaders="0" tabSelected="1" zoomScale="83" zoomScaleNormal="83" workbookViewId="0">
      <selection activeCell="B9" sqref="B9"/>
    </sheetView>
  </sheetViews>
  <sheetFormatPr defaultColWidth="9.1796875" defaultRowHeight="12.5" x14ac:dyDescent="0.25"/>
  <cols>
    <col min="1" max="1" width="4.1796875" style="27" customWidth="1"/>
    <col min="2" max="2" width="187.54296875" style="27" customWidth="1"/>
    <col min="3" max="16384" width="9.1796875" style="27"/>
  </cols>
  <sheetData>
    <row r="1" spans="1:2" ht="16" thickBot="1" x14ac:dyDescent="0.3">
      <c r="A1" s="31"/>
      <c r="B1" s="32"/>
    </row>
    <row r="2" spans="1:2" ht="15.5" x14ac:dyDescent="0.25">
      <c r="A2" s="31"/>
      <c r="B2" s="80"/>
    </row>
    <row r="3" spans="1:2" ht="34.5" customHeight="1" x14ac:dyDescent="0.25">
      <c r="B3" s="81" t="s">
        <v>1</v>
      </c>
    </row>
    <row r="4" spans="1:2" ht="13.5" customHeight="1" x14ac:dyDescent="0.25">
      <c r="B4" s="82" t="str">
        <f ca="1">"© Salix Finance "&amp;YEAR(NOW())</f>
        <v>© Salix Finance 2024</v>
      </c>
    </row>
    <row r="5" spans="1:2" ht="13.5" customHeight="1" x14ac:dyDescent="0.25">
      <c r="B5" s="82"/>
    </row>
    <row r="6" spans="1:2" ht="21" customHeight="1" x14ac:dyDescent="0.25">
      <c r="B6" s="83" t="s">
        <v>2</v>
      </c>
    </row>
    <row r="7" spans="1:2" ht="58.5" customHeight="1" x14ac:dyDescent="0.25">
      <c r="B7" s="84" t="s">
        <v>724</v>
      </c>
    </row>
    <row r="8" spans="1:2" ht="21.75" customHeight="1" x14ac:dyDescent="0.25">
      <c r="B8" s="83" t="s">
        <v>3</v>
      </c>
    </row>
    <row r="9" spans="1:2" ht="73.5" customHeight="1" x14ac:dyDescent="0.25">
      <c r="B9" s="84" t="s">
        <v>4</v>
      </c>
    </row>
    <row r="10" spans="1:2" ht="23.5" customHeight="1" x14ac:dyDescent="0.25">
      <c r="B10" s="83" t="s">
        <v>5</v>
      </c>
    </row>
    <row r="11" spans="1:2" ht="97" customHeight="1" x14ac:dyDescent="0.25">
      <c r="B11" s="84" t="s">
        <v>6</v>
      </c>
    </row>
    <row r="12" spans="1:2" ht="16" thickBot="1" x14ac:dyDescent="0.3">
      <c r="A12" s="32"/>
      <c r="B12" s="85"/>
    </row>
  </sheetData>
  <sheetProtection algorithmName="SHA-512" hashValue="pX2SlNenAClyYWqeDehvUR7QyNfuOtyuGAkDs4k5MheuY1zFkIi13Mcef6XORXm4RfPn54rVdd1ueUcrVeveOw==" saltValue="33nLe9LBU9d2aZVOri0A4Q==" spinCount="100000" sheet="1" objects="1" scenarios="1"/>
  <pageMargins left="0.7" right="0.7" top="0.75" bottom="0.75" header="0.3" footer="0.3"/>
  <pageSetup paperSize="9" scale="84" orientation="portrait" r:id="rId1"/>
  <colBreaks count="1" manualBreakCount="1">
    <brk id="2" max="13" man="1"/>
  </colBreaks>
  <customProperties>
    <customPr name="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382573"/>
    <pageSetUpPr fitToPage="1"/>
  </sheetPr>
  <dimension ref="A1:S72"/>
  <sheetViews>
    <sheetView showGridLines="0" showRowColHeaders="0" topLeftCell="A17" zoomScale="90" zoomScaleNormal="90" workbookViewId="0">
      <selection activeCell="S14" sqref="S14"/>
    </sheetView>
  </sheetViews>
  <sheetFormatPr defaultColWidth="9.1796875" defaultRowHeight="15.5" x14ac:dyDescent="0.35"/>
  <cols>
    <col min="1" max="1" width="4.54296875" style="13" customWidth="1"/>
    <col min="2" max="2" width="2.453125" style="13" customWidth="1"/>
    <col min="3" max="16384" width="9.1796875" style="13"/>
  </cols>
  <sheetData>
    <row r="1" spans="1:18" ht="15" customHeight="1" thickBot="1" x14ac:dyDescent="0.4"/>
    <row r="2" spans="1:18" ht="15" customHeight="1" x14ac:dyDescent="0.35">
      <c r="B2" s="837"/>
      <c r="C2" s="838"/>
      <c r="D2" s="838"/>
      <c r="E2" s="838"/>
      <c r="F2" s="838"/>
      <c r="G2" s="838"/>
      <c r="H2" s="838"/>
      <c r="I2" s="838"/>
      <c r="J2" s="838"/>
      <c r="K2" s="838"/>
      <c r="L2" s="838"/>
      <c r="M2" s="838"/>
      <c r="N2" s="838"/>
      <c r="O2" s="838"/>
      <c r="P2" s="838"/>
      <c r="Q2" s="838"/>
      <c r="R2" s="839"/>
    </row>
    <row r="3" spans="1:18" ht="24.5" x14ac:dyDescent="0.35">
      <c r="B3" s="86"/>
      <c r="C3" s="825" t="s">
        <v>7</v>
      </c>
      <c r="D3" s="825"/>
      <c r="E3" s="825"/>
      <c r="F3" s="825"/>
      <c r="G3" s="825"/>
      <c r="H3" s="825"/>
      <c r="I3" s="825"/>
      <c r="J3" s="825"/>
      <c r="K3" s="825"/>
      <c r="L3" s="825"/>
      <c r="M3" s="825"/>
      <c r="N3" s="825"/>
      <c r="O3" s="825"/>
      <c r="P3" s="92"/>
      <c r="Q3" s="92"/>
      <c r="R3" s="93"/>
    </row>
    <row r="4" spans="1:18" ht="14.5" customHeight="1" x14ac:dyDescent="0.35">
      <c r="A4" s="14"/>
      <c r="B4" s="89"/>
      <c r="C4" s="94"/>
      <c r="D4" s="94"/>
      <c r="E4" s="94"/>
      <c r="F4" s="94"/>
      <c r="G4" s="95"/>
      <c r="H4" s="95"/>
      <c r="I4" s="95"/>
      <c r="J4" s="95"/>
      <c r="K4" s="95"/>
      <c r="L4" s="95"/>
      <c r="M4" s="95"/>
      <c r="N4" s="95"/>
      <c r="O4" s="95"/>
      <c r="P4" s="95"/>
      <c r="Q4" s="95"/>
      <c r="R4" s="93"/>
    </row>
    <row r="5" spans="1:18" ht="20.5" customHeight="1" x14ac:dyDescent="0.35">
      <c r="B5" s="86"/>
      <c r="C5" s="101" t="s">
        <v>8</v>
      </c>
      <c r="D5" s="96"/>
      <c r="E5" s="96"/>
      <c r="F5" s="96"/>
      <c r="G5" s="96"/>
      <c r="H5" s="96"/>
      <c r="I5" s="96"/>
      <c r="J5" s="96"/>
      <c r="K5" s="96"/>
      <c r="L5" s="96"/>
      <c r="M5" s="95"/>
      <c r="N5" s="96"/>
      <c r="O5" s="96"/>
      <c r="P5" s="96"/>
      <c r="Q5" s="96"/>
      <c r="R5" s="93"/>
    </row>
    <row r="6" spans="1:18" ht="67.5" customHeight="1" x14ac:dyDescent="0.35">
      <c r="A6" s="15"/>
      <c r="B6" s="90"/>
      <c r="C6" s="826" t="s">
        <v>9</v>
      </c>
      <c r="D6" s="826"/>
      <c r="E6" s="826"/>
      <c r="F6" s="826"/>
      <c r="G6" s="826"/>
      <c r="H6" s="826"/>
      <c r="I6" s="826"/>
      <c r="J6" s="826"/>
      <c r="K6" s="826"/>
      <c r="L6" s="826"/>
      <c r="M6" s="826"/>
      <c r="N6" s="826"/>
      <c r="O6" s="826"/>
      <c r="P6" s="826"/>
      <c r="Q6" s="826"/>
      <c r="R6" s="827"/>
    </row>
    <row r="7" spans="1:18" ht="19.5" customHeight="1" x14ac:dyDescent="0.35">
      <c r="A7" s="15"/>
      <c r="B7" s="90"/>
      <c r="C7" s="843" t="s">
        <v>10</v>
      </c>
      <c r="D7" s="843"/>
      <c r="E7" s="843"/>
      <c r="F7" s="843"/>
      <c r="G7" s="843"/>
      <c r="H7" s="843"/>
      <c r="I7" s="843"/>
      <c r="J7" s="97"/>
      <c r="K7" s="843"/>
      <c r="L7" s="843"/>
      <c r="M7" s="843"/>
      <c r="N7" s="97"/>
      <c r="O7" s="843"/>
      <c r="P7" s="843"/>
      <c r="Q7" s="843"/>
      <c r="R7" s="98"/>
    </row>
    <row r="8" spans="1:18" ht="18.75" customHeight="1" x14ac:dyDescent="0.35">
      <c r="A8" s="15"/>
      <c r="B8" s="90"/>
      <c r="C8" s="841" t="s">
        <v>11</v>
      </c>
      <c r="D8" s="841"/>
      <c r="E8" s="841"/>
      <c r="F8" s="841"/>
      <c r="G8" s="841"/>
      <c r="H8" s="841"/>
      <c r="I8" s="841"/>
      <c r="J8" s="841"/>
      <c r="K8" s="841"/>
      <c r="L8" s="841"/>
      <c r="M8" s="841"/>
      <c r="N8" s="841"/>
      <c r="O8" s="841"/>
      <c r="P8" s="841"/>
      <c r="Q8" s="841"/>
      <c r="R8" s="842"/>
    </row>
    <row r="9" spans="1:18" ht="2.25" customHeight="1" x14ac:dyDescent="0.35">
      <c r="A9" s="15"/>
      <c r="B9" s="90"/>
      <c r="C9" s="840"/>
      <c r="D9" s="840"/>
      <c r="E9" s="840"/>
      <c r="F9" s="840"/>
      <c r="G9" s="840"/>
      <c r="H9" s="840"/>
      <c r="I9" s="840"/>
      <c r="J9" s="840"/>
      <c r="K9" s="840"/>
      <c r="L9" s="840"/>
      <c r="M9" s="97"/>
      <c r="N9" s="97"/>
      <c r="O9" s="97"/>
      <c r="P9" s="97"/>
      <c r="Q9" s="97"/>
      <c r="R9" s="98"/>
    </row>
    <row r="10" spans="1:18" ht="15.75" customHeight="1" x14ac:dyDescent="0.35">
      <c r="B10" s="86"/>
      <c r="C10" s="844" t="s">
        <v>12</v>
      </c>
      <c r="D10" s="845"/>
      <c r="E10" s="845"/>
      <c r="F10" s="845"/>
      <c r="G10" s="845"/>
      <c r="H10" s="845"/>
      <c r="I10" s="845"/>
      <c r="J10" s="845"/>
      <c r="K10" s="845"/>
      <c r="L10" s="845"/>
      <c r="M10" s="845"/>
      <c r="N10" s="845"/>
      <c r="O10" s="845"/>
      <c r="P10" s="845"/>
      <c r="Q10" s="845"/>
      <c r="R10" s="100"/>
    </row>
    <row r="11" spans="1:18" ht="15.75" customHeight="1" x14ac:dyDescent="0.35">
      <c r="B11" s="86"/>
      <c r="C11" s="845"/>
      <c r="D11" s="845"/>
      <c r="E11" s="845"/>
      <c r="F11" s="845"/>
      <c r="G11" s="845"/>
      <c r="H11" s="845"/>
      <c r="I11" s="845"/>
      <c r="J11" s="845"/>
      <c r="K11" s="845"/>
      <c r="L11" s="845"/>
      <c r="M11" s="845"/>
      <c r="N11" s="845"/>
      <c r="O11" s="845"/>
      <c r="P11" s="845"/>
      <c r="Q11" s="845"/>
      <c r="R11" s="100"/>
    </row>
    <row r="12" spans="1:18" x14ac:dyDescent="0.35">
      <c r="B12" s="86"/>
      <c r="C12" s="99" t="s">
        <v>13</v>
      </c>
      <c r="D12" s="99"/>
      <c r="E12" s="99"/>
      <c r="F12" s="99"/>
      <c r="G12" s="99"/>
      <c r="H12" s="99"/>
      <c r="I12" s="99"/>
      <c r="J12" s="99"/>
      <c r="K12" s="99"/>
      <c r="L12" s="99"/>
      <c r="M12" s="99"/>
      <c r="N12" s="99"/>
      <c r="O12" s="99"/>
      <c r="P12" s="99"/>
      <c r="Q12" s="99"/>
      <c r="R12" s="100"/>
    </row>
    <row r="13" spans="1:18" x14ac:dyDescent="0.35">
      <c r="B13" s="86"/>
      <c r="C13" s="99"/>
      <c r="D13" s="99"/>
      <c r="E13" s="99"/>
      <c r="F13" s="99"/>
      <c r="G13" s="99"/>
      <c r="H13" s="99"/>
      <c r="I13" s="99"/>
      <c r="J13" s="99"/>
      <c r="K13" s="99"/>
      <c r="L13" s="99"/>
      <c r="M13" s="99"/>
      <c r="N13" s="99"/>
      <c r="O13" s="99"/>
      <c r="P13" s="99"/>
      <c r="Q13" s="99"/>
      <c r="R13" s="100"/>
    </row>
    <row r="14" spans="1:18" ht="28" customHeight="1" x14ac:dyDescent="0.35">
      <c r="B14" s="86"/>
      <c r="C14" s="99"/>
      <c r="D14" s="99"/>
      <c r="E14" s="99"/>
      <c r="F14" s="99"/>
      <c r="G14" s="99"/>
      <c r="H14" s="99"/>
      <c r="I14" s="99"/>
      <c r="J14" s="99"/>
      <c r="K14" s="99"/>
      <c r="L14" s="99"/>
      <c r="M14" s="99"/>
      <c r="N14" s="99"/>
      <c r="O14" s="99"/>
      <c r="P14" s="99"/>
      <c r="Q14" s="99"/>
      <c r="R14" s="100"/>
    </row>
    <row r="15" spans="1:18" ht="24" customHeight="1" x14ac:dyDescent="0.35">
      <c r="B15" s="86"/>
      <c r="C15" s="99"/>
      <c r="D15" s="99"/>
      <c r="E15" s="99"/>
      <c r="F15" s="99"/>
      <c r="G15" s="99"/>
      <c r="H15" s="99"/>
      <c r="I15" s="99"/>
      <c r="J15" s="99"/>
      <c r="K15" s="99"/>
      <c r="L15" s="99"/>
      <c r="M15" s="99"/>
      <c r="N15" s="99"/>
      <c r="O15" s="99"/>
      <c r="P15" s="99"/>
      <c r="Q15" s="99"/>
      <c r="R15" s="100"/>
    </row>
    <row r="16" spans="1:18" ht="8.25" customHeight="1" x14ac:dyDescent="0.35">
      <c r="B16" s="86"/>
      <c r="C16" s="99"/>
      <c r="D16" s="99"/>
      <c r="E16" s="99"/>
      <c r="F16" s="99"/>
      <c r="G16" s="99"/>
      <c r="H16" s="99"/>
      <c r="I16" s="99"/>
      <c r="J16" s="99"/>
      <c r="K16" s="99"/>
      <c r="L16" s="99"/>
      <c r="M16" s="99"/>
      <c r="N16" s="99"/>
      <c r="O16" s="99"/>
      <c r="P16" s="99"/>
      <c r="Q16" s="99"/>
      <c r="R16" s="100"/>
    </row>
    <row r="17" spans="2:19" x14ac:dyDescent="0.35">
      <c r="B17" s="86"/>
      <c r="C17" s="826" t="s">
        <v>14</v>
      </c>
      <c r="D17" s="826"/>
      <c r="E17" s="826"/>
      <c r="F17" s="826"/>
      <c r="G17" s="826"/>
      <c r="H17" s="826"/>
      <c r="I17" s="826"/>
      <c r="J17" s="826"/>
      <c r="K17" s="826"/>
      <c r="L17" s="826"/>
      <c r="M17" s="826"/>
      <c r="N17" s="826"/>
      <c r="O17" s="826"/>
      <c r="P17" s="826"/>
      <c r="Q17" s="826"/>
      <c r="R17" s="827"/>
    </row>
    <row r="18" spans="2:19" x14ac:dyDescent="0.35">
      <c r="B18" s="86"/>
      <c r="C18" s="826"/>
      <c r="D18" s="826"/>
      <c r="E18" s="826"/>
      <c r="F18" s="826"/>
      <c r="G18" s="826"/>
      <c r="H18" s="826"/>
      <c r="I18" s="826"/>
      <c r="J18" s="826"/>
      <c r="K18" s="826"/>
      <c r="L18" s="826"/>
      <c r="M18" s="826"/>
      <c r="N18" s="826"/>
      <c r="O18" s="826"/>
      <c r="P18" s="826"/>
      <c r="Q18" s="826"/>
      <c r="R18" s="827"/>
    </row>
    <row r="19" spans="2:19" ht="29.5" customHeight="1" x14ac:dyDescent="0.35">
      <c r="B19" s="86"/>
      <c r="C19" s="99"/>
      <c r="D19" s="99"/>
      <c r="E19" s="99"/>
      <c r="F19" s="99"/>
      <c r="G19" s="99"/>
      <c r="H19" s="99"/>
      <c r="I19" s="99"/>
      <c r="J19" s="99"/>
      <c r="K19" s="99"/>
      <c r="L19" s="99"/>
      <c r="M19" s="99"/>
      <c r="N19" s="99"/>
      <c r="O19" s="99"/>
      <c r="P19" s="99"/>
      <c r="Q19" s="99"/>
      <c r="R19" s="100"/>
    </row>
    <row r="20" spans="2:19" ht="28.5" customHeight="1" x14ac:dyDescent="0.35">
      <c r="B20" s="86"/>
      <c r="C20" s="99"/>
      <c r="D20" s="99"/>
      <c r="E20" s="99"/>
      <c r="F20" s="99"/>
      <c r="G20" s="99"/>
      <c r="H20" s="99"/>
      <c r="I20" s="99"/>
      <c r="J20" s="99"/>
      <c r="K20" s="99"/>
      <c r="L20" s="99"/>
      <c r="M20" s="99"/>
      <c r="N20" s="99"/>
      <c r="O20" s="99"/>
      <c r="P20" s="99"/>
      <c r="Q20" s="99"/>
      <c r="R20" s="100"/>
    </row>
    <row r="21" spans="2:19" x14ac:dyDescent="0.35">
      <c r="B21" s="86"/>
      <c r="C21" s="99"/>
      <c r="D21" s="99"/>
      <c r="E21" s="99"/>
      <c r="F21" s="99"/>
      <c r="G21" s="99"/>
      <c r="H21" s="99"/>
      <c r="I21" s="99"/>
      <c r="J21" s="99"/>
      <c r="K21" s="99"/>
      <c r="L21" s="99"/>
      <c r="M21" s="99"/>
      <c r="N21" s="99"/>
      <c r="O21" s="99"/>
      <c r="P21" s="99"/>
      <c r="Q21" s="99"/>
      <c r="R21" s="100"/>
    </row>
    <row r="22" spans="2:19" x14ac:dyDescent="0.35">
      <c r="B22" s="86"/>
      <c r="C22" s="99"/>
      <c r="D22" s="99"/>
      <c r="E22" s="99"/>
      <c r="F22" s="99"/>
      <c r="G22" s="99"/>
      <c r="H22" s="99"/>
      <c r="I22" s="99"/>
      <c r="J22" s="99"/>
      <c r="K22" s="99"/>
      <c r="L22" s="99"/>
      <c r="M22" s="99"/>
      <c r="N22" s="99"/>
      <c r="O22" s="99"/>
      <c r="P22" s="99"/>
      <c r="Q22" s="99"/>
      <c r="R22" s="100"/>
    </row>
    <row r="23" spans="2:19" x14ac:dyDescent="0.35">
      <c r="B23" s="86"/>
      <c r="C23" s="99" t="s">
        <v>15</v>
      </c>
      <c r="D23" s="99"/>
      <c r="E23" s="99"/>
      <c r="F23" s="99"/>
      <c r="G23" s="99"/>
      <c r="H23" s="99"/>
      <c r="I23" s="99"/>
      <c r="J23" s="99"/>
      <c r="K23" s="99"/>
      <c r="L23" s="99"/>
      <c r="M23" s="99"/>
      <c r="N23" s="99"/>
      <c r="O23" s="99"/>
      <c r="P23" s="99"/>
      <c r="Q23" s="99"/>
      <c r="R23" s="100"/>
    </row>
    <row r="24" spans="2:19" ht="28.5" customHeight="1" x14ac:dyDescent="0.35">
      <c r="B24" s="86"/>
      <c r="C24" s="99"/>
      <c r="D24" s="99"/>
      <c r="E24" s="99"/>
      <c r="F24" s="99"/>
      <c r="G24" s="99"/>
      <c r="H24" s="99"/>
      <c r="I24" s="99"/>
      <c r="J24" s="99"/>
      <c r="K24" s="99"/>
      <c r="L24" s="99"/>
      <c r="M24" s="99"/>
      <c r="N24" s="99"/>
      <c r="O24" s="99"/>
      <c r="P24" s="99"/>
      <c r="Q24" s="99"/>
      <c r="R24" s="100"/>
    </row>
    <row r="25" spans="2:19" x14ac:dyDescent="0.35">
      <c r="B25" s="86"/>
      <c r="C25" s="99"/>
      <c r="D25" s="99"/>
      <c r="E25" s="99"/>
      <c r="F25" s="99"/>
      <c r="G25" s="99"/>
      <c r="H25" s="99"/>
      <c r="I25" s="99"/>
      <c r="J25" s="99"/>
      <c r="K25" s="99"/>
      <c r="L25" s="99"/>
      <c r="M25" s="99"/>
      <c r="N25" s="99"/>
      <c r="O25" s="99"/>
      <c r="P25" s="99"/>
      <c r="Q25" s="99"/>
      <c r="R25" s="100"/>
    </row>
    <row r="26" spans="2:19" x14ac:dyDescent="0.35">
      <c r="B26" s="86"/>
      <c r="C26" s="99"/>
      <c r="D26" s="99"/>
      <c r="E26" s="99"/>
      <c r="F26" s="99"/>
      <c r="G26" s="99"/>
      <c r="H26" s="99"/>
      <c r="I26" s="99"/>
      <c r="J26" s="99"/>
      <c r="K26" s="99"/>
      <c r="L26" s="99"/>
      <c r="M26" s="99"/>
      <c r="N26" s="99"/>
      <c r="O26" s="99"/>
      <c r="P26" s="99"/>
      <c r="Q26" s="99"/>
      <c r="R26" s="100"/>
    </row>
    <row r="27" spans="2:19" x14ac:dyDescent="0.35">
      <c r="B27" s="86"/>
      <c r="C27" s="99"/>
      <c r="D27" s="99"/>
      <c r="E27" s="99"/>
      <c r="F27" s="99"/>
      <c r="G27" s="99"/>
      <c r="H27" s="99"/>
      <c r="I27" s="99"/>
      <c r="J27" s="99"/>
      <c r="K27" s="99"/>
      <c r="L27" s="99"/>
      <c r="M27" s="99"/>
      <c r="N27" s="99"/>
      <c r="O27" s="99"/>
      <c r="P27" s="99"/>
      <c r="Q27" s="99"/>
      <c r="R27" s="100"/>
    </row>
    <row r="28" spans="2:19" x14ac:dyDescent="0.35">
      <c r="B28" s="86"/>
      <c r="C28" s="99"/>
      <c r="D28" s="99"/>
      <c r="E28" s="99"/>
      <c r="F28" s="99"/>
      <c r="G28" s="99"/>
      <c r="H28" s="99"/>
      <c r="I28" s="99"/>
      <c r="J28" s="99"/>
      <c r="K28" s="99"/>
      <c r="L28" s="99"/>
      <c r="M28" s="99"/>
      <c r="N28" s="99"/>
      <c r="O28" s="99"/>
      <c r="P28" s="99"/>
      <c r="Q28" s="99"/>
      <c r="R28" s="100"/>
    </row>
    <row r="29" spans="2:19" ht="19.5" customHeight="1" x14ac:dyDescent="0.35">
      <c r="B29" s="86"/>
      <c r="C29" s="826" t="s">
        <v>16</v>
      </c>
      <c r="D29" s="826"/>
      <c r="E29" s="826"/>
      <c r="F29" s="826"/>
      <c r="G29" s="826"/>
      <c r="H29" s="826"/>
      <c r="I29" s="826"/>
      <c r="J29" s="826"/>
      <c r="K29" s="826"/>
      <c r="L29" s="826"/>
      <c r="M29" s="826"/>
      <c r="N29" s="826"/>
      <c r="O29" s="826"/>
      <c r="P29" s="826"/>
      <c r="Q29" s="826"/>
      <c r="R29" s="827"/>
      <c r="S29" s="16"/>
    </row>
    <row r="30" spans="2:19" x14ac:dyDescent="0.35">
      <c r="B30" s="86"/>
      <c r="C30" s="826"/>
      <c r="D30" s="826"/>
      <c r="E30" s="826"/>
      <c r="F30" s="826"/>
      <c r="G30" s="826"/>
      <c r="H30" s="826"/>
      <c r="I30" s="826"/>
      <c r="J30" s="826"/>
      <c r="K30" s="826"/>
      <c r="L30" s="826"/>
      <c r="M30" s="826"/>
      <c r="N30" s="826"/>
      <c r="O30" s="826"/>
      <c r="P30" s="826"/>
      <c r="Q30" s="826"/>
      <c r="R30" s="827"/>
      <c r="S30" s="16"/>
    </row>
    <row r="31" spans="2:19" x14ac:dyDescent="0.35">
      <c r="B31" s="86"/>
      <c r="C31" s="97"/>
      <c r="D31" s="97"/>
      <c r="E31" s="97"/>
      <c r="F31" s="97"/>
      <c r="G31" s="97"/>
      <c r="H31" s="97"/>
      <c r="I31" s="97"/>
      <c r="J31" s="97"/>
      <c r="K31" s="97"/>
      <c r="L31" s="97"/>
      <c r="M31" s="97"/>
      <c r="N31" s="97"/>
      <c r="O31" s="97"/>
      <c r="P31" s="97"/>
      <c r="Q31" s="97"/>
      <c r="R31" s="98"/>
      <c r="S31" s="16"/>
    </row>
    <row r="32" spans="2:19" x14ac:dyDescent="0.35">
      <c r="B32" s="86"/>
      <c r="C32" s="99"/>
      <c r="D32" s="99"/>
      <c r="E32" s="99"/>
      <c r="F32" s="99"/>
      <c r="G32" s="99"/>
      <c r="H32" s="99"/>
      <c r="I32" s="99"/>
      <c r="J32" s="99"/>
      <c r="K32" s="99"/>
      <c r="L32" s="99"/>
      <c r="M32" s="99"/>
      <c r="N32" s="99"/>
      <c r="O32" s="99"/>
      <c r="P32" s="99"/>
      <c r="Q32" s="99"/>
      <c r="R32" s="100"/>
    </row>
    <row r="33" spans="2:18" x14ac:dyDescent="0.35">
      <c r="B33" s="86"/>
      <c r="C33" s="99"/>
      <c r="D33" s="99"/>
      <c r="E33" s="99"/>
      <c r="F33" s="99"/>
      <c r="G33" s="99"/>
      <c r="H33" s="99"/>
      <c r="I33" s="99"/>
      <c r="J33" s="99"/>
      <c r="K33" s="99"/>
      <c r="L33" s="99"/>
      <c r="M33" s="99"/>
      <c r="N33" s="99"/>
      <c r="O33" s="99"/>
      <c r="P33" s="99"/>
      <c r="Q33" s="99"/>
      <c r="R33" s="100"/>
    </row>
    <row r="34" spans="2:18" x14ac:dyDescent="0.35">
      <c r="B34" s="86"/>
      <c r="C34" s="99"/>
      <c r="D34" s="99"/>
      <c r="E34" s="99"/>
      <c r="F34" s="99"/>
      <c r="G34" s="99"/>
      <c r="H34" s="99"/>
      <c r="I34" s="99"/>
      <c r="J34" s="99"/>
      <c r="K34" s="99"/>
      <c r="L34" s="99"/>
      <c r="M34" s="99"/>
      <c r="N34" s="99"/>
      <c r="O34" s="99"/>
      <c r="P34" s="99"/>
      <c r="Q34" s="99"/>
      <c r="R34" s="100"/>
    </row>
    <row r="35" spans="2:18" x14ac:dyDescent="0.35">
      <c r="B35" s="86"/>
      <c r="C35" s="99"/>
      <c r="D35" s="99"/>
      <c r="E35" s="99"/>
      <c r="F35" s="99"/>
      <c r="G35" s="99"/>
      <c r="H35" s="99"/>
      <c r="I35" s="99"/>
      <c r="J35" s="99"/>
      <c r="K35" s="99"/>
      <c r="L35" s="99"/>
      <c r="M35" s="99"/>
      <c r="N35" s="99"/>
      <c r="O35" s="99"/>
      <c r="P35" s="99"/>
      <c r="Q35" s="99"/>
      <c r="R35" s="100"/>
    </row>
    <row r="36" spans="2:18" x14ac:dyDescent="0.35">
      <c r="B36" s="86"/>
      <c r="C36" s="826" t="s">
        <v>17</v>
      </c>
      <c r="D36" s="826"/>
      <c r="E36" s="826"/>
      <c r="F36" s="826"/>
      <c r="G36" s="826"/>
      <c r="H36" s="826"/>
      <c r="I36" s="826"/>
      <c r="J36" s="826"/>
      <c r="K36" s="826"/>
      <c r="L36" s="826"/>
      <c r="M36" s="826"/>
      <c r="N36" s="826"/>
      <c r="O36" s="826"/>
      <c r="P36" s="826"/>
      <c r="Q36" s="826"/>
      <c r="R36" s="827"/>
    </row>
    <row r="37" spans="2:18" x14ac:dyDescent="0.35">
      <c r="B37" s="86"/>
      <c r="C37" s="826"/>
      <c r="D37" s="826"/>
      <c r="E37" s="826"/>
      <c r="F37" s="826"/>
      <c r="G37" s="826"/>
      <c r="H37" s="826"/>
      <c r="I37" s="826"/>
      <c r="J37" s="826"/>
      <c r="K37" s="826"/>
      <c r="L37" s="826"/>
      <c r="M37" s="826"/>
      <c r="N37" s="826"/>
      <c r="O37" s="826"/>
      <c r="P37" s="826"/>
      <c r="Q37" s="826"/>
      <c r="R37" s="827"/>
    </row>
    <row r="38" spans="2:18" x14ac:dyDescent="0.35">
      <c r="B38" s="86"/>
      <c r="C38" s="332"/>
      <c r="D38" s="332"/>
      <c r="E38" s="332"/>
      <c r="F38" s="332"/>
      <c r="G38" s="332"/>
      <c r="H38" s="332"/>
      <c r="I38" s="332"/>
      <c r="J38" s="332"/>
      <c r="K38" s="332"/>
      <c r="L38" s="332"/>
      <c r="M38" s="332"/>
      <c r="N38" s="332"/>
      <c r="O38" s="332"/>
      <c r="P38" s="332"/>
      <c r="Q38" s="332"/>
      <c r="R38" s="91"/>
    </row>
    <row r="39" spans="2:18" x14ac:dyDescent="0.35">
      <c r="B39" s="86"/>
      <c r="C39" s="87"/>
      <c r="D39" s="87"/>
      <c r="E39" s="87"/>
      <c r="F39" s="87"/>
      <c r="G39" s="87"/>
      <c r="H39" s="87"/>
      <c r="I39" s="87"/>
      <c r="J39" s="87"/>
      <c r="K39" s="87"/>
      <c r="L39" s="87"/>
      <c r="M39" s="87"/>
      <c r="N39" s="87"/>
      <c r="O39" s="87"/>
      <c r="P39" s="87"/>
      <c r="Q39" s="87"/>
      <c r="R39" s="88"/>
    </row>
    <row r="40" spans="2:18" x14ac:dyDescent="0.35">
      <c r="B40" s="86"/>
      <c r="C40" s="87"/>
      <c r="D40" s="87"/>
      <c r="E40" s="87"/>
      <c r="F40" s="87"/>
      <c r="G40" s="87"/>
      <c r="H40" s="87"/>
      <c r="I40" s="87"/>
      <c r="J40" s="87"/>
      <c r="K40" s="87"/>
      <c r="L40" s="87"/>
      <c r="M40" s="87"/>
      <c r="N40" s="87"/>
      <c r="O40" s="87"/>
      <c r="P40" s="87"/>
      <c r="Q40" s="87"/>
      <c r="R40" s="88"/>
    </row>
    <row r="41" spans="2:18" x14ac:dyDescent="0.35">
      <c r="B41" s="86"/>
      <c r="C41" s="87"/>
      <c r="D41" s="87"/>
      <c r="E41" s="87"/>
      <c r="F41" s="87"/>
      <c r="G41" s="87"/>
      <c r="H41" s="87"/>
      <c r="I41" s="87"/>
      <c r="J41" s="87"/>
      <c r="K41" s="87"/>
      <c r="L41" s="87"/>
      <c r="M41" s="87"/>
      <c r="N41" s="87"/>
      <c r="O41" s="87"/>
      <c r="P41" s="87"/>
      <c r="Q41" s="87"/>
      <c r="R41" s="88"/>
    </row>
    <row r="42" spans="2:18" x14ac:dyDescent="0.35">
      <c r="B42" s="86"/>
      <c r="C42" s="87"/>
      <c r="D42" s="87"/>
      <c r="E42" s="87"/>
      <c r="F42" s="87"/>
      <c r="G42" s="87"/>
      <c r="H42" s="87"/>
      <c r="I42" s="87"/>
      <c r="J42" s="87"/>
      <c r="K42" s="87"/>
      <c r="L42" s="87"/>
      <c r="M42" s="87"/>
      <c r="N42" s="87"/>
      <c r="O42" s="87"/>
      <c r="P42" s="87"/>
      <c r="Q42" s="87"/>
      <c r="R42" s="88"/>
    </row>
    <row r="43" spans="2:18" x14ac:dyDescent="0.35">
      <c r="B43" s="86"/>
      <c r="C43" s="826" t="s">
        <v>18</v>
      </c>
      <c r="D43" s="826"/>
      <c r="E43" s="826"/>
      <c r="F43" s="826"/>
      <c r="G43" s="826"/>
      <c r="H43" s="826"/>
      <c r="I43" s="826"/>
      <c r="J43" s="826"/>
      <c r="K43" s="826"/>
      <c r="L43" s="826"/>
      <c r="M43" s="826"/>
      <c r="N43" s="826"/>
      <c r="O43" s="826"/>
      <c r="P43" s="826"/>
      <c r="Q43" s="826"/>
      <c r="R43" s="827"/>
    </row>
    <row r="44" spans="2:18" x14ac:dyDescent="0.35">
      <c r="B44" s="86"/>
      <c r="C44" s="826"/>
      <c r="D44" s="826"/>
      <c r="E44" s="826"/>
      <c r="F44" s="826"/>
      <c r="G44" s="826"/>
      <c r="H44" s="826"/>
      <c r="I44" s="826"/>
      <c r="J44" s="826"/>
      <c r="K44" s="826"/>
      <c r="L44" s="826"/>
      <c r="M44" s="826"/>
      <c r="N44" s="826"/>
      <c r="O44" s="826"/>
      <c r="P44" s="826"/>
      <c r="Q44" s="826"/>
      <c r="R44" s="827"/>
    </row>
    <row r="45" spans="2:18" x14ac:dyDescent="0.35">
      <c r="B45" s="86"/>
      <c r="C45" s="87"/>
      <c r="D45" s="87"/>
      <c r="E45" s="87"/>
      <c r="F45" s="87"/>
      <c r="G45" s="87"/>
      <c r="H45" s="87"/>
      <c r="I45" s="87"/>
      <c r="J45" s="87"/>
      <c r="K45" s="87"/>
      <c r="L45" s="87"/>
      <c r="M45" s="87"/>
      <c r="N45" s="87"/>
      <c r="O45" s="87"/>
      <c r="P45" s="87"/>
      <c r="Q45" s="87"/>
      <c r="R45" s="88"/>
    </row>
    <row r="46" spans="2:18" x14ac:dyDescent="0.35">
      <c r="B46" s="86"/>
      <c r="C46" s="87"/>
      <c r="D46" s="87"/>
      <c r="E46" s="87"/>
      <c r="F46" s="87"/>
      <c r="G46" s="87"/>
      <c r="H46" s="87"/>
      <c r="I46" s="87"/>
      <c r="J46" s="87"/>
      <c r="K46" s="87"/>
      <c r="L46" s="87"/>
      <c r="M46" s="87"/>
      <c r="N46" s="87"/>
      <c r="O46" s="87"/>
      <c r="P46" s="87"/>
      <c r="Q46" s="87"/>
      <c r="R46" s="88"/>
    </row>
    <row r="47" spans="2:18" ht="19.5" customHeight="1" x14ac:dyDescent="0.35">
      <c r="B47" s="86"/>
      <c r="C47" s="87"/>
      <c r="D47" s="87"/>
      <c r="E47" s="87"/>
      <c r="F47" s="87"/>
      <c r="G47" s="87"/>
      <c r="H47" s="87"/>
      <c r="I47" s="87"/>
      <c r="J47" s="87"/>
      <c r="K47" s="87"/>
      <c r="L47" s="87"/>
      <c r="M47" s="87"/>
      <c r="N47" s="87"/>
      <c r="O47" s="87"/>
      <c r="P47" s="87"/>
      <c r="Q47" s="87"/>
      <c r="R47" s="88"/>
    </row>
    <row r="48" spans="2:18" ht="21.65" customHeight="1" thickBot="1" x14ac:dyDescent="0.4">
      <c r="B48" s="86"/>
      <c r="C48" s="87"/>
      <c r="D48" s="87"/>
      <c r="E48" s="87"/>
      <c r="F48" s="87"/>
      <c r="G48" s="87"/>
      <c r="H48" s="87"/>
      <c r="I48" s="87"/>
      <c r="J48" s="87"/>
      <c r="K48" s="87"/>
      <c r="L48" s="87"/>
      <c r="M48" s="87"/>
      <c r="N48" s="87"/>
      <c r="O48" s="87"/>
      <c r="P48" s="87"/>
      <c r="Q48" s="87"/>
      <c r="R48" s="88"/>
    </row>
    <row r="49" spans="2:18" ht="16" thickBot="1" x14ac:dyDescent="0.4">
      <c r="B49" s="822"/>
      <c r="C49" s="823"/>
      <c r="D49" s="823"/>
      <c r="E49" s="823"/>
      <c r="F49" s="823"/>
      <c r="G49" s="823"/>
      <c r="H49" s="823"/>
      <c r="I49" s="823"/>
      <c r="J49" s="823"/>
      <c r="K49" s="823"/>
      <c r="L49" s="823"/>
      <c r="M49" s="823"/>
      <c r="N49" s="823"/>
      <c r="O49" s="823"/>
      <c r="P49" s="823"/>
      <c r="Q49" s="823"/>
      <c r="R49" s="824"/>
    </row>
    <row r="51" spans="2:18" ht="16" thickBot="1" x14ac:dyDescent="0.4"/>
    <row r="52" spans="2:18" ht="15.75" customHeight="1" x14ac:dyDescent="0.35">
      <c r="B52" s="828" t="s">
        <v>19</v>
      </c>
      <c r="C52" s="829"/>
      <c r="D52" s="829"/>
      <c r="E52" s="829"/>
      <c r="F52" s="829"/>
      <c r="G52" s="829"/>
      <c r="H52" s="829"/>
      <c r="I52" s="829"/>
      <c r="J52" s="829"/>
      <c r="K52" s="829"/>
      <c r="L52" s="829"/>
      <c r="M52" s="829"/>
      <c r="N52" s="829"/>
      <c r="O52" s="829"/>
      <c r="P52" s="829"/>
      <c r="Q52" s="829"/>
      <c r="R52" s="830"/>
    </row>
    <row r="53" spans="2:18" x14ac:dyDescent="0.35">
      <c r="B53" s="831"/>
      <c r="C53" s="832"/>
      <c r="D53" s="832"/>
      <c r="E53" s="832"/>
      <c r="F53" s="832"/>
      <c r="G53" s="832"/>
      <c r="H53" s="832"/>
      <c r="I53" s="832"/>
      <c r="J53" s="832"/>
      <c r="K53" s="832"/>
      <c r="L53" s="832"/>
      <c r="M53" s="832"/>
      <c r="N53" s="832"/>
      <c r="O53" s="832"/>
      <c r="P53" s="832"/>
      <c r="Q53" s="832"/>
      <c r="R53" s="833"/>
    </row>
    <row r="54" spans="2:18" x14ac:dyDescent="0.35">
      <c r="B54" s="831"/>
      <c r="C54" s="832"/>
      <c r="D54" s="832"/>
      <c r="E54" s="832"/>
      <c r="F54" s="832"/>
      <c r="G54" s="832"/>
      <c r="H54" s="832"/>
      <c r="I54" s="832"/>
      <c r="J54" s="832"/>
      <c r="K54" s="832"/>
      <c r="L54" s="832"/>
      <c r="M54" s="832"/>
      <c r="N54" s="832"/>
      <c r="O54" s="832"/>
      <c r="P54" s="832"/>
      <c r="Q54" s="832"/>
      <c r="R54" s="833"/>
    </row>
    <row r="55" spans="2:18" x14ac:dyDescent="0.35">
      <c r="B55" s="831"/>
      <c r="C55" s="832"/>
      <c r="D55" s="832"/>
      <c r="E55" s="832"/>
      <c r="F55" s="832"/>
      <c r="G55" s="832"/>
      <c r="H55" s="832"/>
      <c r="I55" s="832"/>
      <c r="J55" s="832"/>
      <c r="K55" s="832"/>
      <c r="L55" s="832"/>
      <c r="M55" s="832"/>
      <c r="N55" s="832"/>
      <c r="O55" s="832"/>
      <c r="P55" s="832"/>
      <c r="Q55" s="832"/>
      <c r="R55" s="833"/>
    </row>
    <row r="56" spans="2:18" x14ac:dyDescent="0.35">
      <c r="B56" s="831"/>
      <c r="C56" s="832"/>
      <c r="D56" s="832"/>
      <c r="E56" s="832"/>
      <c r="F56" s="832"/>
      <c r="G56" s="832"/>
      <c r="H56" s="832"/>
      <c r="I56" s="832"/>
      <c r="J56" s="832"/>
      <c r="K56" s="832"/>
      <c r="L56" s="832"/>
      <c r="M56" s="832"/>
      <c r="N56" s="832"/>
      <c r="O56" s="832"/>
      <c r="P56" s="832"/>
      <c r="Q56" s="832"/>
      <c r="R56" s="833"/>
    </row>
    <row r="57" spans="2:18" x14ac:dyDescent="0.35">
      <c r="B57" s="831"/>
      <c r="C57" s="832"/>
      <c r="D57" s="832"/>
      <c r="E57" s="832"/>
      <c r="F57" s="832"/>
      <c r="G57" s="832"/>
      <c r="H57" s="832"/>
      <c r="I57" s="832"/>
      <c r="J57" s="832"/>
      <c r="K57" s="832"/>
      <c r="L57" s="832"/>
      <c r="M57" s="832"/>
      <c r="N57" s="832"/>
      <c r="O57" s="832"/>
      <c r="P57" s="832"/>
      <c r="Q57" s="832"/>
      <c r="R57" s="833"/>
    </row>
    <row r="58" spans="2:18" x14ac:dyDescent="0.35">
      <c r="B58" s="831"/>
      <c r="C58" s="832"/>
      <c r="D58" s="832"/>
      <c r="E58" s="832"/>
      <c r="F58" s="832"/>
      <c r="G58" s="832"/>
      <c r="H58" s="832"/>
      <c r="I58" s="832"/>
      <c r="J58" s="832"/>
      <c r="K58" s="832"/>
      <c r="L58" s="832"/>
      <c r="M58" s="832"/>
      <c r="N58" s="832"/>
      <c r="O58" s="832"/>
      <c r="P58" s="832"/>
      <c r="Q58" s="832"/>
      <c r="R58" s="833"/>
    </row>
    <row r="59" spans="2:18" x14ac:dyDescent="0.35">
      <c r="B59" s="831"/>
      <c r="C59" s="832"/>
      <c r="D59" s="832"/>
      <c r="E59" s="832"/>
      <c r="F59" s="832"/>
      <c r="G59" s="832"/>
      <c r="H59" s="832"/>
      <c r="I59" s="832"/>
      <c r="J59" s="832"/>
      <c r="K59" s="832"/>
      <c r="L59" s="832"/>
      <c r="M59" s="832"/>
      <c r="N59" s="832"/>
      <c r="O59" s="832"/>
      <c r="P59" s="832"/>
      <c r="Q59" s="832"/>
      <c r="R59" s="833"/>
    </row>
    <row r="60" spans="2:18" x14ac:dyDescent="0.35">
      <c r="B60" s="831"/>
      <c r="C60" s="832"/>
      <c r="D60" s="832"/>
      <c r="E60" s="832"/>
      <c r="F60" s="832"/>
      <c r="G60" s="832"/>
      <c r="H60" s="832"/>
      <c r="I60" s="832"/>
      <c r="J60" s="832"/>
      <c r="K60" s="832"/>
      <c r="L60" s="832"/>
      <c r="M60" s="832"/>
      <c r="N60" s="832"/>
      <c r="O60" s="832"/>
      <c r="P60" s="832"/>
      <c r="Q60" s="832"/>
      <c r="R60" s="833"/>
    </row>
    <row r="61" spans="2:18" x14ac:dyDescent="0.35">
      <c r="B61" s="831"/>
      <c r="C61" s="832"/>
      <c r="D61" s="832"/>
      <c r="E61" s="832"/>
      <c r="F61" s="832"/>
      <c r="G61" s="832"/>
      <c r="H61" s="832"/>
      <c r="I61" s="832"/>
      <c r="J61" s="832"/>
      <c r="K61" s="832"/>
      <c r="L61" s="832"/>
      <c r="M61" s="832"/>
      <c r="N61" s="832"/>
      <c r="O61" s="832"/>
      <c r="P61" s="832"/>
      <c r="Q61" s="832"/>
      <c r="R61" s="833"/>
    </row>
    <row r="62" spans="2:18" x14ac:dyDescent="0.35">
      <c r="B62" s="831"/>
      <c r="C62" s="832"/>
      <c r="D62" s="832"/>
      <c r="E62" s="832"/>
      <c r="F62" s="832"/>
      <c r="G62" s="832"/>
      <c r="H62" s="832"/>
      <c r="I62" s="832"/>
      <c r="J62" s="832"/>
      <c r="K62" s="832"/>
      <c r="L62" s="832"/>
      <c r="M62" s="832"/>
      <c r="N62" s="832"/>
      <c r="O62" s="832"/>
      <c r="P62" s="832"/>
      <c r="Q62" s="832"/>
      <c r="R62" s="833"/>
    </row>
    <row r="63" spans="2:18" x14ac:dyDescent="0.35">
      <c r="B63" s="831"/>
      <c r="C63" s="832"/>
      <c r="D63" s="832"/>
      <c r="E63" s="832"/>
      <c r="F63" s="832"/>
      <c r="G63" s="832"/>
      <c r="H63" s="832"/>
      <c r="I63" s="832"/>
      <c r="J63" s="832"/>
      <c r="K63" s="832"/>
      <c r="L63" s="832"/>
      <c r="M63" s="832"/>
      <c r="N63" s="832"/>
      <c r="O63" s="832"/>
      <c r="P63" s="832"/>
      <c r="Q63" s="832"/>
      <c r="R63" s="833"/>
    </row>
    <row r="64" spans="2:18" x14ac:dyDescent="0.35">
      <c r="B64" s="831"/>
      <c r="C64" s="832"/>
      <c r="D64" s="832"/>
      <c r="E64" s="832"/>
      <c r="F64" s="832"/>
      <c r="G64" s="832"/>
      <c r="H64" s="832"/>
      <c r="I64" s="832"/>
      <c r="J64" s="832"/>
      <c r="K64" s="832"/>
      <c r="L64" s="832"/>
      <c r="M64" s="832"/>
      <c r="N64" s="832"/>
      <c r="O64" s="832"/>
      <c r="P64" s="832"/>
      <c r="Q64" s="832"/>
      <c r="R64" s="833"/>
    </row>
    <row r="65" spans="2:18" x14ac:dyDescent="0.35">
      <c r="B65" s="831"/>
      <c r="C65" s="832"/>
      <c r="D65" s="832"/>
      <c r="E65" s="832"/>
      <c r="F65" s="832"/>
      <c r="G65" s="832"/>
      <c r="H65" s="832"/>
      <c r="I65" s="832"/>
      <c r="J65" s="832"/>
      <c r="K65" s="832"/>
      <c r="L65" s="832"/>
      <c r="M65" s="832"/>
      <c r="N65" s="832"/>
      <c r="O65" s="832"/>
      <c r="P65" s="832"/>
      <c r="Q65" s="832"/>
      <c r="R65" s="833"/>
    </row>
    <row r="66" spans="2:18" x14ac:dyDescent="0.35">
      <c r="B66" s="831"/>
      <c r="C66" s="832"/>
      <c r="D66" s="832"/>
      <c r="E66" s="832"/>
      <c r="F66" s="832"/>
      <c r="G66" s="832"/>
      <c r="H66" s="832"/>
      <c r="I66" s="832"/>
      <c r="J66" s="832"/>
      <c r="K66" s="832"/>
      <c r="L66" s="832"/>
      <c r="M66" s="832"/>
      <c r="N66" s="832"/>
      <c r="O66" s="832"/>
      <c r="P66" s="832"/>
      <c r="Q66" s="832"/>
      <c r="R66" s="833"/>
    </row>
    <row r="67" spans="2:18" x14ac:dyDescent="0.35">
      <c r="B67" s="831"/>
      <c r="C67" s="832"/>
      <c r="D67" s="832"/>
      <c r="E67" s="832"/>
      <c r="F67" s="832"/>
      <c r="G67" s="832"/>
      <c r="H67" s="832"/>
      <c r="I67" s="832"/>
      <c r="J67" s="832"/>
      <c r="K67" s="832"/>
      <c r="L67" s="832"/>
      <c r="M67" s="832"/>
      <c r="N67" s="832"/>
      <c r="O67" s="832"/>
      <c r="P67" s="832"/>
      <c r="Q67" s="832"/>
      <c r="R67" s="833"/>
    </row>
    <row r="68" spans="2:18" x14ac:dyDescent="0.35">
      <c r="B68" s="831"/>
      <c r="C68" s="832"/>
      <c r="D68" s="832"/>
      <c r="E68" s="832"/>
      <c r="F68" s="832"/>
      <c r="G68" s="832"/>
      <c r="H68" s="832"/>
      <c r="I68" s="832"/>
      <c r="J68" s="832"/>
      <c r="K68" s="832"/>
      <c r="L68" s="832"/>
      <c r="M68" s="832"/>
      <c r="N68" s="832"/>
      <c r="O68" s="832"/>
      <c r="P68" s="832"/>
      <c r="Q68" s="832"/>
      <c r="R68" s="833"/>
    </row>
    <row r="69" spans="2:18" x14ac:dyDescent="0.35">
      <c r="B69" s="831"/>
      <c r="C69" s="832"/>
      <c r="D69" s="832"/>
      <c r="E69" s="832"/>
      <c r="F69" s="832"/>
      <c r="G69" s="832"/>
      <c r="H69" s="832"/>
      <c r="I69" s="832"/>
      <c r="J69" s="832"/>
      <c r="K69" s="832"/>
      <c r="L69" s="832"/>
      <c r="M69" s="832"/>
      <c r="N69" s="832"/>
      <c r="O69" s="832"/>
      <c r="P69" s="832"/>
      <c r="Q69" s="832"/>
      <c r="R69" s="833"/>
    </row>
    <row r="70" spans="2:18" x14ac:dyDescent="0.35">
      <c r="B70" s="831"/>
      <c r="C70" s="832"/>
      <c r="D70" s="832"/>
      <c r="E70" s="832"/>
      <c r="F70" s="832"/>
      <c r="G70" s="832"/>
      <c r="H70" s="832"/>
      <c r="I70" s="832"/>
      <c r="J70" s="832"/>
      <c r="K70" s="832"/>
      <c r="L70" s="832"/>
      <c r="M70" s="832"/>
      <c r="N70" s="832"/>
      <c r="O70" s="832"/>
      <c r="P70" s="832"/>
      <c r="Q70" s="832"/>
      <c r="R70" s="833"/>
    </row>
    <row r="71" spans="2:18" ht="61.5" customHeight="1" thickBot="1" x14ac:dyDescent="0.4">
      <c r="B71" s="834"/>
      <c r="C71" s="835"/>
      <c r="D71" s="835"/>
      <c r="E71" s="835"/>
      <c r="F71" s="835"/>
      <c r="G71" s="835"/>
      <c r="H71" s="835"/>
      <c r="I71" s="835"/>
      <c r="J71" s="835"/>
      <c r="K71" s="835"/>
      <c r="L71" s="835"/>
      <c r="M71" s="835"/>
      <c r="N71" s="835"/>
      <c r="O71" s="835"/>
      <c r="P71" s="835"/>
      <c r="Q71" s="835"/>
      <c r="R71" s="836"/>
    </row>
    <row r="72" spans="2:18" ht="16" thickBot="1" x14ac:dyDescent="0.4">
      <c r="B72" s="822"/>
      <c r="C72" s="823"/>
      <c r="D72" s="823"/>
      <c r="E72" s="823"/>
      <c r="F72" s="823"/>
      <c r="G72" s="823"/>
      <c r="H72" s="823"/>
      <c r="I72" s="823"/>
      <c r="J72" s="823"/>
      <c r="K72" s="823"/>
      <c r="L72" s="823"/>
      <c r="M72" s="823"/>
      <c r="N72" s="823"/>
      <c r="O72" s="823"/>
      <c r="P72" s="823"/>
      <c r="Q72" s="823"/>
      <c r="R72" s="824"/>
    </row>
  </sheetData>
  <sheetProtection algorithmName="SHA-512" hashValue="B/yHy7FuC4p5Y9dioAzuRAeraLALrZkLvFHFo/wZBKLrtJ/ocVqLoACvdcMSgdLuIAICXgzeDYu5sAGc9xjZxQ==" saltValue="Dx1UJ9gDPJ73Pv3BE7dKHQ==" spinCount="100000" sheet="1" objects="1" scenarios="1"/>
  <mergeCells count="17">
    <mergeCell ref="B2:R2"/>
    <mergeCell ref="C29:R30"/>
    <mergeCell ref="C36:R37"/>
    <mergeCell ref="C6:R6"/>
    <mergeCell ref="C9:L9"/>
    <mergeCell ref="C8:R8"/>
    <mergeCell ref="G7:I7"/>
    <mergeCell ref="K7:M7"/>
    <mergeCell ref="O7:Q7"/>
    <mergeCell ref="C10:Q11"/>
    <mergeCell ref="C7:F7"/>
    <mergeCell ref="B49:R49"/>
    <mergeCell ref="C3:O3"/>
    <mergeCell ref="C43:R44"/>
    <mergeCell ref="B72:R72"/>
    <mergeCell ref="B52:R71"/>
    <mergeCell ref="C17:R18"/>
  </mergeCells>
  <dataValidations count="1">
    <dataValidation type="custom" allowBlank="1" showInputMessage="1" showErrorMessage="1" sqref="R9:R11 C9:Q9" xr:uid="{10DD5618-06EE-4507-9CD6-F2E3D37CE9B3}">
      <formula1>"&lt;0&gt;0"</formula1>
    </dataValidation>
  </dataValidations>
  <hyperlinks>
    <hyperlink ref="C7" r:id="rId1" xr:uid="{23E04996-A3AE-4CC6-8094-A59D6513BD44}"/>
  </hyperlinks>
  <pageMargins left="0.70866141732283472" right="0.70866141732283472" top="0.74803149606299213" bottom="0.74803149606299213" header="0.31496062992125984" footer="0.31496062992125984"/>
  <pageSetup paperSize="9" scale="55" orientation="portrait" horizontalDpi="4294967293" r:id="rId2"/>
  <customProperties>
    <customPr name="GUID" r:id="rId3"/>
  </customPropertie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2DAE76"/>
    <pageSetUpPr fitToPage="1"/>
  </sheetPr>
  <dimension ref="A1:BR140"/>
  <sheetViews>
    <sheetView showGridLines="0" zoomScale="89" zoomScaleNormal="89" zoomScaleSheetLayoutView="80" workbookViewId="0">
      <selection activeCell="H15" sqref="H15"/>
    </sheetView>
  </sheetViews>
  <sheetFormatPr defaultColWidth="9.1796875" defaultRowHeight="13" x14ac:dyDescent="0.3"/>
  <cols>
    <col min="1" max="1" width="4.453125" style="732" customWidth="1"/>
    <col min="2" max="2" width="21.81640625" style="733" customWidth="1"/>
    <col min="3" max="3" width="16.1796875" style="733" customWidth="1"/>
    <col min="4" max="4" width="15.54296875" style="734" customWidth="1"/>
    <col min="5" max="5" width="12.1796875" style="735" customWidth="1"/>
    <col min="6" max="6" width="23.7265625" style="735" customWidth="1"/>
    <col min="7" max="7" width="11.453125" style="735" customWidth="1"/>
    <col min="8" max="8" width="19.453125" style="736" customWidth="1"/>
    <col min="9" max="9" width="16" style="736" customWidth="1"/>
    <col min="10" max="10" width="21.54296875" style="736" customWidth="1"/>
    <col min="11" max="11" width="18.1796875" style="737" customWidth="1"/>
    <col min="12" max="12" width="19" style="737" customWidth="1"/>
    <col min="13" max="13" width="15.54296875" style="738" customWidth="1"/>
    <col min="14" max="14" width="16.453125" style="738" customWidth="1"/>
    <col min="15" max="15" width="18.453125" style="731" customWidth="1"/>
    <col min="16" max="17" width="15.54296875" style="731" customWidth="1"/>
    <col min="18" max="18" width="13.453125" style="732" hidden="1" customWidth="1"/>
    <col min="19" max="19" width="20.26953125" style="731" customWidth="1"/>
    <col min="20" max="20" width="3.54296875" style="731" hidden="1" customWidth="1"/>
    <col min="21" max="21" width="15.54296875" style="731" customWidth="1"/>
    <col min="22" max="22" width="20.1796875" style="731" customWidth="1"/>
    <col min="23" max="23" width="9.1796875" style="731" hidden="1" customWidth="1"/>
    <col min="24" max="24" width="13.54296875" style="731" hidden="1" customWidth="1"/>
    <col min="25" max="25" width="17.54296875" style="731" hidden="1" customWidth="1"/>
    <col min="26" max="26" width="6.453125" style="731" hidden="1" customWidth="1"/>
    <col min="27" max="27" width="9.1796875" style="731" hidden="1" customWidth="1"/>
    <col min="28" max="28" width="5.54296875" style="731" hidden="1" customWidth="1"/>
    <col min="29" max="32" width="16" style="731" hidden="1" customWidth="1"/>
    <col min="33" max="36" width="15.54296875" style="731" hidden="1" customWidth="1"/>
    <col min="37" max="37" width="17.453125" style="731" hidden="1" customWidth="1"/>
    <col min="38" max="38" width="21.453125" style="731" hidden="1" customWidth="1"/>
    <col min="39" max="43" width="9.1796875" style="731" hidden="1" customWidth="1"/>
    <col min="44" max="63" width="9.1796875" style="731" customWidth="1"/>
    <col min="64" max="16384" width="9.1796875" style="731"/>
  </cols>
  <sheetData>
    <row r="1" spans="1:43" ht="13.5" thickBot="1" x14ac:dyDescent="0.35">
      <c r="A1" s="17"/>
      <c r="B1" s="18"/>
      <c r="C1" s="18"/>
      <c r="D1" s="19"/>
      <c r="E1" s="20"/>
      <c r="F1" s="20"/>
      <c r="G1" s="20"/>
      <c r="H1" s="21"/>
      <c r="I1" s="21"/>
      <c r="J1" s="21"/>
      <c r="K1" s="22"/>
      <c r="L1" s="22"/>
      <c r="M1" s="23"/>
      <c r="N1" s="23"/>
      <c r="O1" s="24"/>
      <c r="P1" s="24"/>
      <c r="Q1" s="24"/>
      <c r="R1" s="17" t="s">
        <v>20</v>
      </c>
      <c r="S1" s="24"/>
      <c r="T1" s="24" t="s">
        <v>21</v>
      </c>
      <c r="U1" s="24"/>
      <c r="V1" s="24"/>
      <c r="W1" s="24"/>
      <c r="X1" s="24"/>
      <c r="Y1" s="24"/>
      <c r="Z1" s="24"/>
      <c r="AA1" s="24"/>
      <c r="AB1" s="24"/>
      <c r="AC1" s="24"/>
      <c r="AD1" s="24"/>
      <c r="AE1" s="24"/>
      <c r="AF1" s="24"/>
      <c r="AG1" s="24"/>
      <c r="AH1" s="24"/>
      <c r="AI1" s="24"/>
      <c r="AJ1" s="24"/>
      <c r="AK1" s="24"/>
      <c r="AL1" s="24"/>
      <c r="AM1" s="24"/>
      <c r="AN1" s="24"/>
      <c r="AO1" s="24"/>
      <c r="AP1" s="24"/>
      <c r="AQ1" s="24"/>
    </row>
    <row r="2" spans="1:43" ht="13.5" customHeight="1" thickBot="1" x14ac:dyDescent="0.35">
      <c r="A2" s="486"/>
      <c r="B2" s="487"/>
      <c r="C2" s="487"/>
      <c r="D2" s="488"/>
      <c r="E2" s="489"/>
      <c r="F2" s="489"/>
      <c r="G2" s="489"/>
      <c r="H2" s="490"/>
      <c r="I2" s="490"/>
      <c r="J2" s="490"/>
      <c r="K2" s="491"/>
      <c r="L2" s="491"/>
      <c r="M2" s="492"/>
      <c r="N2" s="492"/>
      <c r="O2" s="493"/>
      <c r="P2" s="493"/>
      <c r="Q2" s="493"/>
      <c r="R2" s="494"/>
      <c r="S2" s="493"/>
      <c r="T2" s="493"/>
      <c r="U2" s="493"/>
      <c r="V2" s="495"/>
      <c r="W2" s="24"/>
      <c r="X2" s="24"/>
      <c r="Y2" s="24"/>
      <c r="Z2" s="24"/>
      <c r="AA2" s="24"/>
      <c r="AB2" s="24"/>
      <c r="AC2" s="24"/>
      <c r="AD2" s="24"/>
      <c r="AE2" s="24"/>
      <c r="AF2" s="24"/>
      <c r="AG2" s="24"/>
      <c r="AH2" s="24"/>
      <c r="AI2" s="24"/>
      <c r="AJ2" s="24"/>
      <c r="AK2" s="24"/>
      <c r="AL2" s="24"/>
      <c r="AM2" s="24"/>
      <c r="AN2" s="24"/>
      <c r="AO2" s="24"/>
      <c r="AP2" s="24"/>
      <c r="AQ2" s="24" t="s">
        <v>22</v>
      </c>
    </row>
    <row r="3" spans="1:43" ht="26.25" customHeight="1" x14ac:dyDescent="0.35">
      <c r="A3" s="496"/>
      <c r="B3" s="871" t="s">
        <v>23</v>
      </c>
      <c r="C3" s="872"/>
      <c r="D3" s="869"/>
      <c r="E3" s="869"/>
      <c r="F3" s="869"/>
      <c r="G3" s="870"/>
      <c r="H3" s="497"/>
      <c r="I3" s="498"/>
      <c r="J3" s="499" t="s">
        <v>24</v>
      </c>
      <c r="K3" s="498"/>
      <c r="L3" s="500"/>
      <c r="M3" s="501"/>
      <c r="N3" s="122" t="s">
        <v>25</v>
      </c>
      <c r="O3" s="123"/>
      <c r="P3" s="502"/>
      <c r="Q3" s="503"/>
      <c r="R3" s="504" t="str">
        <f>IF($D$4="Recycling Fund","Client Additional Fund:","")</f>
        <v/>
      </c>
      <c r="S3" s="505"/>
      <c r="T3" s="505"/>
      <c r="U3" s="875"/>
      <c r="V3" s="876"/>
      <c r="W3" s="11"/>
      <c r="X3" s="11"/>
      <c r="Y3" s="24"/>
      <c r="Z3" s="24"/>
      <c r="AA3" s="24"/>
      <c r="AB3" s="24"/>
      <c r="AC3" s="24"/>
      <c r="AD3" s="24"/>
      <c r="AE3" s="24"/>
      <c r="AF3" s="24"/>
      <c r="AG3" s="24"/>
      <c r="AH3" s="24"/>
      <c r="AI3" s="24"/>
      <c r="AJ3" s="24"/>
      <c r="AK3" s="24"/>
      <c r="AL3" s="24"/>
      <c r="AM3" s="24"/>
      <c r="AN3" s="24"/>
      <c r="AO3" s="24"/>
      <c r="AP3" s="24"/>
      <c r="AQ3" s="24" t="s">
        <v>22</v>
      </c>
    </row>
    <row r="4" spans="1:43" ht="26.25" customHeight="1" thickBot="1" x14ac:dyDescent="0.4">
      <c r="A4" s="506"/>
      <c r="B4" s="848" t="s">
        <v>26</v>
      </c>
      <c r="C4" s="849"/>
      <c r="D4" s="854"/>
      <c r="E4" s="854" t="s">
        <v>28</v>
      </c>
      <c r="F4" s="854" t="s">
        <v>28</v>
      </c>
      <c r="G4" s="855" t="s">
        <v>28</v>
      </c>
      <c r="H4" s="507"/>
      <c r="I4" s="498"/>
      <c r="J4" s="508" t="s">
        <v>29</v>
      </c>
      <c r="K4" s="356"/>
      <c r="L4" s="500"/>
      <c r="M4" s="501"/>
      <c r="N4" s="102" t="s">
        <v>30</v>
      </c>
      <c r="O4" s="475" t="str">
        <f>IF($D$4="","",'Extra look-up'!F76&amp;" o flynyddoedd")</f>
        <v/>
      </c>
      <c r="P4" s="509"/>
      <c r="Q4" s="336"/>
      <c r="R4" s="510" t="str">
        <f>IF($D$4="Recycling Fund","10 years","")</f>
        <v/>
      </c>
      <c r="S4" s="505"/>
      <c r="T4" s="505"/>
      <c r="U4" s="875"/>
      <c r="V4" s="876"/>
      <c r="W4" s="11"/>
      <c r="X4" s="11"/>
      <c r="Y4" s="24"/>
      <c r="Z4" s="24"/>
      <c r="AA4" s="24"/>
      <c r="AB4" s="24"/>
      <c r="AC4" s="24"/>
      <c r="AD4" s="24"/>
      <c r="AE4" s="24"/>
      <c r="AF4" s="24"/>
      <c r="AG4" s="24"/>
      <c r="AH4" s="24"/>
      <c r="AI4" s="24"/>
      <c r="AJ4" s="24"/>
      <c r="AK4" s="24"/>
      <c r="AL4" s="24"/>
      <c r="AM4" s="24"/>
      <c r="AN4" s="24"/>
      <c r="AO4" s="24"/>
      <c r="AP4" s="24"/>
      <c r="AQ4" s="24" t="s">
        <v>22</v>
      </c>
    </row>
    <row r="5" spans="1:43" ht="26.25" customHeight="1" x14ac:dyDescent="0.35">
      <c r="A5" s="506"/>
      <c r="B5" s="511"/>
      <c r="C5" s="511"/>
      <c r="D5" s="511"/>
      <c r="E5" s="511"/>
      <c r="F5" s="511"/>
      <c r="G5" s="511"/>
      <c r="H5" s="507"/>
      <c r="I5" s="511"/>
      <c r="J5" s="357" t="str">
        <f ca="1">"© Salix Finance "&amp;YEAR(NOW())</f>
        <v>© Salix Finance 2024</v>
      </c>
      <c r="K5" s="511"/>
      <c r="L5" s="500"/>
      <c r="M5" s="501"/>
      <c r="N5" s="102" t="s">
        <v>31</v>
      </c>
      <c r="O5" s="103" t="str">
        <f>IF($D$4="","","£"&amp;'Extra look-up'!G76)</f>
        <v/>
      </c>
      <c r="P5" s="509"/>
      <c r="Q5" s="336"/>
      <c r="R5" s="510" t="str">
        <f>IF($D$4="Recycling Fund","£400","")</f>
        <v/>
      </c>
      <c r="S5" s="505"/>
      <c r="T5" s="505"/>
      <c r="U5" s="875"/>
      <c r="V5" s="876"/>
      <c r="W5" s="11"/>
      <c r="X5" s="11"/>
      <c r="Y5" s="24"/>
      <c r="Z5" s="24"/>
      <c r="AA5" s="24"/>
      <c r="AB5" s="24"/>
      <c r="AC5" s="24"/>
      <c r="AD5" s="24"/>
      <c r="AE5" s="24"/>
      <c r="AF5" s="24"/>
      <c r="AG5" s="24"/>
      <c r="AH5" s="24"/>
      <c r="AI5" s="24"/>
      <c r="AJ5" s="24"/>
      <c r="AK5" s="24"/>
      <c r="AL5" s="24"/>
      <c r="AM5" s="24"/>
      <c r="AN5" s="24"/>
      <c r="AO5" s="24"/>
      <c r="AP5" s="24"/>
      <c r="AQ5" s="24" t="s">
        <v>22</v>
      </c>
    </row>
    <row r="6" spans="1:43" ht="26.25" customHeight="1" x14ac:dyDescent="0.35">
      <c r="A6" s="512"/>
      <c r="B6" s="511"/>
      <c r="C6" s="511"/>
      <c r="D6" s="511"/>
      <c r="E6" s="511"/>
      <c r="F6" s="511"/>
      <c r="G6" s="511"/>
      <c r="H6" s="856"/>
      <c r="I6" s="856"/>
      <c r="J6" s="333"/>
      <c r="K6" s="505"/>
      <c r="L6" s="500"/>
      <c r="M6" s="501"/>
      <c r="N6" s="852" t="str">
        <f>IF(OR(O12&gt;=100000,O13&gt;=100000,O14&gt;=100000,O15&gt;=100000,O16&gt;=100000,O17&gt;=100000,O18&gt;=100000,O19&gt;=100000,O20&gt;=100000,O61&gt;=100000),"Please Complete Business Case Information in next tab","")</f>
        <v/>
      </c>
      <c r="O6" s="852"/>
      <c r="P6" s="505"/>
      <c r="Q6" s="505"/>
      <c r="R6" s="505"/>
      <c r="S6" s="505"/>
      <c r="T6" s="505"/>
      <c r="U6" s="875"/>
      <c r="V6" s="876"/>
      <c r="W6" s="11"/>
      <c r="X6" s="11"/>
      <c r="Y6" s="24"/>
      <c r="Z6" s="24"/>
      <c r="AA6" s="24"/>
      <c r="AB6" s="24"/>
      <c r="AC6" s="24"/>
      <c r="AD6" s="24"/>
      <c r="AE6" s="24"/>
      <c r="AF6" s="24"/>
      <c r="AG6" s="24"/>
      <c r="AH6" s="24"/>
      <c r="AI6" s="24"/>
      <c r="AJ6" s="24"/>
      <c r="AK6" s="24"/>
      <c r="AL6" s="24"/>
      <c r="AM6" s="24"/>
      <c r="AN6" s="24"/>
      <c r="AO6" s="24"/>
      <c r="AP6" s="24"/>
      <c r="AQ6" s="24" t="s">
        <v>22</v>
      </c>
    </row>
    <row r="7" spans="1:43" ht="14.25" customHeight="1" thickBot="1" x14ac:dyDescent="0.35">
      <c r="A7" s="513"/>
      <c r="B7" s="483"/>
      <c r="C7" s="351"/>
      <c r="D7" s="352"/>
      <c r="E7" s="353"/>
      <c r="F7" s="353"/>
      <c r="G7" s="353"/>
      <c r="H7" s="354"/>
      <c r="I7" s="355"/>
      <c r="J7" s="355"/>
      <c r="K7" s="358"/>
      <c r="L7" s="359"/>
      <c r="M7" s="501"/>
      <c r="N7" s="853"/>
      <c r="O7" s="853"/>
      <c r="P7" s="505"/>
      <c r="Q7" s="505"/>
      <c r="R7" s="505"/>
      <c r="S7" s="505"/>
      <c r="T7" s="505"/>
      <c r="U7" s="875"/>
      <c r="V7" s="876"/>
      <c r="W7" s="11"/>
      <c r="X7" s="11"/>
      <c r="Y7" s="24"/>
      <c r="Z7" s="24"/>
      <c r="AA7" s="24"/>
      <c r="AB7" s="24"/>
      <c r="AC7" s="24"/>
      <c r="AD7" s="24"/>
      <c r="AE7" s="24"/>
      <c r="AF7" s="24"/>
      <c r="AG7" s="24"/>
      <c r="AH7" s="24"/>
      <c r="AI7" s="24"/>
      <c r="AJ7" s="24"/>
      <c r="AK7" s="24"/>
      <c r="AL7" s="24"/>
      <c r="AM7" s="24"/>
      <c r="AN7" s="24"/>
      <c r="AO7" s="24"/>
      <c r="AP7" s="24"/>
      <c r="AQ7" s="24" t="s">
        <v>22</v>
      </c>
    </row>
    <row r="8" spans="1:43" s="741" customFormat="1" ht="80.5" customHeight="1" thickBot="1" x14ac:dyDescent="0.4">
      <c r="A8" s="514"/>
      <c r="B8" s="128" t="s">
        <v>32</v>
      </c>
      <c r="C8" s="160" t="s">
        <v>33</v>
      </c>
      <c r="D8" s="530" t="s">
        <v>34</v>
      </c>
      <c r="E8" s="125" t="s">
        <v>35</v>
      </c>
      <c r="F8" s="529" t="s">
        <v>36</v>
      </c>
      <c r="G8" s="850" t="s">
        <v>37</v>
      </c>
      <c r="H8" s="867"/>
      <c r="I8" s="867"/>
      <c r="J8" s="867"/>
      <c r="K8" s="868"/>
      <c r="L8" s="882" t="s">
        <v>38</v>
      </c>
      <c r="M8" s="868"/>
      <c r="N8" s="360"/>
      <c r="O8" s="505"/>
      <c r="P8" s="505"/>
      <c r="Q8" s="515"/>
      <c r="R8" s="515"/>
      <c r="S8" s="515"/>
      <c r="T8" s="515"/>
      <c r="U8" s="515"/>
      <c r="V8" s="516"/>
      <c r="W8" s="6"/>
      <c r="X8" s="6"/>
      <c r="Y8" s="6"/>
      <c r="Z8" s="5"/>
      <c r="AA8" s="5"/>
      <c r="AB8" s="6"/>
      <c r="AC8" s="6"/>
      <c r="AD8" s="6"/>
      <c r="AE8" s="6"/>
      <c r="AF8" s="6"/>
      <c r="AG8" s="6"/>
      <c r="AH8" s="6"/>
      <c r="AI8" s="6"/>
      <c r="AJ8" s="6"/>
      <c r="AK8" s="6"/>
      <c r="AL8" s="6"/>
      <c r="AM8" s="6"/>
      <c r="AN8" s="6"/>
      <c r="AO8" s="6"/>
      <c r="AP8" s="6"/>
      <c r="AQ8" s="24" t="s">
        <v>22</v>
      </c>
    </row>
    <row r="9" spans="1:43" s="741" customFormat="1" ht="43.5" customHeight="1" x14ac:dyDescent="0.35">
      <c r="A9" s="514"/>
      <c r="B9" s="484"/>
      <c r="C9" s="482"/>
      <c r="D9" s="240"/>
      <c r="E9" s="241"/>
      <c r="F9" s="242"/>
      <c r="G9" s="877"/>
      <c r="H9" s="878"/>
      <c r="I9" s="878"/>
      <c r="J9" s="878"/>
      <c r="K9" s="879"/>
      <c r="L9" s="880" t="str">
        <f>IF(AND(C9="",D9="",E9="",F9="",G9=""),"",IF($F$9="","Nodwch Oes y Safle","OK"))</f>
        <v/>
      </c>
      <c r="M9" s="881"/>
      <c r="N9" s="239"/>
      <c r="O9" s="505"/>
      <c r="P9" s="505"/>
      <c r="Q9" s="515"/>
      <c r="R9" s="515"/>
      <c r="S9" s="515"/>
      <c r="T9" s="515"/>
      <c r="U9" s="515"/>
      <c r="V9" s="516"/>
      <c r="W9" s="6"/>
      <c r="X9" s="6"/>
      <c r="Y9" s="6"/>
      <c r="Z9" s="5"/>
      <c r="AA9" s="5"/>
      <c r="AB9" s="6"/>
      <c r="AC9" s="6"/>
      <c r="AD9" s="6"/>
      <c r="AE9" s="6"/>
      <c r="AF9" s="6"/>
      <c r="AG9" s="6"/>
      <c r="AH9" s="6"/>
      <c r="AI9" s="6"/>
      <c r="AJ9" s="6"/>
      <c r="AK9" s="6"/>
      <c r="AL9" s="6"/>
      <c r="AM9" s="6"/>
      <c r="AN9" s="6"/>
      <c r="AO9" s="6"/>
      <c r="AP9" s="6"/>
      <c r="AQ9" s="24" t="s">
        <v>22</v>
      </c>
    </row>
    <row r="10" spans="1:43" s="741" customFormat="1" ht="15" customHeight="1" thickBot="1" x14ac:dyDescent="0.35">
      <c r="A10" s="517"/>
      <c r="B10" s="873"/>
      <c r="C10" s="873"/>
      <c r="D10" s="873"/>
      <c r="E10" s="873"/>
      <c r="F10" s="873"/>
      <c r="G10" s="873"/>
      <c r="H10" s="873"/>
      <c r="I10" s="873"/>
      <c r="J10" s="873"/>
      <c r="K10" s="873"/>
      <c r="L10" s="873"/>
      <c r="M10" s="873"/>
      <c r="N10" s="873"/>
      <c r="O10" s="873"/>
      <c r="P10" s="873"/>
      <c r="Q10" s="873"/>
      <c r="R10" s="873"/>
      <c r="S10" s="873"/>
      <c r="T10" s="873"/>
      <c r="U10" s="873"/>
      <c r="V10" s="874"/>
      <c r="W10" s="6"/>
      <c r="X10" s="6"/>
      <c r="Y10" s="5"/>
      <c r="Z10" s="5"/>
      <c r="AA10" s="6"/>
      <c r="AB10" s="6"/>
      <c r="AC10" s="6"/>
      <c r="AD10" s="6"/>
      <c r="AE10" s="6"/>
      <c r="AF10" s="6"/>
      <c r="AG10" s="6"/>
      <c r="AH10" s="6"/>
      <c r="AI10" s="6"/>
      <c r="AJ10" s="6"/>
      <c r="AK10" s="6"/>
      <c r="AL10" s="6"/>
      <c r="AM10" s="6"/>
      <c r="AN10" s="6"/>
      <c r="AO10" s="6"/>
      <c r="AP10" s="25"/>
      <c r="AQ10" s="24" t="s">
        <v>22</v>
      </c>
    </row>
    <row r="11" spans="1:43" s="741" customFormat="1" ht="60.75" customHeight="1" thickBot="1" x14ac:dyDescent="0.35">
      <c r="A11" s="485"/>
      <c r="B11" s="334" t="s">
        <v>39</v>
      </c>
      <c r="C11" s="531" t="s">
        <v>40</v>
      </c>
      <c r="D11" s="124" t="s">
        <v>41</v>
      </c>
      <c r="E11" s="126" t="s">
        <v>42</v>
      </c>
      <c r="F11" s="127" t="s">
        <v>43</v>
      </c>
      <c r="G11" s="128" t="s">
        <v>44</v>
      </c>
      <c r="H11" s="335" t="s">
        <v>45</v>
      </c>
      <c r="I11" s="850" t="s">
        <v>46</v>
      </c>
      <c r="J11" s="851"/>
      <c r="K11" s="126" t="s">
        <v>47</v>
      </c>
      <c r="L11" s="129" t="s">
        <v>48</v>
      </c>
      <c r="M11" s="237" t="s">
        <v>49</v>
      </c>
      <c r="N11" s="238" t="s">
        <v>50</v>
      </c>
      <c r="O11" s="130" t="s">
        <v>51</v>
      </c>
      <c r="P11" s="221" t="s">
        <v>52</v>
      </c>
      <c r="Q11" s="124" t="s">
        <v>53</v>
      </c>
      <c r="R11" s="124" t="s">
        <v>54</v>
      </c>
      <c r="S11" s="131" t="s">
        <v>55</v>
      </c>
      <c r="T11" s="124" t="s">
        <v>56</v>
      </c>
      <c r="U11" s="132" t="s">
        <v>57</v>
      </c>
      <c r="V11" s="551" t="s">
        <v>38</v>
      </c>
      <c r="W11" s="526" t="s">
        <v>58</v>
      </c>
      <c r="X11" s="525" t="s">
        <v>59</v>
      </c>
      <c r="Y11" s="527" t="s">
        <v>60</v>
      </c>
      <c r="Z11" s="518"/>
      <c r="AA11" s="518"/>
      <c r="AB11" s="518" t="s">
        <v>61</v>
      </c>
      <c r="AC11" s="534" t="s">
        <v>62</v>
      </c>
      <c r="AD11" s="538" t="s">
        <v>63</v>
      </c>
      <c r="AE11" s="6"/>
      <c r="AF11" s="6"/>
      <c r="AG11" s="9"/>
      <c r="AH11" s="9"/>
      <c r="AI11" s="9"/>
      <c r="AJ11" s="33" t="s">
        <v>59</v>
      </c>
      <c r="AK11" s="33" t="s">
        <v>64</v>
      </c>
      <c r="AL11" s="26"/>
      <c r="AM11" s="7"/>
      <c r="AN11" s="25"/>
      <c r="AO11" s="25"/>
      <c r="AP11" s="6"/>
      <c r="AQ11" s="24" t="s">
        <v>22</v>
      </c>
    </row>
    <row r="12" spans="1:43" s="741" customFormat="1" ht="34" customHeight="1" x14ac:dyDescent="0.3">
      <c r="A12" s="157">
        <v>1</v>
      </c>
      <c r="B12" s="104"/>
      <c r="C12" s="105"/>
      <c r="D12" s="106"/>
      <c r="E12" s="107"/>
      <c r="F12" s="108"/>
      <c r="G12" s="133" t="str">
        <f t="shared" ref="G12:G43" si="0">IFERROR(((F12/E12)^(1/X12))-1,"")</f>
        <v/>
      </c>
      <c r="H12" s="328"/>
      <c r="I12" s="846"/>
      <c r="J12" s="847" t="s">
        <v>68</v>
      </c>
      <c r="K12" s="109"/>
      <c r="L12" s="110"/>
      <c r="M12" s="134" t="str">
        <f>IF(K12="","",K12-L12)</f>
        <v/>
      </c>
      <c r="N12" s="135">
        <f>IFERROR(M12/K12,0)</f>
        <v>0</v>
      </c>
      <c r="O12" s="111"/>
      <c r="P12" s="140" t="str">
        <f t="shared" ref="P12:P43" si="1">IF(OR(F12="",M12=""),"",M12*F12/100)</f>
        <v/>
      </c>
      <c r="Q12" s="141" t="str">
        <f t="shared" ref="Q12:Q61" si="2">IF(OR(P12&lt;=0,P12=""),"",O12/P12)</f>
        <v/>
      </c>
      <c r="R12" s="142" t="str">
        <f t="shared" ref="R12:R43" si="3">IFERROR(IF(D12="Electricity",AD12,HLOOKUP(D12,$AH$100:$AQ$140,2,FALSE)),"")</f>
        <v/>
      </c>
      <c r="S12" s="143" t="str">
        <f>IF(OR(D12="",M12="",R12=""),"",M12*R12/1000)</f>
        <v/>
      </c>
      <c r="T12" s="143" t="str">
        <f>IF(S12="","",W12*S12)</f>
        <v/>
      </c>
      <c r="U12" s="144" t="str">
        <f>IF(ISERROR(O12/T12),"",O12/T12)</f>
        <v/>
      </c>
      <c r="V12" s="552" t="str">
        <f ca="1">IF('Extra look-up'!$H6="Math o Waith","Gwiriwch Math o Waith",IF(AND(D12="",F12="",H12="",I12="",L12="",M12=""),"",IF(OR(D12="",F12="",H12="",I12="",L12="",M12="",$L$9&lt;&gt;"OK"),"Gwiriwch bod yr holl feysydd wedi eu llenwi'n gywir",IF(AND(D12="",OR(F12&lt;&gt;"",H12&lt;&gt;"",I12&lt;&gt;"",L12&lt;&gt;"")),"Gwiriwch bod yr holl feysydd wedi eu llenwi'n gywir","OK"))))</f>
        <v/>
      </c>
      <c r="W12" s="519" t="str">
        <f>IF(I12="","",IF(VLOOKUP(I12,'Eligible Technologies'!$D$7:$G$69,4,FALSE)&lt;$F$9,VLOOKUP(I12,'Eligible Technologies'!$D$7:$G$69,4,FALSE),$F$9))</f>
        <v/>
      </c>
      <c r="X12" s="520" t="str">
        <f>IF(Q12="","",ROUNDUP($Q$65,0))</f>
        <v/>
      </c>
      <c r="Y12" s="520">
        <f ca="1">IF(V12="",0,1)</f>
        <v>0</v>
      </c>
      <c r="Z12" s="520" t="str">
        <f>'Extra look-up'!F6</f>
        <v/>
      </c>
      <c r="AA12" s="520" t="str">
        <f ca="1">'Extra look-up'!H6</f>
        <v>OK</v>
      </c>
      <c r="AB12" s="520">
        <f ca="1">IF(AND(V12&lt;&gt;"OK",V12&lt;&gt;""),51,1)</f>
        <v>1</v>
      </c>
      <c r="AC12" s="535" t="e">
        <f>ROUNDUP(W12,0)+100</f>
        <v>#VALUE!</v>
      </c>
      <c r="AD12" s="539" t="str">
        <f ca="1">IFERROR(AVERAGE($AH$101:INDIRECT(CONCATENATE("AH"&amp;AC12))),"")</f>
        <v/>
      </c>
      <c r="AE12" s="532"/>
      <c r="AF12" s="532"/>
      <c r="AG12" s="9"/>
      <c r="AH12" s="9"/>
      <c r="AI12" s="9"/>
      <c r="AJ12" s="33" t="str">
        <f>IF(OR($D$5="Higher Education Institute",$D$4="Scotland",$D$4="Wales",$D$4="Northern Ireland"),8,IF(OR($D$5="Local Authority",$D$5="NHS",$D$5="Emergency Services",$D$5="Maintained School (Local Authority)"),10,""))</f>
        <v/>
      </c>
      <c r="AK12" s="33" t="str">
        <f>IF($D$4="Scotland",250,IF($D$4="Northern Ireland",200,IF(OR($D$4="Wales",$D$5="Higher Education Institute"),275,IF(OR($D$5="Local Authority",$D$5="NHS",$D$5="Emergency Services",$D$5="Maintained School (Local Authority)"),344,""))))</f>
        <v/>
      </c>
      <c r="AL12" s="8"/>
      <c r="AM12" s="6"/>
      <c r="AN12" s="25"/>
      <c r="AO12" s="25"/>
      <c r="AP12" s="6"/>
      <c r="AQ12" s="24" t="s">
        <v>22</v>
      </c>
    </row>
    <row r="13" spans="1:43" s="741" customFormat="1" ht="34" customHeight="1" x14ac:dyDescent="0.3">
      <c r="A13" s="158">
        <v>2</v>
      </c>
      <c r="B13" s="104"/>
      <c r="C13" s="113"/>
      <c r="D13" s="106"/>
      <c r="E13" s="107"/>
      <c r="F13" s="108"/>
      <c r="G13" s="133" t="str">
        <f t="shared" si="0"/>
        <v/>
      </c>
      <c r="H13" s="328"/>
      <c r="I13" s="846"/>
      <c r="J13" s="847" t="s">
        <v>69</v>
      </c>
      <c r="K13" s="109"/>
      <c r="L13" s="110"/>
      <c r="M13" s="136" t="str">
        <f t="shared" ref="M13:M61" si="4">IF(K13="","",K13-L13)</f>
        <v/>
      </c>
      <c r="N13" s="137">
        <f t="shared" ref="N13:N61" si="5">IFERROR(M13/K13,0)</f>
        <v>0</v>
      </c>
      <c r="O13" s="111"/>
      <c r="P13" s="145" t="str">
        <f t="shared" si="1"/>
        <v/>
      </c>
      <c r="Q13" s="146" t="str">
        <f t="shared" si="2"/>
        <v/>
      </c>
      <c r="R13" s="545" t="str">
        <f t="shared" si="3"/>
        <v/>
      </c>
      <c r="S13" s="147" t="str">
        <f t="shared" ref="S13:S43" si="6">IF(OR(D13="",M13="",R13=""),"",M13*R13/1000)</f>
        <v/>
      </c>
      <c r="T13" s="147" t="str">
        <f t="shared" ref="T13:T61" si="7">IF(S13="","",W13*S13)</f>
        <v/>
      </c>
      <c r="U13" s="148" t="str">
        <f t="shared" ref="U13:U61" si="8">IF(ISERROR(O13/T13),"",O13/T13)</f>
        <v/>
      </c>
      <c r="V13" s="552" t="str">
        <f ca="1">IF('Extra look-up'!$H7="Math o Waith","Gwiriwch Math o Waith",IF(AND(D13="",F13="",H13="",I13="",L13="",M13=""),"",IF(OR(D13="",F13="",H13="",I13="",L13="",M13="",$L$9&lt;&gt;"OK"),"Gwiriwch bod yr holl feysydd wedi eu llenwi'n gywir",IF(AND(D13="",OR(F13&lt;&gt;"",H13&lt;&gt;"",I13&lt;&gt;"",L13&lt;&gt;"")),"Gwiriwch bod yr holl feysydd wedi eu llenwi'n gywir","OK"))))</f>
        <v/>
      </c>
      <c r="W13" s="521" t="str">
        <f>IF(I13="","",IF(VLOOKUP(I13,'Eligible Technologies'!$D$7:$G$69,4,FALSE)&lt;$F$9,VLOOKUP(I13,'Eligible Technologies'!$D$7:$G$69,4,FALSE),$F$9))</f>
        <v/>
      </c>
      <c r="X13" s="522" t="str">
        <f t="shared" ref="X13:X17" si="9">IF(Q13="","",ROUNDUP($Q$65,0))</f>
        <v/>
      </c>
      <c r="Y13" s="522">
        <f t="shared" ref="Y13:Y61" ca="1" si="10">IF(V13="",0,1)</f>
        <v>0</v>
      </c>
      <c r="Z13" s="522" t="str">
        <f>'Extra look-up'!F7</f>
        <v/>
      </c>
      <c r="AA13" s="522" t="str">
        <f ca="1">'Extra look-up'!H7</f>
        <v>OK</v>
      </c>
      <c r="AB13" s="522">
        <f ca="1">IF(AND(V13&lt;&gt;"OK",V13&lt;&gt;""),51,1)</f>
        <v>1</v>
      </c>
      <c r="AC13" s="536" t="e">
        <f>ROUNDUP(W13,0)+100</f>
        <v>#VALUE!</v>
      </c>
      <c r="AD13" s="539" t="str">
        <f ca="1">IFERROR(AVERAGE($AH$101:INDIRECT(CONCATENATE("AH"&amp;AC13))),"")</f>
        <v/>
      </c>
      <c r="AE13" s="533"/>
      <c r="AF13" s="533"/>
      <c r="AG13" s="9"/>
      <c r="AH13" s="9"/>
      <c r="AI13" s="9"/>
      <c r="AJ13" s="9"/>
      <c r="AK13" s="9"/>
      <c r="AL13" s="9"/>
      <c r="AM13" s="6"/>
      <c r="AN13" s="25"/>
      <c r="AO13" s="25"/>
      <c r="AP13" s="6"/>
      <c r="AQ13" s="24" t="s">
        <v>22</v>
      </c>
    </row>
    <row r="14" spans="1:43" s="741" customFormat="1" ht="34" customHeight="1" x14ac:dyDescent="0.3">
      <c r="A14" s="158">
        <v>3</v>
      </c>
      <c r="B14" s="104"/>
      <c r="C14" s="114"/>
      <c r="D14" s="106"/>
      <c r="E14" s="107"/>
      <c r="F14" s="108"/>
      <c r="G14" s="133" t="str">
        <f t="shared" si="0"/>
        <v/>
      </c>
      <c r="H14" s="328"/>
      <c r="I14" s="846"/>
      <c r="J14" s="847" t="s">
        <v>70</v>
      </c>
      <c r="K14" s="109"/>
      <c r="L14" s="110"/>
      <c r="M14" s="136" t="str">
        <f t="shared" si="4"/>
        <v/>
      </c>
      <c r="N14" s="137">
        <f t="shared" si="5"/>
        <v>0</v>
      </c>
      <c r="O14" s="111"/>
      <c r="P14" s="145" t="str">
        <f t="shared" si="1"/>
        <v/>
      </c>
      <c r="Q14" s="146" t="str">
        <f t="shared" si="2"/>
        <v/>
      </c>
      <c r="R14" s="545" t="str">
        <f t="shared" si="3"/>
        <v/>
      </c>
      <c r="S14" s="147" t="str">
        <f t="shared" si="6"/>
        <v/>
      </c>
      <c r="T14" s="147" t="str">
        <f t="shared" si="7"/>
        <v/>
      </c>
      <c r="U14" s="148" t="str">
        <f t="shared" si="8"/>
        <v/>
      </c>
      <c r="V14" s="552" t="str">
        <f ca="1">IF('Extra look-up'!$H8="Math o Waith","Gwiriwch Math o Waith",IF(AND(D14="",F14="",H14="",I14="",L14="",M14=""),"",IF(OR(D14="",F14="",H14="",I14="",L14="",M14="",$L$9&lt;&gt;"OK"),"Gwiriwch bod yr holl feysydd wedi eu llenwi'n gywir",IF(AND(D14="",OR(F14&lt;&gt;"",H14&lt;&gt;"",I14&lt;&gt;"",L14&lt;&gt;"")),"Gwiriwch bod yr holl feysydd wedi eu llenwi'n gywir","OK"))))</f>
        <v/>
      </c>
      <c r="W14" s="521" t="str">
        <f>IF(I14="","",IF(VLOOKUP(I14,'Eligible Technologies'!$D$7:$G$69,4,FALSE)&lt;$F$9,VLOOKUP(I14,'Eligible Technologies'!$D$7:$G$69,4,FALSE),$F$9))</f>
        <v/>
      </c>
      <c r="X14" s="522" t="str">
        <f t="shared" si="9"/>
        <v/>
      </c>
      <c r="Y14" s="522">
        <f t="shared" ca="1" si="10"/>
        <v>0</v>
      </c>
      <c r="Z14" s="522" t="str">
        <f>'Extra look-up'!F8</f>
        <v/>
      </c>
      <c r="AA14" s="522" t="str">
        <f ca="1">'Extra look-up'!H8</f>
        <v>OK</v>
      </c>
      <c r="AB14" s="522">
        <f t="shared" ref="AB14:AB61" ca="1" si="11">IF(AND(V14&lt;&gt;"OK",V14&lt;&gt;""),51,1)</f>
        <v>1</v>
      </c>
      <c r="AC14" s="536" t="e">
        <f>ROUNDUP(W14,0)+100</f>
        <v>#VALUE!</v>
      </c>
      <c r="AD14" s="539" t="str">
        <f ca="1">IFERROR(AVERAGE($AH$101:INDIRECT(CONCATENATE("AH"&amp;AC14))),"")</f>
        <v/>
      </c>
      <c r="AE14" s="533"/>
      <c r="AF14" s="533"/>
      <c r="AG14" s="9"/>
      <c r="AH14" s="9"/>
      <c r="AI14" s="9"/>
      <c r="AJ14" s="9"/>
      <c r="AK14" s="9"/>
      <c r="AL14" s="9"/>
      <c r="AM14" s="6"/>
      <c r="AN14" s="6"/>
      <c r="AO14" s="6"/>
      <c r="AP14" s="6"/>
      <c r="AQ14" s="24" t="s">
        <v>22</v>
      </c>
    </row>
    <row r="15" spans="1:43" s="741" customFormat="1" ht="34" customHeight="1" x14ac:dyDescent="0.3">
      <c r="A15" s="158">
        <v>4</v>
      </c>
      <c r="B15" s="104"/>
      <c r="C15" s="112"/>
      <c r="D15" s="106"/>
      <c r="E15" s="107"/>
      <c r="F15" s="108"/>
      <c r="G15" s="133" t="str">
        <f t="shared" si="0"/>
        <v/>
      </c>
      <c r="H15" s="328"/>
      <c r="I15" s="846"/>
      <c r="J15" s="847" t="s">
        <v>70</v>
      </c>
      <c r="K15" s="109"/>
      <c r="L15" s="110"/>
      <c r="M15" s="138" t="str">
        <f t="shared" si="4"/>
        <v/>
      </c>
      <c r="N15" s="137">
        <f t="shared" si="5"/>
        <v>0</v>
      </c>
      <c r="O15" s="111"/>
      <c r="P15" s="145" t="str">
        <f t="shared" si="1"/>
        <v/>
      </c>
      <c r="Q15" s="146" t="str">
        <f t="shared" si="2"/>
        <v/>
      </c>
      <c r="R15" s="545" t="str">
        <f t="shared" si="3"/>
        <v/>
      </c>
      <c r="S15" s="147" t="str">
        <f t="shared" si="6"/>
        <v/>
      </c>
      <c r="T15" s="147" t="str">
        <f t="shared" si="7"/>
        <v/>
      </c>
      <c r="U15" s="148" t="str">
        <f t="shared" si="8"/>
        <v/>
      </c>
      <c r="V15" s="552" t="str">
        <f ca="1">IF('Extra look-up'!$H9="Math o Waith","Gwiriwch Math o Waith",IF(AND(D15="",F15="",H15="",I15="",L15="",M15=""),"",IF(OR(D15="",F15="",H15="",I15="",L15="",M15="",$L$9&lt;&gt;"OK"),"Gwiriwch bod yr holl feysydd wedi eu llenwi'n gywir",IF(AND(D15="",OR(F15&lt;&gt;"",H15&lt;&gt;"",I15&lt;&gt;"",L15&lt;&gt;"")),"Gwiriwch bod yr holl feysydd wedi eu llenwi'n gywir","OK"))))</f>
        <v/>
      </c>
      <c r="W15" s="521" t="str">
        <f>IF(I15="","",IF(VLOOKUP(I15,'Eligible Technologies'!$D$7:$G$69,4,FALSE)&lt;$F$9,VLOOKUP(I15,'Eligible Technologies'!$D$7:$G$69,4,FALSE),$F$9))</f>
        <v/>
      </c>
      <c r="X15" s="522" t="str">
        <f t="shared" si="9"/>
        <v/>
      </c>
      <c r="Y15" s="522">
        <f t="shared" ca="1" si="10"/>
        <v>0</v>
      </c>
      <c r="Z15" s="522" t="str">
        <f>'Extra look-up'!F9</f>
        <v/>
      </c>
      <c r="AA15" s="522" t="str">
        <f ca="1">'Extra look-up'!H9</f>
        <v>OK</v>
      </c>
      <c r="AB15" s="522">
        <f t="shared" ca="1" si="11"/>
        <v>1</v>
      </c>
      <c r="AC15" s="536" t="e">
        <f t="shared" ref="AC15:AC61" si="12">ROUNDUP(W15,0)+100</f>
        <v>#VALUE!</v>
      </c>
      <c r="AD15" s="539" t="str">
        <f ca="1">IFERROR(AVERAGE($AH$101:INDIRECT(CONCATENATE("AH"&amp;AC15))),"")</f>
        <v/>
      </c>
      <c r="AE15" s="533"/>
      <c r="AF15" s="533"/>
      <c r="AG15" s="9"/>
      <c r="AH15" s="9"/>
      <c r="AI15" s="9"/>
      <c r="AJ15" s="9"/>
      <c r="AK15" s="9"/>
      <c r="AL15" s="9"/>
      <c r="AM15" s="6"/>
      <c r="AN15" s="6"/>
      <c r="AO15" s="6"/>
      <c r="AP15" s="6"/>
      <c r="AQ15" s="24" t="s">
        <v>22</v>
      </c>
    </row>
    <row r="16" spans="1:43" s="741" customFormat="1" ht="34" customHeight="1" x14ac:dyDescent="0.3">
      <c r="A16" s="158">
        <v>5</v>
      </c>
      <c r="B16" s="104"/>
      <c r="C16" s="113"/>
      <c r="D16" s="106"/>
      <c r="E16" s="107"/>
      <c r="F16" s="108"/>
      <c r="G16" s="133" t="str">
        <f t="shared" si="0"/>
        <v/>
      </c>
      <c r="H16" s="328"/>
      <c r="I16" s="846"/>
      <c r="J16" s="847" t="s">
        <v>70</v>
      </c>
      <c r="K16" s="109"/>
      <c r="L16" s="110"/>
      <c r="M16" s="139" t="str">
        <f t="shared" si="4"/>
        <v/>
      </c>
      <c r="N16" s="137">
        <f t="shared" si="5"/>
        <v>0</v>
      </c>
      <c r="O16" s="111"/>
      <c r="P16" s="145" t="str">
        <f t="shared" si="1"/>
        <v/>
      </c>
      <c r="Q16" s="146" t="str">
        <f>IF(OR(P16&lt;=0,P16=""),"",O16/P16)</f>
        <v/>
      </c>
      <c r="R16" s="545" t="str">
        <f t="shared" si="3"/>
        <v/>
      </c>
      <c r="S16" s="147" t="str">
        <f t="shared" si="6"/>
        <v/>
      </c>
      <c r="T16" s="147" t="str">
        <f t="shared" si="7"/>
        <v/>
      </c>
      <c r="U16" s="148" t="str">
        <f t="shared" si="8"/>
        <v/>
      </c>
      <c r="V16" s="552" t="str">
        <f ca="1">IF('Extra look-up'!$H10="Math o Waith","Gwiriwch Math o Waith",IF(AND(D16="",F16="",H16="",I16="",L16="",M16=""),"",IF(OR(D16="",F16="",H16="",I16="",L16="",M16="",$L$9&lt;&gt;"OK"),"Gwiriwch bod yr holl feysydd wedi eu llenwi'n gywir",IF(AND(D16="",OR(F16&lt;&gt;"",H16&lt;&gt;"",I16&lt;&gt;"",L16&lt;&gt;"")),"Gwiriwch bod yr holl feysydd wedi eu llenwi'n gywir","OK"))))</f>
        <v/>
      </c>
      <c r="W16" s="521" t="str">
        <f>IF(I16="","",IF(VLOOKUP(I16,'Eligible Technologies'!$D$7:$G$69,4,FALSE)&lt;$F$9,VLOOKUP(I16,'Eligible Technologies'!$D$7:$G$69,4,FALSE),$F$9))</f>
        <v/>
      </c>
      <c r="X16" s="522" t="str">
        <f t="shared" si="9"/>
        <v/>
      </c>
      <c r="Y16" s="522">
        <f t="shared" ca="1" si="10"/>
        <v>0</v>
      </c>
      <c r="Z16" s="522" t="str">
        <f>'Extra look-up'!F10</f>
        <v/>
      </c>
      <c r="AA16" s="522" t="str">
        <f ca="1">'Extra look-up'!H10</f>
        <v>OK</v>
      </c>
      <c r="AB16" s="522">
        <f t="shared" ca="1" si="11"/>
        <v>1</v>
      </c>
      <c r="AC16" s="536" t="e">
        <f t="shared" si="12"/>
        <v>#VALUE!</v>
      </c>
      <c r="AD16" s="539" t="str">
        <f ca="1">IFERROR(AVERAGE($AH$101:INDIRECT(CONCATENATE("AH"&amp;AC16))),"")</f>
        <v/>
      </c>
      <c r="AE16" s="533"/>
      <c r="AF16" s="533"/>
      <c r="AG16" s="9"/>
      <c r="AH16" s="9"/>
      <c r="AI16" s="9"/>
      <c r="AJ16" s="9"/>
      <c r="AK16" s="9"/>
      <c r="AL16" s="9"/>
      <c r="AM16" s="6"/>
      <c r="AN16" s="6"/>
      <c r="AO16" s="6"/>
      <c r="AP16" s="6"/>
      <c r="AQ16" s="24" t="s">
        <v>22</v>
      </c>
    </row>
    <row r="17" spans="1:70" s="741" customFormat="1" ht="34" customHeight="1" x14ac:dyDescent="0.25">
      <c r="A17" s="158">
        <v>6</v>
      </c>
      <c r="B17" s="104"/>
      <c r="C17" s="112"/>
      <c r="D17" s="106"/>
      <c r="E17" s="107"/>
      <c r="F17" s="108"/>
      <c r="G17" s="133" t="str">
        <f t="shared" si="0"/>
        <v/>
      </c>
      <c r="H17" s="328"/>
      <c r="I17" s="846"/>
      <c r="J17" s="847" t="s">
        <v>70</v>
      </c>
      <c r="K17" s="109"/>
      <c r="L17" s="110"/>
      <c r="M17" s="136" t="str">
        <f>IF(K17="","",K17-L17)</f>
        <v/>
      </c>
      <c r="N17" s="137">
        <f t="shared" si="5"/>
        <v>0</v>
      </c>
      <c r="O17" s="111"/>
      <c r="P17" s="145" t="str">
        <f t="shared" si="1"/>
        <v/>
      </c>
      <c r="Q17" s="146" t="str">
        <f t="shared" si="2"/>
        <v/>
      </c>
      <c r="R17" s="545" t="str">
        <f t="shared" si="3"/>
        <v/>
      </c>
      <c r="S17" s="147" t="str">
        <f t="shared" si="6"/>
        <v/>
      </c>
      <c r="T17" s="147" t="str">
        <f t="shared" si="7"/>
        <v/>
      </c>
      <c r="U17" s="148" t="str">
        <f t="shared" si="8"/>
        <v/>
      </c>
      <c r="V17" s="552" t="str">
        <f ca="1">IF('Extra look-up'!$H11="Math o Waith","Gwiriwch Math o Waith",IF(AND(D17="",F17="",H17="",I17="",L17="",M17=""),"",IF(OR(D17="",F17="",H17="",I17="",L17="",M17="",$L$9&lt;&gt;"OK"),"Gwiriwch bod yr holl feysydd wedi eu llenwi'n gywir",IF(AND(D17="",OR(F17&lt;&gt;"",H17&lt;&gt;"",I17&lt;&gt;"",L17&lt;&gt;"")),"Gwiriwch bod yr holl feysydd wedi eu llenwi'n gywir","OK"))))</f>
        <v/>
      </c>
      <c r="W17" s="521" t="str">
        <f>IF(I17="","",IF(VLOOKUP(I17,'Eligible Technologies'!$D$7:$G$69,4,FALSE)&lt;$F$9,VLOOKUP(I17,'Eligible Technologies'!$D$7:$G$69,4,FALSE),$F$9))</f>
        <v/>
      </c>
      <c r="X17" s="522" t="str">
        <f t="shared" si="9"/>
        <v/>
      </c>
      <c r="Y17" s="522">
        <f t="shared" ca="1" si="10"/>
        <v>0</v>
      </c>
      <c r="Z17" s="522" t="str">
        <f>'Extra look-up'!F11</f>
        <v/>
      </c>
      <c r="AA17" s="522" t="str">
        <f ca="1">'Extra look-up'!H11</f>
        <v>OK</v>
      </c>
      <c r="AB17" s="522">
        <f t="shared" ca="1" si="11"/>
        <v>1</v>
      </c>
      <c r="AC17" s="536" t="e">
        <f t="shared" si="12"/>
        <v>#VALUE!</v>
      </c>
      <c r="AD17" s="539" t="str">
        <f ca="1">IFERROR(AVERAGE($AH$101:INDIRECT(CONCATENATE("AH"&amp;AC17))),"")</f>
        <v/>
      </c>
      <c r="AE17" s="533"/>
      <c r="AF17" s="533"/>
      <c r="AG17" s="8"/>
      <c r="AH17" s="9"/>
      <c r="AI17" s="8"/>
      <c r="AJ17" s="8"/>
      <c r="AK17" s="9"/>
      <c r="AL17" s="9"/>
      <c r="AM17" s="6"/>
      <c r="AN17" s="6"/>
      <c r="AO17" s="6"/>
      <c r="AP17" s="6"/>
      <c r="AQ17" s="25"/>
    </row>
    <row r="18" spans="1:70" s="741" customFormat="1" ht="34" customHeight="1" x14ac:dyDescent="0.25">
      <c r="A18" s="158">
        <v>7</v>
      </c>
      <c r="B18" s="104"/>
      <c r="C18" s="113"/>
      <c r="D18" s="106"/>
      <c r="E18" s="107"/>
      <c r="F18" s="108"/>
      <c r="G18" s="133" t="str">
        <f t="shared" si="0"/>
        <v/>
      </c>
      <c r="H18" s="328"/>
      <c r="I18" s="846"/>
      <c r="J18" s="847" t="s">
        <v>70</v>
      </c>
      <c r="K18" s="109"/>
      <c r="L18" s="110"/>
      <c r="M18" s="138" t="str">
        <f t="shared" si="4"/>
        <v/>
      </c>
      <c r="N18" s="137">
        <f t="shared" si="5"/>
        <v>0</v>
      </c>
      <c r="O18" s="111"/>
      <c r="P18" s="145" t="str">
        <f t="shared" si="1"/>
        <v/>
      </c>
      <c r="Q18" s="146" t="str">
        <f t="shared" si="2"/>
        <v/>
      </c>
      <c r="R18" s="545" t="str">
        <f t="shared" si="3"/>
        <v/>
      </c>
      <c r="S18" s="147" t="str">
        <f t="shared" si="6"/>
        <v/>
      </c>
      <c r="T18" s="147" t="str">
        <f t="shared" si="7"/>
        <v/>
      </c>
      <c r="U18" s="148" t="str">
        <f t="shared" si="8"/>
        <v/>
      </c>
      <c r="V18" s="552" t="str">
        <f ca="1">IF('Extra look-up'!$H12="Math o Waith","Gwiriwch Math o Waith",IF(AND(D18="",F18="",H18="",I18="",L18="",M18=""),"",IF(OR(D18="",F18="",H18="",I18="",L18="",M18="",$L$9&lt;&gt;"OK"),"Gwiriwch bod yr holl feysydd wedi eu llenwi'n gywir",IF(AND(D18="",OR(F18&lt;&gt;"",H18&lt;&gt;"",I18&lt;&gt;"",L18&lt;&gt;"")),"Gwiriwch bod yr holl feysydd wedi eu llenwi'n gywir","OK"))))</f>
        <v/>
      </c>
      <c r="W18" s="521" t="str">
        <f>IF(I18="","",IF(VLOOKUP(I18,'Eligible Technologies'!$D$7:$G$69,4,FALSE)&lt;$F$9,VLOOKUP(I18,'Eligible Technologies'!$D$7:$G$69,4,FALSE),$F$9))</f>
        <v/>
      </c>
      <c r="X18" s="522" t="str">
        <f t="shared" ref="X18:X61" si="13">IF(Q18="","",ROUNDUP($Q$65,0))</f>
        <v/>
      </c>
      <c r="Y18" s="522">
        <f t="shared" ca="1" si="10"/>
        <v>0</v>
      </c>
      <c r="Z18" s="522" t="str">
        <f>'Extra look-up'!F12</f>
        <v/>
      </c>
      <c r="AA18" s="522" t="str">
        <f ca="1">'Extra look-up'!H12</f>
        <v>OK</v>
      </c>
      <c r="AB18" s="522">
        <f t="shared" ca="1" si="11"/>
        <v>1</v>
      </c>
      <c r="AC18" s="536" t="e">
        <f t="shared" si="12"/>
        <v>#VALUE!</v>
      </c>
      <c r="AD18" s="539" t="str">
        <f ca="1">IFERROR(AVERAGE($AH$101:INDIRECT(CONCATENATE("AH"&amp;AC18))),"")</f>
        <v/>
      </c>
      <c r="AE18" s="533"/>
      <c r="AF18" s="533"/>
      <c r="AG18" s="8"/>
      <c r="AH18" s="9"/>
      <c r="AI18" s="8"/>
      <c r="AJ18" s="8"/>
      <c r="AK18" s="9"/>
      <c r="AL18" s="9"/>
      <c r="AM18" s="6"/>
      <c r="AN18" s="6"/>
      <c r="AO18" s="6"/>
      <c r="AP18" s="6"/>
      <c r="AQ18" s="25"/>
    </row>
    <row r="19" spans="1:70" s="741" customFormat="1" ht="34" customHeight="1" x14ac:dyDescent="0.25">
      <c r="A19" s="158">
        <v>8</v>
      </c>
      <c r="B19" s="104"/>
      <c r="C19" s="113"/>
      <c r="D19" s="106"/>
      <c r="E19" s="107"/>
      <c r="F19" s="108"/>
      <c r="G19" s="133" t="str">
        <f t="shared" si="0"/>
        <v/>
      </c>
      <c r="H19" s="328"/>
      <c r="I19" s="846"/>
      <c r="J19" s="847" t="s">
        <v>70</v>
      </c>
      <c r="K19" s="109"/>
      <c r="L19" s="110"/>
      <c r="M19" s="136" t="str">
        <f t="shared" si="4"/>
        <v/>
      </c>
      <c r="N19" s="137">
        <f t="shared" si="5"/>
        <v>0</v>
      </c>
      <c r="O19" s="111"/>
      <c r="P19" s="145" t="str">
        <f t="shared" si="1"/>
        <v/>
      </c>
      <c r="Q19" s="146" t="str">
        <f t="shared" si="2"/>
        <v/>
      </c>
      <c r="R19" s="545" t="str">
        <f t="shared" si="3"/>
        <v/>
      </c>
      <c r="S19" s="147" t="str">
        <f t="shared" si="6"/>
        <v/>
      </c>
      <c r="T19" s="147" t="str">
        <f t="shared" si="7"/>
        <v/>
      </c>
      <c r="U19" s="148" t="str">
        <f t="shared" si="8"/>
        <v/>
      </c>
      <c r="V19" s="552" t="str">
        <f ca="1">IF('Extra look-up'!$H13="Math o Waith","Gwiriwch Math o Waith",IF(AND(D19="",F19="",H19="",I19="",L19="",M19=""),"",IF(OR(D19="",F19="",H19="",I19="",L19="",M19="",$L$9&lt;&gt;"OK"),"Gwiriwch bod yr holl feysydd wedi eu llenwi'n gywir",IF(AND(D19="",OR(F19&lt;&gt;"",H19&lt;&gt;"",I19&lt;&gt;"",L19&lt;&gt;"")),"Gwiriwch bod yr holl feysydd wedi eu llenwi'n gywir","OK"))))</f>
        <v/>
      </c>
      <c r="W19" s="521" t="str">
        <f>IF(I19="","",IF(VLOOKUP(I19,'Eligible Technologies'!$D$7:$G$69,4,FALSE)&lt;$F$9,VLOOKUP(I19,'Eligible Technologies'!$D$7:$G$69,4,FALSE),$F$9))</f>
        <v/>
      </c>
      <c r="X19" s="522" t="str">
        <f t="shared" si="13"/>
        <v/>
      </c>
      <c r="Y19" s="522">
        <f t="shared" ca="1" si="10"/>
        <v>0</v>
      </c>
      <c r="Z19" s="522" t="str">
        <f>'Extra look-up'!F13</f>
        <v/>
      </c>
      <c r="AA19" s="522" t="str">
        <f ca="1">'Extra look-up'!H13</f>
        <v>OK</v>
      </c>
      <c r="AB19" s="522">
        <f t="shared" ca="1" si="11"/>
        <v>1</v>
      </c>
      <c r="AC19" s="536" t="e">
        <f t="shared" si="12"/>
        <v>#VALUE!</v>
      </c>
      <c r="AD19" s="539" t="str">
        <f ca="1">IFERROR(AVERAGE($AH$101:INDIRECT(CONCATENATE("AH"&amp;AC19))),"")</f>
        <v/>
      </c>
      <c r="AE19" s="533"/>
      <c r="AF19" s="533"/>
      <c r="AG19" s="28" t="s">
        <v>71</v>
      </c>
      <c r="AH19" s="26" t="s">
        <v>72</v>
      </c>
      <c r="AI19" s="28" t="s">
        <v>73</v>
      </c>
      <c r="AJ19" s="28" t="s">
        <v>74</v>
      </c>
      <c r="AK19" s="26" t="s">
        <v>75</v>
      </c>
      <c r="AL19" s="26" t="s">
        <v>76</v>
      </c>
      <c r="AM19" s="7" t="s">
        <v>77</v>
      </c>
      <c r="AN19" s="7" t="s">
        <v>78</v>
      </c>
      <c r="AO19" s="7" t="s">
        <v>79</v>
      </c>
      <c r="AP19" s="6"/>
      <c r="AQ19" s="25"/>
    </row>
    <row r="20" spans="1:70" s="741" customFormat="1" ht="34" customHeight="1" x14ac:dyDescent="0.25">
      <c r="A20" s="158">
        <v>9</v>
      </c>
      <c r="B20" s="104"/>
      <c r="C20" s="114"/>
      <c r="D20" s="106"/>
      <c r="E20" s="107"/>
      <c r="F20" s="108"/>
      <c r="G20" s="133" t="str">
        <f t="shared" si="0"/>
        <v/>
      </c>
      <c r="H20" s="328"/>
      <c r="I20" s="846"/>
      <c r="J20" s="847"/>
      <c r="K20" s="109"/>
      <c r="L20" s="110"/>
      <c r="M20" s="136" t="str">
        <f t="shared" si="4"/>
        <v/>
      </c>
      <c r="N20" s="137">
        <f t="shared" si="5"/>
        <v>0</v>
      </c>
      <c r="O20" s="111"/>
      <c r="P20" s="145" t="str">
        <f t="shared" si="1"/>
        <v/>
      </c>
      <c r="Q20" s="146" t="str">
        <f t="shared" si="2"/>
        <v/>
      </c>
      <c r="R20" s="545" t="str">
        <f t="shared" si="3"/>
        <v/>
      </c>
      <c r="S20" s="147" t="str">
        <f t="shared" si="6"/>
        <v/>
      </c>
      <c r="T20" s="147" t="str">
        <f t="shared" si="7"/>
        <v/>
      </c>
      <c r="U20" s="148" t="str">
        <f t="shared" si="8"/>
        <v/>
      </c>
      <c r="V20" s="552" t="str">
        <f ca="1">IF('Extra look-up'!$H14="Math o Waith","Gwiriwch Math o Waith",IF(AND(D20="",F20="",H20="",I20="",L20="",M20=""),"",IF(OR(D20="",F20="",H20="",I20="",L20="",M20="",$L$9&lt;&gt;"OK"),"Gwiriwch bod yr holl feysydd wedi eu llenwi'n gywir",IF(AND(D20="",OR(F20&lt;&gt;"",H20&lt;&gt;"",I20&lt;&gt;"",L20&lt;&gt;"")),"Gwiriwch bod yr holl feysydd wedi eu llenwi'n gywir","OK"))))</f>
        <v/>
      </c>
      <c r="W20" s="521" t="str">
        <f>IF(I20="","",IF(VLOOKUP(I20,'Eligible Technologies'!$D$7:$G$69,4,FALSE)&lt;$F$9,VLOOKUP(I20,'Eligible Technologies'!$D$7:$G$69,4,FALSE),$F$9))</f>
        <v/>
      </c>
      <c r="X20" s="522" t="str">
        <f t="shared" si="13"/>
        <v/>
      </c>
      <c r="Y20" s="522">
        <f t="shared" ca="1" si="10"/>
        <v>0</v>
      </c>
      <c r="Z20" s="522" t="str">
        <f>'Extra look-up'!F14</f>
        <v/>
      </c>
      <c r="AA20" s="522" t="str">
        <f ca="1">'Extra look-up'!H14</f>
        <v>OK</v>
      </c>
      <c r="AB20" s="522">
        <f t="shared" ca="1" si="11"/>
        <v>1</v>
      </c>
      <c r="AC20" s="536" t="e">
        <f t="shared" si="12"/>
        <v>#VALUE!</v>
      </c>
      <c r="AD20" s="539" t="str">
        <f ca="1">IFERROR(AVERAGE($AH$101:INDIRECT(CONCATENATE("AH"&amp;AC20))),"")</f>
        <v/>
      </c>
      <c r="AE20" s="533"/>
      <c r="AF20" s="533"/>
      <c r="AG20" s="8" t="s">
        <v>80</v>
      </c>
      <c r="AH20" s="9" t="s">
        <v>81</v>
      </c>
      <c r="AI20" s="8" t="s">
        <v>81</v>
      </c>
      <c r="AJ20" s="8" t="s">
        <v>80</v>
      </c>
      <c r="AK20" s="9" t="s">
        <v>82</v>
      </c>
      <c r="AL20" s="9" t="s">
        <v>80</v>
      </c>
      <c r="AM20" s="6" t="s">
        <v>80</v>
      </c>
      <c r="AN20" s="6" t="s">
        <v>80</v>
      </c>
      <c r="AO20" s="34" t="e">
        <f>'Extra look-up'!G122</f>
        <v>#N/A</v>
      </c>
      <c r="AP20" s="6"/>
      <c r="AQ20" s="25"/>
    </row>
    <row r="21" spans="1:70" s="741" customFormat="1" ht="34" customHeight="1" x14ac:dyDescent="0.25">
      <c r="A21" s="158">
        <v>10</v>
      </c>
      <c r="B21" s="104"/>
      <c r="C21" s="114"/>
      <c r="D21" s="106"/>
      <c r="E21" s="107"/>
      <c r="F21" s="108"/>
      <c r="G21" s="133" t="str">
        <f t="shared" si="0"/>
        <v/>
      </c>
      <c r="H21" s="328"/>
      <c r="I21" s="846"/>
      <c r="J21" s="847"/>
      <c r="K21" s="109"/>
      <c r="L21" s="110"/>
      <c r="M21" s="136" t="str">
        <f t="shared" si="4"/>
        <v/>
      </c>
      <c r="N21" s="137">
        <f t="shared" si="5"/>
        <v>0</v>
      </c>
      <c r="O21" s="111"/>
      <c r="P21" s="145" t="str">
        <f t="shared" si="1"/>
        <v/>
      </c>
      <c r="Q21" s="146" t="str">
        <f t="shared" si="2"/>
        <v/>
      </c>
      <c r="R21" s="545" t="str">
        <f t="shared" si="3"/>
        <v/>
      </c>
      <c r="S21" s="147" t="str">
        <f t="shared" si="6"/>
        <v/>
      </c>
      <c r="T21" s="147" t="str">
        <f t="shared" si="7"/>
        <v/>
      </c>
      <c r="U21" s="148" t="str">
        <f t="shared" si="8"/>
        <v/>
      </c>
      <c r="V21" s="552" t="str">
        <f ca="1">IF('Extra look-up'!$H15="Math o Waith","Gwiriwch Math o Waith",IF(AND(D21="",F21="",H21="",I21="",L21="",M21=""),"",IF(OR(D21="",F21="",H21="",I21="",L21="",M21="",$L$9&lt;&gt;"OK"),"Gwiriwch bod yr holl feysydd wedi eu llenwi'n gywir",IF(AND(D21="",OR(F21&lt;&gt;"",H21&lt;&gt;"",I21&lt;&gt;"",L21&lt;&gt;"")),"Gwiriwch bod yr holl feysydd wedi eu llenwi'n gywir","OK"))))</f>
        <v/>
      </c>
      <c r="W21" s="521" t="str">
        <f>IF(I21="","",IF(VLOOKUP(I21,'Eligible Technologies'!$D$7:$G$69,4,FALSE)&lt;$F$9,VLOOKUP(I21,'Eligible Technologies'!$D$7:$G$69,4,FALSE),$F$9))</f>
        <v/>
      </c>
      <c r="X21" s="522" t="str">
        <f t="shared" si="13"/>
        <v/>
      </c>
      <c r="Y21" s="522">
        <f t="shared" ca="1" si="10"/>
        <v>0</v>
      </c>
      <c r="Z21" s="522" t="str">
        <f>'Extra look-up'!F15</f>
        <v/>
      </c>
      <c r="AA21" s="522" t="str">
        <f ca="1">'Extra look-up'!H15</f>
        <v>OK</v>
      </c>
      <c r="AB21" s="522">
        <f t="shared" ca="1" si="11"/>
        <v>1</v>
      </c>
      <c r="AC21" s="536" t="e">
        <f t="shared" si="12"/>
        <v>#VALUE!</v>
      </c>
      <c r="AD21" s="539" t="str">
        <f ca="1">IFERROR(AVERAGE($AH$101:INDIRECT(CONCATENATE("AH"&amp;AC21))),"")</f>
        <v/>
      </c>
      <c r="AE21" s="533"/>
      <c r="AF21" s="533"/>
      <c r="AG21" s="8" t="s">
        <v>83</v>
      </c>
      <c r="AH21" s="9" t="s">
        <v>80</v>
      </c>
      <c r="AI21" s="8" t="s">
        <v>80</v>
      </c>
      <c r="AJ21" s="8" t="s">
        <v>84</v>
      </c>
      <c r="AK21" s="9" t="s">
        <v>80</v>
      </c>
      <c r="AL21" s="9" t="s">
        <v>84</v>
      </c>
      <c r="AM21" s="6" t="s">
        <v>84</v>
      </c>
      <c r="AN21" s="6" t="s">
        <v>84</v>
      </c>
      <c r="AO21" s="6"/>
      <c r="AP21" s="6"/>
      <c r="AQ21" s="25"/>
    </row>
    <row r="22" spans="1:70" s="741" customFormat="1" ht="34" customHeight="1" x14ac:dyDescent="0.25">
      <c r="A22" s="158">
        <v>11</v>
      </c>
      <c r="B22" s="104"/>
      <c r="C22" s="114"/>
      <c r="D22" s="106"/>
      <c r="E22" s="107"/>
      <c r="F22" s="108"/>
      <c r="G22" s="133" t="str">
        <f t="shared" si="0"/>
        <v/>
      </c>
      <c r="H22" s="328"/>
      <c r="I22" s="846"/>
      <c r="J22" s="847"/>
      <c r="K22" s="109"/>
      <c r="L22" s="110"/>
      <c r="M22" s="136" t="str">
        <f t="shared" si="4"/>
        <v/>
      </c>
      <c r="N22" s="137">
        <f t="shared" si="5"/>
        <v>0</v>
      </c>
      <c r="O22" s="111"/>
      <c r="P22" s="145" t="str">
        <f t="shared" si="1"/>
        <v/>
      </c>
      <c r="Q22" s="146" t="str">
        <f t="shared" si="2"/>
        <v/>
      </c>
      <c r="R22" s="545" t="str">
        <f t="shared" si="3"/>
        <v/>
      </c>
      <c r="S22" s="147" t="str">
        <f t="shared" si="6"/>
        <v/>
      </c>
      <c r="T22" s="147" t="str">
        <f t="shared" si="7"/>
        <v/>
      </c>
      <c r="U22" s="148" t="str">
        <f t="shared" si="8"/>
        <v/>
      </c>
      <c r="V22" s="552" t="str">
        <f ca="1">IF('Extra look-up'!$H16="Math o Waith","Gwiriwch Math o Waith",IF(AND(D22="",F22="",H22="",I22="",L22="",M22=""),"",IF(OR(D22="",F22="",H22="",I22="",L22="",M22="",$L$9&lt;&gt;"OK"),"Gwiriwch bod yr holl feysydd wedi eu llenwi'n gywir",IF(AND(D22="",OR(F22&lt;&gt;"",H22&lt;&gt;"",I22&lt;&gt;"",L22&lt;&gt;"")),"Gwiriwch bod yr holl feysydd wedi eu llenwi'n gywir","OK"))))</f>
        <v/>
      </c>
      <c r="W22" s="521" t="str">
        <f>IF(I22="","",IF(VLOOKUP(I22,'Eligible Technologies'!$D$7:$G$69,4,FALSE)&lt;$F$9,VLOOKUP(I22,'Eligible Technologies'!$D$7:$G$69,4,FALSE),$F$9))</f>
        <v/>
      </c>
      <c r="X22" s="522" t="str">
        <f t="shared" si="13"/>
        <v/>
      </c>
      <c r="Y22" s="522">
        <f t="shared" ca="1" si="10"/>
        <v>0</v>
      </c>
      <c r="Z22" s="522" t="str">
        <f>'Extra look-up'!F16</f>
        <v/>
      </c>
      <c r="AA22" s="522" t="str">
        <f ca="1">'Extra look-up'!H16</f>
        <v>OK</v>
      </c>
      <c r="AB22" s="522">
        <f t="shared" ca="1" si="11"/>
        <v>1</v>
      </c>
      <c r="AC22" s="536" t="e">
        <f t="shared" si="12"/>
        <v>#VALUE!</v>
      </c>
      <c r="AD22" s="539" t="str">
        <f ca="1">IFERROR(AVERAGE($AH$101:INDIRECT(CONCATENATE("AH"&amp;AC22))),"")</f>
        <v/>
      </c>
      <c r="AE22" s="533"/>
      <c r="AF22" s="533"/>
      <c r="AG22" s="8" t="s">
        <v>85</v>
      </c>
      <c r="AH22" s="9" t="s">
        <v>86</v>
      </c>
      <c r="AI22" s="8" t="s">
        <v>86</v>
      </c>
      <c r="AJ22" s="8" t="s">
        <v>87</v>
      </c>
      <c r="AK22" s="9" t="s">
        <v>84</v>
      </c>
      <c r="AL22" s="9" t="s">
        <v>88</v>
      </c>
      <c r="AM22" s="6" t="s">
        <v>88</v>
      </c>
      <c r="AN22" s="6" t="s">
        <v>88</v>
      </c>
      <c r="AO22" s="6"/>
      <c r="AP22" s="6"/>
      <c r="AQ22" s="25"/>
    </row>
    <row r="23" spans="1:70" s="741" customFormat="1" ht="34" customHeight="1" x14ac:dyDescent="0.25">
      <c r="A23" s="158">
        <v>12</v>
      </c>
      <c r="B23" s="104"/>
      <c r="C23" s="114"/>
      <c r="D23" s="106"/>
      <c r="E23" s="107"/>
      <c r="F23" s="108"/>
      <c r="G23" s="133" t="str">
        <f t="shared" si="0"/>
        <v/>
      </c>
      <c r="H23" s="328"/>
      <c r="I23" s="846"/>
      <c r="J23" s="847"/>
      <c r="K23" s="109"/>
      <c r="L23" s="110"/>
      <c r="M23" s="136" t="str">
        <f t="shared" si="4"/>
        <v/>
      </c>
      <c r="N23" s="137">
        <f t="shared" si="5"/>
        <v>0</v>
      </c>
      <c r="O23" s="111"/>
      <c r="P23" s="145" t="str">
        <f t="shared" si="1"/>
        <v/>
      </c>
      <c r="Q23" s="146" t="str">
        <f t="shared" si="2"/>
        <v/>
      </c>
      <c r="R23" s="545" t="str">
        <f t="shared" si="3"/>
        <v/>
      </c>
      <c r="S23" s="147" t="str">
        <f t="shared" si="6"/>
        <v/>
      </c>
      <c r="T23" s="147" t="str">
        <f t="shared" si="7"/>
        <v/>
      </c>
      <c r="U23" s="148" t="str">
        <f t="shared" si="8"/>
        <v/>
      </c>
      <c r="V23" s="552" t="str">
        <f ca="1">IF('Extra look-up'!$H17="Math o Waith","Gwiriwch Math o Waith",IF(AND(D23="",F23="",H23="",I23="",L23="",M23=""),"",IF(OR(D23="",F23="",H23="",I23="",L23="",M23="",$L$9&lt;&gt;"OK"),"Gwiriwch bod yr holl feysydd wedi eu llenwi'n gywir",IF(AND(D23="",OR(F23&lt;&gt;"",H23&lt;&gt;"",I23&lt;&gt;"",L23&lt;&gt;"")),"Gwiriwch bod yr holl feysydd wedi eu llenwi'n gywir","OK"))))</f>
        <v/>
      </c>
      <c r="W23" s="521" t="str">
        <f>IF(I23="","",IF(VLOOKUP(I23,'Eligible Technologies'!$D$7:$G$69,4,FALSE)&lt;$F$9,VLOOKUP(I23,'Eligible Technologies'!$D$7:$G$69,4,FALSE),$F$9))</f>
        <v/>
      </c>
      <c r="X23" s="522" t="str">
        <f t="shared" si="13"/>
        <v/>
      </c>
      <c r="Y23" s="522">
        <f t="shared" ca="1" si="10"/>
        <v>0</v>
      </c>
      <c r="Z23" s="522" t="str">
        <f>'Extra look-up'!F17</f>
        <v/>
      </c>
      <c r="AA23" s="522" t="str">
        <f ca="1">'Extra look-up'!H17</f>
        <v>OK</v>
      </c>
      <c r="AB23" s="522">
        <f t="shared" ca="1" si="11"/>
        <v>1</v>
      </c>
      <c r="AC23" s="536" t="e">
        <f t="shared" si="12"/>
        <v>#VALUE!</v>
      </c>
      <c r="AD23" s="539" t="str">
        <f ca="1">IFERROR(AVERAGE($AH$101:INDIRECT(CONCATENATE("AH"&amp;AC23))),"")</f>
        <v/>
      </c>
      <c r="AE23" s="533"/>
      <c r="AF23" s="533"/>
      <c r="AG23" s="25" t="s">
        <v>89</v>
      </c>
      <c r="AH23" s="25" t="s">
        <v>90</v>
      </c>
      <c r="AI23" s="25" t="s">
        <v>90</v>
      </c>
      <c r="AJ23" s="25" t="s">
        <v>91</v>
      </c>
      <c r="AK23" s="25" t="s">
        <v>92</v>
      </c>
      <c r="AL23" s="25" t="s">
        <v>85</v>
      </c>
      <c r="AM23" s="6" t="s">
        <v>85</v>
      </c>
      <c r="AN23" s="6" t="s">
        <v>85</v>
      </c>
      <c r="AO23" s="6"/>
      <c r="AP23" s="6"/>
      <c r="AQ23" s="25"/>
    </row>
    <row r="24" spans="1:70" s="741" customFormat="1" ht="34" customHeight="1" x14ac:dyDescent="0.25">
      <c r="A24" s="158">
        <v>13</v>
      </c>
      <c r="B24" s="104"/>
      <c r="C24" s="114"/>
      <c r="D24" s="106"/>
      <c r="E24" s="107"/>
      <c r="F24" s="108"/>
      <c r="G24" s="133" t="str">
        <f t="shared" si="0"/>
        <v/>
      </c>
      <c r="H24" s="328"/>
      <c r="I24" s="846"/>
      <c r="J24" s="847"/>
      <c r="K24" s="109"/>
      <c r="L24" s="110"/>
      <c r="M24" s="136" t="str">
        <f t="shared" si="4"/>
        <v/>
      </c>
      <c r="N24" s="137">
        <f t="shared" si="5"/>
        <v>0</v>
      </c>
      <c r="O24" s="111"/>
      <c r="P24" s="145" t="str">
        <f t="shared" si="1"/>
        <v/>
      </c>
      <c r="Q24" s="146" t="str">
        <f t="shared" si="2"/>
        <v/>
      </c>
      <c r="R24" s="545" t="str">
        <f t="shared" si="3"/>
        <v/>
      </c>
      <c r="S24" s="147" t="str">
        <f t="shared" si="6"/>
        <v/>
      </c>
      <c r="T24" s="147" t="str">
        <f t="shared" si="7"/>
        <v/>
      </c>
      <c r="U24" s="148" t="str">
        <f t="shared" si="8"/>
        <v/>
      </c>
      <c r="V24" s="552" t="str">
        <f ca="1">IF('Extra look-up'!$H18="Math o Waith","Gwiriwch Math o Waith",IF(AND(D24="",F24="",H24="",I24="",L24="",M24=""),"",IF(OR(D24="",F24="",H24="",I24="",L24="",M24="",$L$9&lt;&gt;"OK"),"Gwiriwch bod yr holl feysydd wedi eu llenwi'n gywir",IF(AND(D24="",OR(F24&lt;&gt;"",H24&lt;&gt;"",I24&lt;&gt;"",L24&lt;&gt;"")),"Gwiriwch bod yr holl feysydd wedi eu llenwi'n gywir","OK"))))</f>
        <v/>
      </c>
      <c r="W24" s="521" t="str">
        <f>IF(I24="","",IF(VLOOKUP(I24,'Eligible Technologies'!$D$7:$G$69,4,FALSE)&lt;$F$9,VLOOKUP(I24,'Eligible Technologies'!$D$7:$G$69,4,FALSE),$F$9))</f>
        <v/>
      </c>
      <c r="X24" s="522" t="str">
        <f t="shared" si="13"/>
        <v/>
      </c>
      <c r="Y24" s="522">
        <f t="shared" ca="1" si="10"/>
        <v>0</v>
      </c>
      <c r="Z24" s="522" t="str">
        <f>'Extra look-up'!F18</f>
        <v/>
      </c>
      <c r="AA24" s="522" t="str">
        <f ca="1">'Extra look-up'!H18</f>
        <v>OK</v>
      </c>
      <c r="AB24" s="522">
        <f t="shared" ca="1" si="11"/>
        <v>1</v>
      </c>
      <c r="AC24" s="536" t="e">
        <f t="shared" si="12"/>
        <v>#VALUE!</v>
      </c>
      <c r="AD24" s="539" t="str">
        <f ca="1">IFERROR(AVERAGE($AH$101:INDIRECT(CONCATENATE("AH"&amp;AC24))),"")</f>
        <v/>
      </c>
      <c r="AE24" s="533"/>
      <c r="AF24" s="533"/>
      <c r="AG24" s="25" t="s">
        <v>93</v>
      </c>
      <c r="AH24" s="9" t="s">
        <v>94</v>
      </c>
      <c r="AI24" s="25" t="s">
        <v>94</v>
      </c>
      <c r="AJ24" s="25" t="s">
        <v>95</v>
      </c>
      <c r="AK24" s="25" t="s">
        <v>96</v>
      </c>
      <c r="AL24" s="25" t="s">
        <v>97</v>
      </c>
      <c r="AM24" s="6" t="s">
        <v>97</v>
      </c>
      <c r="AN24" s="6" t="s">
        <v>97</v>
      </c>
      <c r="AO24" s="6"/>
      <c r="AP24" s="6"/>
      <c r="AQ24" s="25"/>
    </row>
    <row r="25" spans="1:70" s="741" customFormat="1" ht="34" customHeight="1" x14ac:dyDescent="0.3">
      <c r="A25" s="158">
        <v>14</v>
      </c>
      <c r="B25" s="104"/>
      <c r="C25" s="114"/>
      <c r="D25" s="106"/>
      <c r="E25" s="107"/>
      <c r="F25" s="108"/>
      <c r="G25" s="133" t="str">
        <f t="shared" si="0"/>
        <v/>
      </c>
      <c r="H25" s="328"/>
      <c r="I25" s="846"/>
      <c r="J25" s="847"/>
      <c r="K25" s="109"/>
      <c r="L25" s="110"/>
      <c r="M25" s="136" t="str">
        <f t="shared" si="4"/>
        <v/>
      </c>
      <c r="N25" s="137">
        <f t="shared" si="5"/>
        <v>0</v>
      </c>
      <c r="O25" s="111"/>
      <c r="P25" s="145" t="str">
        <f t="shared" si="1"/>
        <v/>
      </c>
      <c r="Q25" s="146" t="str">
        <f t="shared" si="2"/>
        <v/>
      </c>
      <c r="R25" s="545" t="str">
        <f t="shared" si="3"/>
        <v/>
      </c>
      <c r="S25" s="147" t="str">
        <f t="shared" si="6"/>
        <v/>
      </c>
      <c r="T25" s="147" t="str">
        <f t="shared" si="7"/>
        <v/>
      </c>
      <c r="U25" s="148" t="str">
        <f t="shared" si="8"/>
        <v/>
      </c>
      <c r="V25" s="552" t="str">
        <f ca="1">IF('Extra look-up'!$H19="Math o Waith","Gwiriwch Math o Waith",IF(AND(D25="",F25="",H25="",I25="",L25="",M25=""),"",IF(OR(D25="",F25="",H25="",I25="",L25="",M25="",$L$9&lt;&gt;"OK"),"Gwiriwch bod yr holl feysydd wedi eu llenwi'n gywir",IF(AND(D25="",OR(F25&lt;&gt;"",H25&lt;&gt;"",I25&lt;&gt;"",L25&lt;&gt;"")),"Gwiriwch bod yr holl feysydd wedi eu llenwi'n gywir","OK"))))</f>
        <v/>
      </c>
      <c r="W25" s="521" t="str">
        <f>IF(I25="","",IF(VLOOKUP(I25,'Eligible Technologies'!$D$7:$G$69,4,FALSE)&lt;$F$9,VLOOKUP(I25,'Eligible Technologies'!$D$7:$G$69,4,FALSE),$F$9))</f>
        <v/>
      </c>
      <c r="X25" s="522" t="str">
        <f t="shared" si="13"/>
        <v/>
      </c>
      <c r="Y25" s="522">
        <f t="shared" ca="1" si="10"/>
        <v>0</v>
      </c>
      <c r="Z25" s="522" t="str">
        <f>'Extra look-up'!F19</f>
        <v/>
      </c>
      <c r="AA25" s="522" t="str">
        <f ca="1">'Extra look-up'!H19</f>
        <v>OK</v>
      </c>
      <c r="AB25" s="522">
        <f t="shared" ca="1" si="11"/>
        <v>1</v>
      </c>
      <c r="AC25" s="536" t="e">
        <f t="shared" si="12"/>
        <v>#VALUE!</v>
      </c>
      <c r="AD25" s="539" t="str">
        <f ca="1">IFERROR(AVERAGE($AH$101:INDIRECT(CONCATENATE("AH"&amp;AC25))),"")</f>
        <v/>
      </c>
      <c r="AE25" s="533"/>
      <c r="AF25" s="533"/>
      <c r="AG25" s="9" t="s">
        <v>98</v>
      </c>
      <c r="AH25" s="9" t="s">
        <v>89</v>
      </c>
      <c r="AI25" s="8" t="s">
        <v>89</v>
      </c>
      <c r="AJ25" s="8" t="s">
        <v>99</v>
      </c>
      <c r="AK25" s="9" t="s">
        <v>100</v>
      </c>
      <c r="AL25" s="9" t="s">
        <v>98</v>
      </c>
      <c r="AM25" s="11" t="s">
        <v>98</v>
      </c>
      <c r="AN25" s="11" t="s">
        <v>98</v>
      </c>
      <c r="AO25" s="6"/>
      <c r="AP25" s="6"/>
      <c r="AQ25" s="25"/>
    </row>
    <row r="26" spans="1:70" s="741" customFormat="1" ht="34" customHeight="1" thickBot="1" x14ac:dyDescent="0.35">
      <c r="A26" s="158">
        <v>15</v>
      </c>
      <c r="B26" s="104"/>
      <c r="C26" s="114"/>
      <c r="D26" s="106"/>
      <c r="E26" s="107"/>
      <c r="F26" s="108"/>
      <c r="G26" s="133" t="str">
        <f t="shared" si="0"/>
        <v/>
      </c>
      <c r="H26" s="328"/>
      <c r="I26" s="846"/>
      <c r="J26" s="847"/>
      <c r="K26" s="109"/>
      <c r="L26" s="110"/>
      <c r="M26" s="136" t="str">
        <f t="shared" si="4"/>
        <v/>
      </c>
      <c r="N26" s="137">
        <f t="shared" si="5"/>
        <v>0</v>
      </c>
      <c r="O26" s="111"/>
      <c r="P26" s="145" t="str">
        <f t="shared" si="1"/>
        <v/>
      </c>
      <c r="Q26" s="146" t="str">
        <f t="shared" si="2"/>
        <v/>
      </c>
      <c r="R26" s="545" t="str">
        <f t="shared" si="3"/>
        <v/>
      </c>
      <c r="S26" s="147" t="str">
        <f t="shared" si="6"/>
        <v/>
      </c>
      <c r="T26" s="147" t="str">
        <f t="shared" si="7"/>
        <v/>
      </c>
      <c r="U26" s="148" t="str">
        <f t="shared" si="8"/>
        <v/>
      </c>
      <c r="V26" s="552" t="str">
        <f ca="1">IF('Extra look-up'!$H20="Math o Waith","Gwiriwch Math o Waith",IF(AND(D26="",F26="",H26="",I26="",L26="",M26=""),"",IF(OR(D26="",F26="",H26="",I26="",L26="",M26="",$L$9&lt;&gt;"OK"),"Gwiriwch bod yr holl feysydd wedi eu llenwi'n gywir",IF(AND(D26="",OR(F26&lt;&gt;"",H26&lt;&gt;"",I26&lt;&gt;"",L26&lt;&gt;"")),"Gwiriwch bod yr holl feysydd wedi eu llenwi'n gywir","OK"))))</f>
        <v/>
      </c>
      <c r="W26" s="521" t="str">
        <f>IF(I26="","",IF(VLOOKUP(I26,'Eligible Technologies'!$D$7:$G$69,4,FALSE)&lt;$F$9,VLOOKUP(I26,'Eligible Technologies'!$D$7:$G$69,4,FALSE),$F$9))</f>
        <v/>
      </c>
      <c r="X26" s="522" t="str">
        <f t="shared" si="13"/>
        <v/>
      </c>
      <c r="Y26" s="522">
        <f t="shared" ca="1" si="10"/>
        <v>0</v>
      </c>
      <c r="Z26" s="522" t="str">
        <f>'Extra look-up'!F20</f>
        <v/>
      </c>
      <c r="AA26" s="522" t="str">
        <f ca="1">'Extra look-up'!H20</f>
        <v>OK</v>
      </c>
      <c r="AB26" s="522">
        <f t="shared" ca="1" si="11"/>
        <v>1</v>
      </c>
      <c r="AC26" s="536" t="e">
        <f t="shared" si="12"/>
        <v>#VALUE!</v>
      </c>
      <c r="AD26" s="539" t="str">
        <f ca="1">IFERROR(AVERAGE($AH$101:INDIRECT(CONCATENATE("AH"&amp;AC26))),"")</f>
        <v/>
      </c>
      <c r="AE26" s="533"/>
      <c r="AF26" s="533"/>
      <c r="AG26" s="9" t="s">
        <v>101</v>
      </c>
      <c r="AH26" s="9" t="s">
        <v>102</v>
      </c>
      <c r="AI26" s="8" t="s">
        <v>102</v>
      </c>
      <c r="AJ26" s="8" t="s">
        <v>97</v>
      </c>
      <c r="AK26" s="9" t="s">
        <v>103</v>
      </c>
      <c r="AL26" s="9" t="s">
        <v>104</v>
      </c>
      <c r="AM26" s="11" t="s">
        <v>104</v>
      </c>
      <c r="AN26" s="11" t="s">
        <v>104</v>
      </c>
      <c r="AO26" s="6"/>
      <c r="AP26" s="6"/>
      <c r="AQ26" s="6"/>
    </row>
    <row r="27" spans="1:70" s="741" customFormat="1" ht="34" hidden="1" customHeight="1" x14ac:dyDescent="0.25">
      <c r="A27" s="158">
        <v>16</v>
      </c>
      <c r="B27" s="104"/>
      <c r="C27" s="114"/>
      <c r="D27" s="106"/>
      <c r="E27" s="107"/>
      <c r="F27" s="108"/>
      <c r="G27" s="133" t="str">
        <f t="shared" si="0"/>
        <v/>
      </c>
      <c r="H27" s="328"/>
      <c r="I27" s="846"/>
      <c r="J27" s="847"/>
      <c r="K27" s="109"/>
      <c r="L27" s="110"/>
      <c r="M27" s="136" t="str">
        <f t="shared" si="4"/>
        <v/>
      </c>
      <c r="N27" s="137">
        <f t="shared" si="5"/>
        <v>0</v>
      </c>
      <c r="O27" s="111"/>
      <c r="P27" s="145" t="str">
        <f t="shared" si="1"/>
        <v/>
      </c>
      <c r="Q27" s="146" t="str">
        <f t="shared" si="2"/>
        <v/>
      </c>
      <c r="R27" s="545" t="str">
        <f t="shared" si="3"/>
        <v/>
      </c>
      <c r="S27" s="147" t="str">
        <f t="shared" si="6"/>
        <v/>
      </c>
      <c r="T27" s="147" t="str">
        <f t="shared" si="7"/>
        <v/>
      </c>
      <c r="U27" s="148" t="str">
        <f t="shared" si="8"/>
        <v/>
      </c>
      <c r="V27" s="552" t="str">
        <f ca="1">IF('Extra look-up'!$H21="Math o Waith","Gwiriwch Math o Waith",IF(AND(D27="",F27="",H27="",I27="",L27="",M27=""),"",IF(OR(D27="",F27="",H27="",I27="",L27="",M27="",$L$9&lt;&gt;"OK"),"Gwiriwch bod yr holl feysydd wedi eu llenwi'n gywir",IF(AND(D27="",OR(F27&lt;&gt;"",H27&lt;&gt;"",I27&lt;&gt;"",L27&lt;&gt;"")),"Gwiriwch bod yr holl feysydd wedi eu llenwi'n gywir","OK"))))</f>
        <v/>
      </c>
      <c r="W27" s="521" t="str">
        <f>IF(I27="","",IF(VLOOKUP(I27,'Eligible Technologies'!$D$7:$G$69,4,FALSE)&lt;$F$9,VLOOKUP(I27,'Eligible Technologies'!$D$7:$G$69,4,FALSE),$F$9))</f>
        <v/>
      </c>
      <c r="X27" s="522" t="str">
        <f t="shared" si="13"/>
        <v/>
      </c>
      <c r="Y27" s="522">
        <f t="shared" ca="1" si="10"/>
        <v>0</v>
      </c>
      <c r="Z27" s="522" t="str">
        <f>'Extra look-up'!F21</f>
        <v/>
      </c>
      <c r="AA27" s="522" t="str">
        <f ca="1">'Extra look-up'!H21</f>
        <v>OK</v>
      </c>
      <c r="AB27" s="522">
        <f t="shared" ca="1" si="11"/>
        <v>1</v>
      </c>
      <c r="AC27" s="536" t="e">
        <f t="shared" si="12"/>
        <v>#VALUE!</v>
      </c>
      <c r="AD27" s="539" t="str">
        <f ca="1">IFERROR(AVERAGE($AH$101:INDIRECT(CONCATENATE("AH"&amp;AC27))),"")</f>
        <v/>
      </c>
      <c r="AE27" s="533"/>
      <c r="AF27" s="533"/>
      <c r="AG27" s="9" t="s">
        <v>105</v>
      </c>
      <c r="AH27" s="10" t="s">
        <v>100</v>
      </c>
      <c r="AI27" s="8" t="s">
        <v>100</v>
      </c>
      <c r="AJ27" s="8" t="s">
        <v>101</v>
      </c>
      <c r="AK27" s="9" t="s">
        <v>104</v>
      </c>
      <c r="AL27" s="9" t="s">
        <v>106</v>
      </c>
      <c r="AM27" s="6" t="s">
        <v>106</v>
      </c>
      <c r="AN27" s="6" t="s">
        <v>106</v>
      </c>
      <c r="AO27" s="6"/>
      <c r="AP27" s="6"/>
      <c r="AQ27" s="6"/>
    </row>
    <row r="28" spans="1:70" s="741" customFormat="1" ht="34" hidden="1" customHeight="1" x14ac:dyDescent="0.3">
      <c r="A28" s="158">
        <v>17</v>
      </c>
      <c r="B28" s="104"/>
      <c r="C28" s="114"/>
      <c r="D28" s="106"/>
      <c r="E28" s="107"/>
      <c r="F28" s="108"/>
      <c r="G28" s="133" t="str">
        <f t="shared" si="0"/>
        <v/>
      </c>
      <c r="H28" s="328"/>
      <c r="I28" s="846"/>
      <c r="J28" s="847"/>
      <c r="K28" s="109"/>
      <c r="L28" s="110"/>
      <c r="M28" s="136" t="str">
        <f t="shared" si="4"/>
        <v/>
      </c>
      <c r="N28" s="137">
        <f t="shared" si="5"/>
        <v>0</v>
      </c>
      <c r="O28" s="111"/>
      <c r="P28" s="145" t="str">
        <f t="shared" si="1"/>
        <v/>
      </c>
      <c r="Q28" s="146" t="str">
        <f t="shared" si="2"/>
        <v/>
      </c>
      <c r="R28" s="545" t="str">
        <f t="shared" si="3"/>
        <v/>
      </c>
      <c r="S28" s="147" t="str">
        <f t="shared" si="6"/>
        <v/>
      </c>
      <c r="T28" s="147" t="str">
        <f t="shared" si="7"/>
        <v/>
      </c>
      <c r="U28" s="148" t="str">
        <f t="shared" si="8"/>
        <v/>
      </c>
      <c r="V28" s="552" t="str">
        <f ca="1">IF('Extra look-up'!$H22="Math o Waith","Gwiriwch Math o Waith",IF(AND(D28="",F28="",H28="",I28="",L28="",M28=""),"",IF(OR(D28="",F28="",H28="",I28="",L28="",M28="",$L$9&lt;&gt;"OK"),"Gwiriwch bod yr holl feysydd wedi eu llenwi'n gywir",IF(AND(D28="",OR(F28&lt;&gt;"",H28&lt;&gt;"",I28&lt;&gt;"",L28&lt;&gt;"")),"Gwiriwch bod yr holl feysydd wedi eu llenwi'n gywir","OK"))))</f>
        <v/>
      </c>
      <c r="W28" s="521" t="str">
        <f>IF(I28="","",IF(VLOOKUP(I28,'Eligible Technologies'!$D$7:$G$69,4,FALSE)&lt;$F$9,VLOOKUP(I28,'Eligible Technologies'!$D$7:$G$69,4,FALSE),$F$9))</f>
        <v/>
      </c>
      <c r="X28" s="522" t="str">
        <f t="shared" si="13"/>
        <v/>
      </c>
      <c r="Y28" s="522">
        <f t="shared" ca="1" si="10"/>
        <v>0</v>
      </c>
      <c r="Z28" s="522" t="str">
        <f>'Extra look-up'!F22</f>
        <v/>
      </c>
      <c r="AA28" s="522" t="str">
        <f ca="1">'Extra look-up'!H22</f>
        <v>OK</v>
      </c>
      <c r="AB28" s="522">
        <f t="shared" ca="1" si="11"/>
        <v>1</v>
      </c>
      <c r="AC28" s="536" t="e">
        <f t="shared" si="12"/>
        <v>#VALUE!</v>
      </c>
      <c r="AD28" s="539" t="str">
        <f ca="1">IFERROR(AVERAGE($AH$101:INDIRECT(CONCATENATE("AH"&amp;AC28))),"")</f>
        <v/>
      </c>
      <c r="AE28" s="533"/>
      <c r="AF28" s="533"/>
      <c r="AG28" s="10" t="s">
        <v>107</v>
      </c>
      <c r="AH28" s="12" t="s">
        <v>108</v>
      </c>
      <c r="AI28" s="10" t="s">
        <v>108</v>
      </c>
      <c r="AJ28" s="10" t="s">
        <v>106</v>
      </c>
      <c r="AK28" s="10" t="s">
        <v>105</v>
      </c>
      <c r="AL28" s="10" t="s">
        <v>105</v>
      </c>
      <c r="AM28" s="6" t="s">
        <v>105</v>
      </c>
      <c r="AN28" s="6" t="s">
        <v>105</v>
      </c>
      <c r="AO28" s="11"/>
      <c r="AP28" s="6"/>
      <c r="AQ28" s="6"/>
    </row>
    <row r="29" spans="1:70" s="741" customFormat="1" ht="34" hidden="1" customHeight="1" x14ac:dyDescent="0.3">
      <c r="A29" s="158">
        <v>18</v>
      </c>
      <c r="B29" s="104"/>
      <c r="C29" s="114"/>
      <c r="D29" s="106"/>
      <c r="E29" s="107"/>
      <c r="F29" s="108"/>
      <c r="G29" s="133" t="str">
        <f t="shared" si="0"/>
        <v/>
      </c>
      <c r="H29" s="328"/>
      <c r="I29" s="846"/>
      <c r="J29" s="847"/>
      <c r="K29" s="109"/>
      <c r="L29" s="110"/>
      <c r="M29" s="136" t="str">
        <f t="shared" si="4"/>
        <v/>
      </c>
      <c r="N29" s="137">
        <f t="shared" si="5"/>
        <v>0</v>
      </c>
      <c r="O29" s="111"/>
      <c r="P29" s="145" t="str">
        <f t="shared" si="1"/>
        <v/>
      </c>
      <c r="Q29" s="146" t="str">
        <f t="shared" si="2"/>
        <v/>
      </c>
      <c r="R29" s="545" t="str">
        <f t="shared" si="3"/>
        <v/>
      </c>
      <c r="S29" s="147" t="str">
        <f t="shared" si="6"/>
        <v/>
      </c>
      <c r="T29" s="147" t="str">
        <f t="shared" si="7"/>
        <v/>
      </c>
      <c r="U29" s="148" t="str">
        <f t="shared" si="8"/>
        <v/>
      </c>
      <c r="V29" s="552" t="str">
        <f ca="1">IF('Extra look-up'!$H23="Math o Waith","Gwiriwch Math o Waith",IF(AND(D29="",F29="",H29="",I29="",L29="",M29=""),"",IF(OR(D29="",F29="",H29="",I29="",L29="",M29="",$L$9&lt;&gt;"OK"),"Gwiriwch bod yr holl feysydd wedi eu llenwi'n gywir",IF(AND(D29="",OR(F29&lt;&gt;"",H29&lt;&gt;"",I29&lt;&gt;"",L29&lt;&gt;"")),"Gwiriwch bod yr holl feysydd wedi eu llenwi'n gywir","OK"))))</f>
        <v/>
      </c>
      <c r="W29" s="521" t="str">
        <f>IF(I29="","",IF(VLOOKUP(I29,'Eligible Technologies'!$D$7:$G$69,4,FALSE)&lt;$F$9,VLOOKUP(I29,'Eligible Technologies'!$D$7:$G$69,4,FALSE),$F$9))</f>
        <v/>
      </c>
      <c r="X29" s="522" t="str">
        <f t="shared" si="13"/>
        <v/>
      </c>
      <c r="Y29" s="522">
        <f t="shared" ca="1" si="10"/>
        <v>0</v>
      </c>
      <c r="Z29" s="522" t="str">
        <f>'Extra look-up'!F23</f>
        <v/>
      </c>
      <c r="AA29" s="522" t="str">
        <f ca="1">'Extra look-up'!H23</f>
        <v>OK</v>
      </c>
      <c r="AB29" s="522">
        <f t="shared" ca="1" si="11"/>
        <v>1</v>
      </c>
      <c r="AC29" s="536" t="e">
        <f t="shared" si="12"/>
        <v>#VALUE!</v>
      </c>
      <c r="AD29" s="539" t="str">
        <f ca="1">IFERROR(AVERAGE($AH$101:INDIRECT(CONCATENATE("AH"&amp;AC29))),"")</f>
        <v/>
      </c>
      <c r="AE29" s="533"/>
      <c r="AF29" s="533"/>
      <c r="AG29" s="12" t="s">
        <v>109</v>
      </c>
      <c r="AH29" s="10" t="s">
        <v>98</v>
      </c>
      <c r="AI29" s="12" t="s">
        <v>98</v>
      </c>
      <c r="AJ29" s="12" t="s">
        <v>110</v>
      </c>
      <c r="AK29" s="12" t="s">
        <v>111</v>
      </c>
      <c r="AL29" s="12" t="s">
        <v>111</v>
      </c>
      <c r="AM29" s="6" t="s">
        <v>112</v>
      </c>
      <c r="AN29" s="6" t="s">
        <v>112</v>
      </c>
      <c r="AO29" s="11"/>
      <c r="AP29" s="11"/>
      <c r="AQ29" s="24"/>
      <c r="AR29" s="731"/>
      <c r="AS29" s="731"/>
      <c r="AT29" s="731"/>
      <c r="AU29" s="731"/>
      <c r="AV29" s="731"/>
      <c r="AW29" s="731"/>
      <c r="AX29" s="731"/>
      <c r="AY29" s="731"/>
      <c r="AZ29" s="731"/>
      <c r="BA29" s="731"/>
      <c r="BB29" s="731"/>
      <c r="BC29" s="731"/>
      <c r="BD29" s="731"/>
      <c r="BE29" s="731"/>
      <c r="BF29" s="731"/>
      <c r="BG29" s="731"/>
      <c r="BH29" s="731"/>
      <c r="BI29" s="731"/>
      <c r="BJ29" s="731"/>
      <c r="BK29" s="731"/>
      <c r="BL29" s="731"/>
      <c r="BM29" s="731"/>
      <c r="BN29" s="731"/>
      <c r="BO29" s="731"/>
      <c r="BP29" s="731"/>
      <c r="BQ29" s="731"/>
      <c r="BR29" s="731"/>
    </row>
    <row r="30" spans="1:70" s="741" customFormat="1" ht="34" hidden="1" customHeight="1" x14ac:dyDescent="0.3">
      <c r="A30" s="158">
        <v>19</v>
      </c>
      <c r="B30" s="104"/>
      <c r="C30" s="114"/>
      <c r="D30" s="106"/>
      <c r="E30" s="107"/>
      <c r="F30" s="108"/>
      <c r="G30" s="133" t="str">
        <f t="shared" si="0"/>
        <v/>
      </c>
      <c r="H30" s="328"/>
      <c r="I30" s="846"/>
      <c r="J30" s="847"/>
      <c r="K30" s="109"/>
      <c r="L30" s="110"/>
      <c r="M30" s="136" t="str">
        <f t="shared" si="4"/>
        <v/>
      </c>
      <c r="N30" s="137">
        <f t="shared" si="5"/>
        <v>0</v>
      </c>
      <c r="O30" s="111"/>
      <c r="P30" s="145" t="str">
        <f t="shared" si="1"/>
        <v/>
      </c>
      <c r="Q30" s="146" t="str">
        <f t="shared" si="2"/>
        <v/>
      </c>
      <c r="R30" s="545" t="str">
        <f t="shared" si="3"/>
        <v/>
      </c>
      <c r="S30" s="147" t="str">
        <f t="shared" si="6"/>
        <v/>
      </c>
      <c r="T30" s="147" t="str">
        <f t="shared" si="7"/>
        <v/>
      </c>
      <c r="U30" s="148" t="str">
        <f t="shared" si="8"/>
        <v/>
      </c>
      <c r="V30" s="552" t="str">
        <f ca="1">IF('Extra look-up'!$H24="Math o Waith","Gwiriwch Math o Waith",IF(AND(D30="",F30="",H30="",I30="",L30="",M30=""),"",IF(OR(D30="",F30="",H30="",I30="",L30="",M30="",$L$9&lt;&gt;"OK"),"Gwiriwch bod yr holl feysydd wedi eu llenwi'n gywir",IF(AND(D30="",OR(F30&lt;&gt;"",H30&lt;&gt;"",I30&lt;&gt;"",L30&lt;&gt;"")),"Gwiriwch bod yr holl feysydd wedi eu llenwi'n gywir","OK"))))</f>
        <v/>
      </c>
      <c r="W30" s="521" t="str">
        <f>IF(I30="","",IF(VLOOKUP(I30,'Eligible Technologies'!$D$7:$G$69,4,FALSE)&lt;$F$9,VLOOKUP(I30,'Eligible Technologies'!$D$7:$G$69,4,FALSE),$F$9))</f>
        <v/>
      </c>
      <c r="X30" s="522" t="str">
        <f t="shared" si="13"/>
        <v/>
      </c>
      <c r="Y30" s="522">
        <f t="shared" ca="1" si="10"/>
        <v>0</v>
      </c>
      <c r="Z30" s="522" t="str">
        <f>'Extra look-up'!F24</f>
        <v/>
      </c>
      <c r="AA30" s="522" t="str">
        <f ca="1">'Extra look-up'!H24</f>
        <v>OK</v>
      </c>
      <c r="AB30" s="522">
        <f t="shared" ca="1" si="11"/>
        <v>1</v>
      </c>
      <c r="AC30" s="536" t="e">
        <f t="shared" si="12"/>
        <v>#VALUE!</v>
      </c>
      <c r="AD30" s="539" t="str">
        <f ca="1">IFERROR(AVERAGE($AH$101:INDIRECT(CONCATENATE("AH"&amp;AC30))),"")</f>
        <v/>
      </c>
      <c r="AE30" s="533"/>
      <c r="AF30" s="533"/>
      <c r="AG30" s="10" t="s">
        <v>111</v>
      </c>
      <c r="AH30" s="10" t="s">
        <v>101</v>
      </c>
      <c r="AI30" s="10" t="s">
        <v>101</v>
      </c>
      <c r="AJ30" s="10" t="s">
        <v>113</v>
      </c>
      <c r="AK30" s="10"/>
      <c r="AL30" s="10" t="s">
        <v>114</v>
      </c>
      <c r="AM30" s="11" t="s">
        <v>115</v>
      </c>
      <c r="AN30" s="11" t="s">
        <v>115</v>
      </c>
      <c r="AO30" s="11"/>
      <c r="AP30" s="11"/>
      <c r="AQ30" s="24"/>
      <c r="AR30" s="731"/>
      <c r="AS30" s="731"/>
      <c r="AT30" s="731"/>
      <c r="AU30" s="731"/>
      <c r="AV30" s="731"/>
      <c r="AW30" s="731"/>
      <c r="AX30" s="731"/>
      <c r="AY30" s="731"/>
      <c r="AZ30" s="731"/>
      <c r="BA30" s="731"/>
      <c r="BB30" s="731"/>
      <c r="BC30" s="731"/>
      <c r="BD30" s="731"/>
      <c r="BE30" s="731"/>
      <c r="BF30" s="731"/>
      <c r="BG30" s="731"/>
      <c r="BH30" s="731"/>
      <c r="BI30" s="731"/>
      <c r="BJ30" s="731"/>
      <c r="BK30" s="731"/>
      <c r="BL30" s="731"/>
      <c r="BM30" s="731"/>
      <c r="BN30" s="731"/>
      <c r="BO30" s="731"/>
      <c r="BP30" s="731"/>
      <c r="BQ30" s="731"/>
      <c r="BR30" s="731"/>
    </row>
    <row r="31" spans="1:70" s="741" customFormat="1" ht="34" hidden="1" customHeight="1" x14ac:dyDescent="0.3">
      <c r="A31" s="158">
        <v>20</v>
      </c>
      <c r="B31" s="104"/>
      <c r="C31" s="114"/>
      <c r="D31" s="106"/>
      <c r="E31" s="107"/>
      <c r="F31" s="108"/>
      <c r="G31" s="133" t="str">
        <f t="shared" si="0"/>
        <v/>
      </c>
      <c r="H31" s="328"/>
      <c r="I31" s="846"/>
      <c r="J31" s="847"/>
      <c r="K31" s="109"/>
      <c r="L31" s="110"/>
      <c r="M31" s="136" t="str">
        <f t="shared" si="4"/>
        <v/>
      </c>
      <c r="N31" s="137">
        <f t="shared" si="5"/>
        <v>0</v>
      </c>
      <c r="O31" s="111"/>
      <c r="P31" s="145" t="str">
        <f t="shared" si="1"/>
        <v/>
      </c>
      <c r="Q31" s="146" t="str">
        <f t="shared" si="2"/>
        <v/>
      </c>
      <c r="R31" s="545" t="str">
        <f t="shared" si="3"/>
        <v/>
      </c>
      <c r="S31" s="147" t="str">
        <f t="shared" si="6"/>
        <v/>
      </c>
      <c r="T31" s="147" t="str">
        <f t="shared" si="7"/>
        <v/>
      </c>
      <c r="U31" s="148" t="str">
        <f t="shared" si="8"/>
        <v/>
      </c>
      <c r="V31" s="552" t="str">
        <f ca="1">IF('Extra look-up'!$H25="Math o Waith","Gwiriwch Math o Waith",IF(AND(D31="",F31="",H31="",I31="",L31="",M31=""),"",IF(OR(D31="",F31="",H31="",I31="",L31="",M31="",$L$9&lt;&gt;"OK"),"Gwiriwch bod yr holl feysydd wedi eu llenwi'n gywir",IF(AND(D31="",OR(F31&lt;&gt;"",H31&lt;&gt;"",I31&lt;&gt;"",L31&lt;&gt;"")),"Gwiriwch bod yr holl feysydd wedi eu llenwi'n gywir","OK"))))</f>
        <v/>
      </c>
      <c r="W31" s="521" t="str">
        <f>IF(I31="","",IF(VLOOKUP(I31,'Eligible Technologies'!$D$7:$G$69,4,FALSE)&lt;$F$9,VLOOKUP(I31,'Eligible Technologies'!$D$7:$G$69,4,FALSE),$F$9))</f>
        <v/>
      </c>
      <c r="X31" s="522" t="str">
        <f t="shared" si="13"/>
        <v/>
      </c>
      <c r="Y31" s="522">
        <f t="shared" ca="1" si="10"/>
        <v>0</v>
      </c>
      <c r="Z31" s="522" t="str">
        <f>'Extra look-up'!F25</f>
        <v/>
      </c>
      <c r="AA31" s="522" t="str">
        <f ca="1">'Extra look-up'!H25</f>
        <v>OK</v>
      </c>
      <c r="AB31" s="522">
        <f t="shared" ca="1" si="11"/>
        <v>1</v>
      </c>
      <c r="AC31" s="536" t="e">
        <f t="shared" si="12"/>
        <v>#VALUE!</v>
      </c>
      <c r="AD31" s="539" t="str">
        <f ca="1">IFERROR(AVERAGE($AH$101:INDIRECT(CONCATENATE("AH"&amp;AC31))),"")</f>
        <v/>
      </c>
      <c r="AE31" s="533"/>
      <c r="AF31" s="533"/>
      <c r="AG31" s="10"/>
      <c r="AH31" s="10" t="s">
        <v>106</v>
      </c>
      <c r="AI31" s="10" t="s">
        <v>106</v>
      </c>
      <c r="AJ31" s="10" t="s">
        <v>116</v>
      </c>
      <c r="AK31" s="10"/>
      <c r="AL31" s="10"/>
      <c r="AM31" s="11"/>
      <c r="AN31" s="6"/>
      <c r="AO31" s="11"/>
      <c r="AP31" s="11"/>
      <c r="AQ31" s="24"/>
      <c r="AR31" s="731"/>
      <c r="AS31" s="731"/>
      <c r="AT31" s="731"/>
      <c r="AU31" s="731"/>
      <c r="AV31" s="731"/>
      <c r="AW31" s="731"/>
      <c r="AX31" s="731"/>
      <c r="AY31" s="731"/>
      <c r="AZ31" s="731"/>
      <c r="BA31" s="731"/>
      <c r="BB31" s="731"/>
      <c r="BC31" s="731"/>
      <c r="BD31" s="731"/>
      <c r="BE31" s="731"/>
      <c r="BF31" s="731"/>
      <c r="BG31" s="731"/>
      <c r="BH31" s="731"/>
      <c r="BI31" s="731"/>
      <c r="BJ31" s="731"/>
      <c r="BK31" s="731"/>
      <c r="BL31" s="731"/>
      <c r="BM31" s="731"/>
      <c r="BN31" s="731"/>
      <c r="BO31" s="731"/>
      <c r="BP31" s="731"/>
      <c r="BQ31" s="731"/>
      <c r="BR31" s="731"/>
    </row>
    <row r="32" spans="1:70" s="741" customFormat="1" ht="34" hidden="1" customHeight="1" x14ac:dyDescent="0.3">
      <c r="A32" s="158">
        <v>21</v>
      </c>
      <c r="B32" s="104"/>
      <c r="C32" s="114"/>
      <c r="D32" s="106"/>
      <c r="E32" s="107"/>
      <c r="F32" s="108"/>
      <c r="G32" s="133" t="str">
        <f t="shared" si="0"/>
        <v/>
      </c>
      <c r="H32" s="328"/>
      <c r="I32" s="846"/>
      <c r="J32" s="847"/>
      <c r="K32" s="109"/>
      <c r="L32" s="110"/>
      <c r="M32" s="136" t="str">
        <f t="shared" si="4"/>
        <v/>
      </c>
      <c r="N32" s="137">
        <f t="shared" si="5"/>
        <v>0</v>
      </c>
      <c r="O32" s="111"/>
      <c r="P32" s="145" t="str">
        <f t="shared" si="1"/>
        <v/>
      </c>
      <c r="Q32" s="146" t="str">
        <f t="shared" si="2"/>
        <v/>
      </c>
      <c r="R32" s="545" t="str">
        <f t="shared" si="3"/>
        <v/>
      </c>
      <c r="S32" s="147" t="str">
        <f t="shared" si="6"/>
        <v/>
      </c>
      <c r="T32" s="147" t="str">
        <f t="shared" si="7"/>
        <v/>
      </c>
      <c r="U32" s="148" t="str">
        <f t="shared" si="8"/>
        <v/>
      </c>
      <c r="V32" s="552" t="str">
        <f ca="1">IF('Extra look-up'!$H26="Math o Waith","Gwiriwch Math o Waith",IF(AND(D32="",F32="",H32="",I32="",L32="",M32=""),"",IF(OR(D32="",F32="",H32="",I32="",L32="",M32="",$L$9&lt;&gt;"OK"),"Gwiriwch bod yr holl feysydd wedi eu llenwi'n gywir",IF(AND(D32="",OR(F32&lt;&gt;"",H32&lt;&gt;"",I32&lt;&gt;"",L32&lt;&gt;"")),"Gwiriwch bod yr holl feysydd wedi eu llenwi'n gywir","OK"))))</f>
        <v/>
      </c>
      <c r="W32" s="521" t="str">
        <f>IF(I32="","",IF(VLOOKUP(I32,'Eligible Technologies'!$D$7:$G$69,4,FALSE)&lt;$F$9,VLOOKUP(I32,'Eligible Technologies'!$D$7:$G$69,4,FALSE),$F$9))</f>
        <v/>
      </c>
      <c r="X32" s="522" t="str">
        <f t="shared" si="13"/>
        <v/>
      </c>
      <c r="Y32" s="522">
        <f t="shared" ca="1" si="10"/>
        <v>0</v>
      </c>
      <c r="Z32" s="522" t="str">
        <f>'Extra look-up'!F26</f>
        <v/>
      </c>
      <c r="AA32" s="522" t="str">
        <f ca="1">'Extra look-up'!H26</f>
        <v>OK</v>
      </c>
      <c r="AB32" s="522">
        <f t="shared" ca="1" si="11"/>
        <v>1</v>
      </c>
      <c r="AC32" s="536" t="e">
        <f t="shared" si="12"/>
        <v>#VALUE!</v>
      </c>
      <c r="AD32" s="539" t="str">
        <f ca="1">IFERROR(AVERAGE($AH$101:INDIRECT(CONCATENATE("AH"&amp;AC32))),"")</f>
        <v/>
      </c>
      <c r="AE32" s="533"/>
      <c r="AF32" s="533"/>
      <c r="AG32" s="10"/>
      <c r="AH32" s="12" t="s">
        <v>105</v>
      </c>
      <c r="AI32" s="10" t="s">
        <v>105</v>
      </c>
      <c r="AJ32" s="10" t="s">
        <v>117</v>
      </c>
      <c r="AK32" s="10"/>
      <c r="AL32" s="10"/>
      <c r="AM32" s="11"/>
      <c r="AN32" s="6"/>
      <c r="AO32" s="11"/>
      <c r="AP32" s="11"/>
      <c r="AQ32" s="24"/>
      <c r="AR32" s="731"/>
      <c r="AS32" s="731"/>
      <c r="AT32" s="731"/>
      <c r="AU32" s="731"/>
      <c r="AV32" s="731"/>
      <c r="AW32" s="731"/>
      <c r="AX32" s="731"/>
      <c r="AY32" s="731"/>
      <c r="AZ32" s="731"/>
      <c r="BA32" s="731"/>
      <c r="BB32" s="731"/>
      <c r="BC32" s="731"/>
      <c r="BD32" s="731"/>
      <c r="BE32" s="731"/>
      <c r="BF32" s="731"/>
      <c r="BG32" s="731"/>
      <c r="BH32" s="731"/>
      <c r="BI32" s="731"/>
      <c r="BJ32" s="731"/>
      <c r="BK32" s="731"/>
      <c r="BL32" s="731"/>
      <c r="BM32" s="731"/>
      <c r="BN32" s="731"/>
      <c r="BO32" s="731"/>
      <c r="BP32" s="731"/>
      <c r="BQ32" s="731"/>
      <c r="BR32" s="731"/>
    </row>
    <row r="33" spans="1:70" s="741" customFormat="1" ht="34" hidden="1" customHeight="1" x14ac:dyDescent="0.3">
      <c r="A33" s="158">
        <v>22</v>
      </c>
      <c r="B33" s="104"/>
      <c r="C33" s="114"/>
      <c r="D33" s="106"/>
      <c r="E33" s="107"/>
      <c r="F33" s="108"/>
      <c r="G33" s="133" t="str">
        <f t="shared" si="0"/>
        <v/>
      </c>
      <c r="H33" s="328"/>
      <c r="I33" s="846"/>
      <c r="J33" s="847"/>
      <c r="K33" s="109"/>
      <c r="L33" s="110"/>
      <c r="M33" s="136" t="str">
        <f t="shared" si="4"/>
        <v/>
      </c>
      <c r="N33" s="137">
        <f t="shared" si="5"/>
        <v>0</v>
      </c>
      <c r="O33" s="111"/>
      <c r="P33" s="145" t="str">
        <f t="shared" si="1"/>
        <v/>
      </c>
      <c r="Q33" s="146" t="str">
        <f t="shared" si="2"/>
        <v/>
      </c>
      <c r="R33" s="545" t="str">
        <f t="shared" si="3"/>
        <v/>
      </c>
      <c r="S33" s="147" t="str">
        <f t="shared" si="6"/>
        <v/>
      </c>
      <c r="T33" s="147" t="str">
        <f t="shared" si="7"/>
        <v/>
      </c>
      <c r="U33" s="148" t="str">
        <f t="shared" si="8"/>
        <v/>
      </c>
      <c r="V33" s="552" t="str">
        <f ca="1">IF('Extra look-up'!$H27="Math o Waith","Gwiriwch Math o Waith",IF(AND(D33="",F33="",H33="",I33="",L33="",M33=""),"",IF(OR(D33="",F33="",H33="",I33="",L33="",M33="",$L$9&lt;&gt;"OK"),"Gwiriwch bod yr holl feysydd wedi eu llenwi'n gywir",IF(AND(D33="",OR(F33&lt;&gt;"",H33&lt;&gt;"",I33&lt;&gt;"",L33&lt;&gt;"")),"Gwiriwch bod yr holl feysydd wedi eu llenwi'n gywir","OK"))))</f>
        <v/>
      </c>
      <c r="W33" s="521" t="str">
        <f>IF(I33="","",IF(VLOOKUP(I33,'Eligible Technologies'!$D$7:$G$69,4,FALSE)&lt;$F$9,VLOOKUP(I33,'Eligible Technologies'!$D$7:$G$69,4,FALSE),$F$9))</f>
        <v/>
      </c>
      <c r="X33" s="522" t="str">
        <f t="shared" si="13"/>
        <v/>
      </c>
      <c r="Y33" s="522">
        <f t="shared" ca="1" si="10"/>
        <v>0</v>
      </c>
      <c r="Z33" s="522" t="str">
        <f>'Extra look-up'!F27</f>
        <v/>
      </c>
      <c r="AA33" s="522" t="str">
        <f ca="1">'Extra look-up'!H27</f>
        <v>OK</v>
      </c>
      <c r="AB33" s="522">
        <f t="shared" ca="1" si="11"/>
        <v>1</v>
      </c>
      <c r="AC33" s="536" t="e">
        <f t="shared" si="12"/>
        <v>#VALUE!</v>
      </c>
      <c r="AD33" s="539" t="str">
        <f ca="1">IFERROR(AVERAGE($AH$101:INDIRECT(CONCATENATE("AH"&amp;AC33))),"")</f>
        <v/>
      </c>
      <c r="AE33" s="533"/>
      <c r="AF33" s="533"/>
      <c r="AG33" s="12"/>
      <c r="AH33" s="12" t="s">
        <v>113</v>
      </c>
      <c r="AI33" s="12" t="s">
        <v>113</v>
      </c>
      <c r="AJ33" s="12" t="s">
        <v>118</v>
      </c>
      <c r="AK33" s="12"/>
      <c r="AL33" s="12"/>
      <c r="AM33" s="11"/>
      <c r="AN33" s="11"/>
      <c r="AO33" s="11"/>
      <c r="AP33" s="11"/>
      <c r="AQ33" s="24"/>
      <c r="AR33" s="731"/>
      <c r="AS33" s="731"/>
      <c r="AT33" s="731"/>
      <c r="AU33" s="731"/>
      <c r="AV33" s="731"/>
      <c r="AW33" s="731"/>
      <c r="AX33" s="731"/>
      <c r="AY33" s="731"/>
      <c r="AZ33" s="731"/>
      <c r="BA33" s="731"/>
      <c r="BB33" s="731"/>
      <c r="BC33" s="731"/>
      <c r="BD33" s="731"/>
      <c r="BE33" s="731"/>
      <c r="BF33" s="731"/>
      <c r="BG33" s="731"/>
      <c r="BH33" s="731"/>
      <c r="BI33" s="731"/>
      <c r="BJ33" s="731"/>
      <c r="BK33" s="731"/>
      <c r="BL33" s="731"/>
      <c r="BM33" s="731"/>
      <c r="BN33" s="731"/>
      <c r="BO33" s="731"/>
      <c r="BP33" s="731"/>
      <c r="BQ33" s="731"/>
      <c r="BR33" s="731"/>
    </row>
    <row r="34" spans="1:70" s="741" customFormat="1" ht="34" hidden="1" customHeight="1" x14ac:dyDescent="0.3">
      <c r="A34" s="158">
        <v>23</v>
      </c>
      <c r="B34" s="104"/>
      <c r="C34" s="114"/>
      <c r="D34" s="106"/>
      <c r="E34" s="107"/>
      <c r="F34" s="108"/>
      <c r="G34" s="133" t="str">
        <f t="shared" si="0"/>
        <v/>
      </c>
      <c r="H34" s="328"/>
      <c r="I34" s="846"/>
      <c r="J34" s="847"/>
      <c r="K34" s="109"/>
      <c r="L34" s="110"/>
      <c r="M34" s="136" t="str">
        <f t="shared" si="4"/>
        <v/>
      </c>
      <c r="N34" s="137">
        <f t="shared" si="5"/>
        <v>0</v>
      </c>
      <c r="O34" s="111"/>
      <c r="P34" s="145" t="str">
        <f t="shared" si="1"/>
        <v/>
      </c>
      <c r="Q34" s="146" t="str">
        <f t="shared" si="2"/>
        <v/>
      </c>
      <c r="R34" s="545" t="str">
        <f t="shared" si="3"/>
        <v/>
      </c>
      <c r="S34" s="147" t="str">
        <f t="shared" si="6"/>
        <v/>
      </c>
      <c r="T34" s="147" t="str">
        <f t="shared" si="7"/>
        <v/>
      </c>
      <c r="U34" s="148" t="str">
        <f t="shared" si="8"/>
        <v/>
      </c>
      <c r="V34" s="552" t="str">
        <f ca="1">IF('Extra look-up'!$H28="Math o Waith","Gwiriwch Math o Waith",IF(AND(D34="",F34="",H34="",I34="",L34="",M34=""),"",IF(OR(D34="",F34="",H34="",I34="",L34="",M34="",$L$9&lt;&gt;"OK"),"Gwiriwch bod yr holl feysydd wedi eu llenwi'n gywir",IF(AND(D34="",OR(F34&lt;&gt;"",H34&lt;&gt;"",I34&lt;&gt;"",L34&lt;&gt;"")),"Gwiriwch bod yr holl feysydd wedi eu llenwi'n gywir","OK"))))</f>
        <v/>
      </c>
      <c r="W34" s="521" t="str">
        <f>IF(I34="","",IF(VLOOKUP(I34,'Eligible Technologies'!$D$7:$G$69,4,FALSE)&lt;$F$9,VLOOKUP(I34,'Eligible Technologies'!$D$7:$G$69,4,FALSE),$F$9))</f>
        <v/>
      </c>
      <c r="X34" s="522" t="str">
        <f t="shared" si="13"/>
        <v/>
      </c>
      <c r="Y34" s="522">
        <f t="shared" ca="1" si="10"/>
        <v>0</v>
      </c>
      <c r="Z34" s="522" t="str">
        <f>'Extra look-up'!F28</f>
        <v/>
      </c>
      <c r="AA34" s="522" t="str">
        <f ca="1">'Extra look-up'!H28</f>
        <v>OK</v>
      </c>
      <c r="AB34" s="522">
        <f t="shared" ca="1" si="11"/>
        <v>1</v>
      </c>
      <c r="AC34" s="536" t="e">
        <f t="shared" si="12"/>
        <v>#VALUE!</v>
      </c>
      <c r="AD34" s="539" t="str">
        <f ca="1">IFERROR(AVERAGE($AH$101:INDIRECT(CONCATENATE("AH"&amp;AC34))),"")</f>
        <v/>
      </c>
      <c r="AE34" s="533"/>
      <c r="AF34" s="533"/>
      <c r="AG34" s="12"/>
      <c r="AH34" s="12" t="s">
        <v>109</v>
      </c>
      <c r="AI34" s="12" t="s">
        <v>109</v>
      </c>
      <c r="AJ34" s="12"/>
      <c r="AK34" s="12"/>
      <c r="AL34" s="12"/>
      <c r="AM34" s="11"/>
      <c r="AN34" s="11"/>
      <c r="AO34" s="11"/>
      <c r="AP34" s="11"/>
      <c r="AQ34" s="24"/>
      <c r="AR34" s="731"/>
      <c r="AS34" s="731"/>
      <c r="AT34" s="731"/>
      <c r="AU34" s="731"/>
      <c r="AV34" s="731"/>
      <c r="AW34" s="731"/>
      <c r="AX34" s="731"/>
      <c r="AY34" s="731"/>
      <c r="AZ34" s="731"/>
      <c r="BA34" s="731"/>
      <c r="BB34" s="731"/>
      <c r="BC34" s="731"/>
      <c r="BD34" s="731"/>
      <c r="BE34" s="731"/>
      <c r="BF34" s="731"/>
      <c r="BG34" s="731"/>
      <c r="BH34" s="731"/>
      <c r="BI34" s="731"/>
      <c r="BJ34" s="731"/>
      <c r="BK34" s="731"/>
      <c r="BL34" s="731"/>
      <c r="BM34" s="731"/>
      <c r="BN34" s="731"/>
      <c r="BO34" s="731"/>
      <c r="BP34" s="731"/>
      <c r="BQ34" s="731"/>
      <c r="BR34" s="731"/>
    </row>
    <row r="35" spans="1:70" s="741" customFormat="1" ht="34" hidden="1" customHeight="1" x14ac:dyDescent="0.3">
      <c r="A35" s="158">
        <v>24</v>
      </c>
      <c r="B35" s="104"/>
      <c r="C35" s="114"/>
      <c r="D35" s="106"/>
      <c r="E35" s="107"/>
      <c r="F35" s="108"/>
      <c r="G35" s="133" t="str">
        <f t="shared" si="0"/>
        <v/>
      </c>
      <c r="H35" s="328"/>
      <c r="I35" s="846"/>
      <c r="J35" s="847"/>
      <c r="K35" s="109"/>
      <c r="L35" s="110"/>
      <c r="M35" s="136" t="str">
        <f t="shared" si="4"/>
        <v/>
      </c>
      <c r="N35" s="137">
        <f t="shared" si="5"/>
        <v>0</v>
      </c>
      <c r="O35" s="111"/>
      <c r="P35" s="145" t="str">
        <f t="shared" si="1"/>
        <v/>
      </c>
      <c r="Q35" s="146" t="str">
        <f t="shared" si="2"/>
        <v/>
      </c>
      <c r="R35" s="545" t="str">
        <f t="shared" si="3"/>
        <v/>
      </c>
      <c r="S35" s="147" t="str">
        <f t="shared" si="6"/>
        <v/>
      </c>
      <c r="T35" s="147" t="str">
        <f t="shared" si="7"/>
        <v/>
      </c>
      <c r="U35" s="148" t="str">
        <f t="shared" si="8"/>
        <v/>
      </c>
      <c r="V35" s="552" t="str">
        <f ca="1">IF('Extra look-up'!$H29="Math o Waith","Gwiriwch Math o Waith",IF(AND(D35="",F35="",H35="",I35="",L35="",M35=""),"",IF(OR(D35="",F35="",H35="",I35="",L35="",M35="",$L$9&lt;&gt;"OK"),"Gwiriwch bod yr holl feysydd wedi eu llenwi'n gywir",IF(AND(D35="",OR(F35&lt;&gt;"",H35&lt;&gt;"",I35&lt;&gt;"",L35&lt;&gt;"")),"Gwiriwch bod yr holl feysydd wedi eu llenwi'n gywir","OK"))))</f>
        <v/>
      </c>
      <c r="W35" s="521" t="str">
        <f>IF(I35="","",IF(VLOOKUP(I35,'Eligible Technologies'!$D$7:$G$69,4,FALSE)&lt;$F$9,VLOOKUP(I35,'Eligible Technologies'!$D$7:$G$69,4,FALSE),$F$9))</f>
        <v/>
      </c>
      <c r="X35" s="522" t="str">
        <f t="shared" si="13"/>
        <v/>
      </c>
      <c r="Y35" s="522">
        <f t="shared" ca="1" si="10"/>
        <v>0</v>
      </c>
      <c r="Z35" s="522" t="str">
        <f>'Extra look-up'!F29</f>
        <v/>
      </c>
      <c r="AA35" s="522" t="str">
        <f ca="1">'Extra look-up'!H29</f>
        <v>OK</v>
      </c>
      <c r="AB35" s="522">
        <f t="shared" ca="1" si="11"/>
        <v>1</v>
      </c>
      <c r="AC35" s="536" t="e">
        <f t="shared" si="12"/>
        <v>#VALUE!</v>
      </c>
      <c r="AD35" s="539" t="str">
        <f ca="1">IFERROR(AVERAGE($AH$101:INDIRECT(CONCATENATE("AH"&amp;AC35))),"")</f>
        <v/>
      </c>
      <c r="AE35" s="533"/>
      <c r="AF35" s="533"/>
      <c r="AG35" s="12"/>
      <c r="AH35" s="12" t="s">
        <v>111</v>
      </c>
      <c r="AI35" s="12" t="s">
        <v>111</v>
      </c>
      <c r="AJ35" s="12"/>
      <c r="AK35" s="12"/>
      <c r="AL35" s="12"/>
      <c r="AM35" s="11"/>
      <c r="AN35" s="11"/>
      <c r="AO35" s="11"/>
      <c r="AP35" s="11"/>
      <c r="AQ35" s="24"/>
      <c r="AR35" s="731"/>
      <c r="AS35" s="731"/>
      <c r="AT35" s="731"/>
      <c r="AU35" s="731"/>
      <c r="AV35" s="731"/>
      <c r="AW35" s="731"/>
      <c r="AX35" s="731"/>
      <c r="AY35" s="731"/>
      <c r="AZ35" s="731"/>
      <c r="BA35" s="731"/>
      <c r="BB35" s="731"/>
      <c r="BC35" s="731"/>
      <c r="BD35" s="731"/>
      <c r="BE35" s="731"/>
      <c r="BF35" s="731"/>
      <c r="BG35" s="731"/>
      <c r="BH35" s="731"/>
      <c r="BI35" s="731"/>
      <c r="BJ35" s="731"/>
      <c r="BK35" s="731"/>
      <c r="BL35" s="731"/>
      <c r="BM35" s="731"/>
      <c r="BN35" s="731"/>
      <c r="BO35" s="731"/>
      <c r="BP35" s="731"/>
      <c r="BQ35" s="731"/>
      <c r="BR35" s="731"/>
    </row>
    <row r="36" spans="1:70" s="741" customFormat="1" ht="34" hidden="1" customHeight="1" x14ac:dyDescent="0.3">
      <c r="A36" s="158">
        <v>25</v>
      </c>
      <c r="B36" s="104"/>
      <c r="C36" s="114"/>
      <c r="D36" s="106"/>
      <c r="E36" s="107"/>
      <c r="F36" s="108"/>
      <c r="G36" s="133" t="str">
        <f t="shared" si="0"/>
        <v/>
      </c>
      <c r="H36" s="328"/>
      <c r="I36" s="846"/>
      <c r="J36" s="847"/>
      <c r="K36" s="109"/>
      <c r="L36" s="110"/>
      <c r="M36" s="136" t="str">
        <f t="shared" si="4"/>
        <v/>
      </c>
      <c r="N36" s="137">
        <f t="shared" si="5"/>
        <v>0</v>
      </c>
      <c r="O36" s="111"/>
      <c r="P36" s="145" t="str">
        <f t="shared" si="1"/>
        <v/>
      </c>
      <c r="Q36" s="146" t="str">
        <f t="shared" si="2"/>
        <v/>
      </c>
      <c r="R36" s="545" t="str">
        <f t="shared" si="3"/>
        <v/>
      </c>
      <c r="S36" s="147" t="str">
        <f t="shared" si="6"/>
        <v/>
      </c>
      <c r="T36" s="147" t="str">
        <f t="shared" si="7"/>
        <v/>
      </c>
      <c r="U36" s="148" t="str">
        <f t="shared" si="8"/>
        <v/>
      </c>
      <c r="V36" s="552" t="str">
        <f ca="1">IF('Extra look-up'!$H30="Math o Waith","Gwiriwch Math o Waith",IF(AND(D36="",F36="",H36="",I36="",L36="",M36=""),"",IF(OR(D36="",F36="",H36="",I36="",L36="",M36="",$L$9&lt;&gt;"OK"),"Gwiriwch bod yr holl feysydd wedi eu llenwi'n gywir",IF(AND(D36="",OR(F36&lt;&gt;"",H36&lt;&gt;"",I36&lt;&gt;"",L36&lt;&gt;"")),"Gwiriwch bod yr holl feysydd wedi eu llenwi'n gywir","OK"))))</f>
        <v/>
      </c>
      <c r="W36" s="521" t="str">
        <f>IF(I36="","",IF(VLOOKUP(I36,'Eligible Technologies'!$D$7:$G$69,4,FALSE)&lt;$F$9,VLOOKUP(I36,'Eligible Technologies'!$D$7:$G$69,4,FALSE),$F$9))</f>
        <v/>
      </c>
      <c r="X36" s="522" t="str">
        <f t="shared" si="13"/>
        <v/>
      </c>
      <c r="Y36" s="522">
        <f t="shared" ca="1" si="10"/>
        <v>0</v>
      </c>
      <c r="Z36" s="522" t="str">
        <f>'Extra look-up'!F30</f>
        <v/>
      </c>
      <c r="AA36" s="522" t="str">
        <f ca="1">'Extra look-up'!H30</f>
        <v>OK</v>
      </c>
      <c r="AB36" s="522">
        <f t="shared" ca="1" si="11"/>
        <v>1</v>
      </c>
      <c r="AC36" s="536" t="e">
        <f t="shared" si="12"/>
        <v>#VALUE!</v>
      </c>
      <c r="AD36" s="539" t="str">
        <f ca="1">IFERROR(AVERAGE($AH$101:INDIRECT(CONCATENATE("AH"&amp;AC36))),"")</f>
        <v/>
      </c>
      <c r="AE36" s="533"/>
      <c r="AF36" s="533"/>
      <c r="AG36" s="12"/>
      <c r="AH36" s="12" t="s">
        <v>119</v>
      </c>
      <c r="AI36" s="12" t="s">
        <v>115</v>
      </c>
      <c r="AJ36" s="12"/>
      <c r="AK36" s="12"/>
      <c r="AL36" s="12"/>
      <c r="AM36" s="24"/>
      <c r="AN36" s="11"/>
      <c r="AO36" s="11"/>
      <c r="AP36" s="11"/>
      <c r="AQ36" s="24"/>
      <c r="AR36" s="731"/>
      <c r="AS36" s="731"/>
      <c r="AT36" s="731"/>
      <c r="AU36" s="731"/>
      <c r="AV36" s="731"/>
      <c r="AW36" s="731"/>
      <c r="AX36" s="731"/>
      <c r="AY36" s="731"/>
      <c r="AZ36" s="731"/>
      <c r="BA36" s="731"/>
      <c r="BB36" s="731"/>
      <c r="BC36" s="731"/>
      <c r="BD36" s="731"/>
      <c r="BE36" s="731"/>
      <c r="BF36" s="731"/>
      <c r="BG36" s="731"/>
      <c r="BH36" s="731"/>
      <c r="BI36" s="731"/>
      <c r="BJ36" s="731"/>
      <c r="BK36" s="731"/>
      <c r="BL36" s="731"/>
      <c r="BM36" s="731"/>
      <c r="BN36" s="731"/>
      <c r="BO36" s="731"/>
      <c r="BP36" s="731"/>
      <c r="BQ36" s="731"/>
      <c r="BR36" s="731"/>
    </row>
    <row r="37" spans="1:70" s="741" customFormat="1" ht="34" hidden="1" customHeight="1" x14ac:dyDescent="0.3">
      <c r="A37" s="158">
        <v>26</v>
      </c>
      <c r="B37" s="104"/>
      <c r="C37" s="114"/>
      <c r="D37" s="106"/>
      <c r="E37" s="107"/>
      <c r="F37" s="108"/>
      <c r="G37" s="133" t="str">
        <f t="shared" si="0"/>
        <v/>
      </c>
      <c r="H37" s="328"/>
      <c r="I37" s="846"/>
      <c r="J37" s="847"/>
      <c r="K37" s="109"/>
      <c r="L37" s="110"/>
      <c r="M37" s="136" t="str">
        <f t="shared" si="4"/>
        <v/>
      </c>
      <c r="N37" s="137">
        <f t="shared" si="5"/>
        <v>0</v>
      </c>
      <c r="O37" s="111"/>
      <c r="P37" s="145" t="str">
        <f t="shared" si="1"/>
        <v/>
      </c>
      <c r="Q37" s="146" t="str">
        <f t="shared" si="2"/>
        <v/>
      </c>
      <c r="R37" s="545" t="str">
        <f t="shared" si="3"/>
        <v/>
      </c>
      <c r="S37" s="147" t="str">
        <f t="shared" si="6"/>
        <v/>
      </c>
      <c r="T37" s="147" t="str">
        <f t="shared" si="7"/>
        <v/>
      </c>
      <c r="U37" s="148" t="str">
        <f t="shared" si="8"/>
        <v/>
      </c>
      <c r="V37" s="552" t="str">
        <f ca="1">IF('Extra look-up'!$H31="Math o Waith","Gwiriwch Math o Waith",IF(AND(D37="",F37="",H37="",I37="",L37="",M37=""),"",IF(OR(D37="",F37="",H37="",I37="",L37="",M37="",$L$9&lt;&gt;"OK"),"Gwiriwch bod yr holl feysydd wedi eu llenwi'n gywir",IF(AND(D37="",OR(F37&lt;&gt;"",H37&lt;&gt;"",I37&lt;&gt;"",L37&lt;&gt;"")),"Gwiriwch bod yr holl feysydd wedi eu llenwi'n gywir","OK"))))</f>
        <v/>
      </c>
      <c r="W37" s="521" t="str">
        <f>IF(I37="","",IF(VLOOKUP(I37,'Eligible Technologies'!$D$7:$G$69,4,FALSE)&lt;$F$9,VLOOKUP(I37,'Eligible Technologies'!$D$7:$G$69,4,FALSE),$F$9))</f>
        <v/>
      </c>
      <c r="X37" s="522" t="str">
        <f t="shared" si="13"/>
        <v/>
      </c>
      <c r="Y37" s="522">
        <f t="shared" ca="1" si="10"/>
        <v>0</v>
      </c>
      <c r="Z37" s="522" t="str">
        <f>'Extra look-up'!F31</f>
        <v/>
      </c>
      <c r="AA37" s="522" t="str">
        <f ca="1">'Extra look-up'!H31</f>
        <v>OK</v>
      </c>
      <c r="AB37" s="522">
        <f t="shared" ca="1" si="11"/>
        <v>1</v>
      </c>
      <c r="AC37" s="536" t="e">
        <f t="shared" si="12"/>
        <v>#VALUE!</v>
      </c>
      <c r="AD37" s="539" t="str">
        <f ca="1">IFERROR(AVERAGE($AH$101:INDIRECT(CONCATENATE("AH"&amp;AC37))),"")</f>
        <v/>
      </c>
      <c r="AE37" s="533"/>
      <c r="AF37" s="533"/>
      <c r="AG37" s="12"/>
      <c r="AH37" s="11" t="s">
        <v>120</v>
      </c>
      <c r="AI37" s="12" t="s">
        <v>120</v>
      </c>
      <c r="AJ37" s="12"/>
      <c r="AK37" s="24"/>
      <c r="AL37" s="24"/>
      <c r="AM37" s="24"/>
      <c r="AN37" s="11"/>
      <c r="AO37" s="11"/>
      <c r="AP37" s="11"/>
      <c r="AQ37" s="24"/>
      <c r="AR37" s="731"/>
      <c r="AS37" s="731"/>
      <c r="AT37" s="731"/>
      <c r="AU37" s="731"/>
      <c r="AV37" s="731"/>
      <c r="AW37" s="731"/>
      <c r="AX37" s="731"/>
      <c r="AY37" s="731"/>
      <c r="AZ37" s="731"/>
      <c r="BA37" s="731"/>
      <c r="BB37" s="731"/>
      <c r="BC37" s="731"/>
      <c r="BD37" s="731"/>
      <c r="BE37" s="731"/>
      <c r="BF37" s="731"/>
      <c r="BG37" s="731"/>
      <c r="BH37" s="731"/>
      <c r="BI37" s="731"/>
      <c r="BJ37" s="731"/>
      <c r="BK37" s="731"/>
      <c r="BL37" s="731"/>
      <c r="BM37" s="731"/>
      <c r="BN37" s="731"/>
      <c r="BO37" s="731"/>
      <c r="BP37" s="731"/>
      <c r="BQ37" s="731"/>
      <c r="BR37" s="731"/>
    </row>
    <row r="38" spans="1:70" s="741" customFormat="1" ht="34" hidden="1" customHeight="1" x14ac:dyDescent="0.3">
      <c r="A38" s="158">
        <v>27</v>
      </c>
      <c r="B38" s="104"/>
      <c r="C38" s="114"/>
      <c r="D38" s="106"/>
      <c r="E38" s="107"/>
      <c r="F38" s="108"/>
      <c r="G38" s="133" t="str">
        <f t="shared" si="0"/>
        <v/>
      </c>
      <c r="H38" s="328"/>
      <c r="I38" s="846"/>
      <c r="J38" s="847"/>
      <c r="K38" s="109"/>
      <c r="L38" s="110"/>
      <c r="M38" s="136" t="str">
        <f t="shared" si="4"/>
        <v/>
      </c>
      <c r="N38" s="137">
        <f t="shared" si="5"/>
        <v>0</v>
      </c>
      <c r="O38" s="111"/>
      <c r="P38" s="145" t="str">
        <f t="shared" si="1"/>
        <v/>
      </c>
      <c r="Q38" s="146" t="str">
        <f t="shared" si="2"/>
        <v/>
      </c>
      <c r="R38" s="545" t="str">
        <f t="shared" si="3"/>
        <v/>
      </c>
      <c r="S38" s="147" t="str">
        <f t="shared" si="6"/>
        <v/>
      </c>
      <c r="T38" s="147" t="str">
        <f t="shared" si="7"/>
        <v/>
      </c>
      <c r="U38" s="148" t="str">
        <f t="shared" si="8"/>
        <v/>
      </c>
      <c r="V38" s="552" t="str">
        <f ca="1">IF('Extra look-up'!$H32="Math o Waith","Gwiriwch Math o Waith",IF(AND(D38="",F38="",H38="",I38="",L38="",M38=""),"",IF(OR(D38="",F38="",H38="",I38="",L38="",M38="",$L$9&lt;&gt;"OK"),"Gwiriwch bod yr holl feysydd wedi eu llenwi'n gywir",IF(AND(D38="",OR(F38&lt;&gt;"",H38&lt;&gt;"",I38&lt;&gt;"",L38&lt;&gt;"")),"Gwiriwch bod yr holl feysydd wedi eu llenwi'n gywir","OK"))))</f>
        <v/>
      </c>
      <c r="W38" s="521" t="str">
        <f>IF(I38="","",IF(VLOOKUP(I38,'Eligible Technologies'!$D$7:$G$69,4,FALSE)&lt;$F$9,VLOOKUP(I38,'Eligible Technologies'!$D$7:$G$69,4,FALSE),$F$9))</f>
        <v/>
      </c>
      <c r="X38" s="522" t="str">
        <f t="shared" si="13"/>
        <v/>
      </c>
      <c r="Y38" s="522">
        <f t="shared" ca="1" si="10"/>
        <v>0</v>
      </c>
      <c r="Z38" s="522" t="str">
        <f>'Extra look-up'!F32</f>
        <v/>
      </c>
      <c r="AA38" s="522" t="str">
        <f ca="1">'Extra look-up'!H32</f>
        <v>OK</v>
      </c>
      <c r="AB38" s="522">
        <f t="shared" ca="1" si="11"/>
        <v>1</v>
      </c>
      <c r="AC38" s="536" t="e">
        <f t="shared" si="12"/>
        <v>#VALUE!</v>
      </c>
      <c r="AD38" s="539" t="str">
        <f ca="1">IFERROR(AVERAGE($AH$101:INDIRECT(CONCATENATE("AH"&amp;AC38))),"")</f>
        <v/>
      </c>
      <c r="AE38" s="533"/>
      <c r="AF38" s="533"/>
      <c r="AG38" s="11"/>
      <c r="AH38" s="24"/>
      <c r="AI38" s="11"/>
      <c r="AJ38" s="11"/>
      <c r="AK38" s="11"/>
      <c r="AL38" s="11"/>
      <c r="AM38" s="24"/>
      <c r="AN38" s="11"/>
      <c r="AO38" s="11"/>
      <c r="AP38" s="11"/>
      <c r="AQ38" s="24"/>
      <c r="AR38" s="731"/>
      <c r="AS38" s="731"/>
      <c r="AT38" s="731"/>
      <c r="AU38" s="731"/>
      <c r="AV38" s="731"/>
      <c r="AW38" s="731"/>
      <c r="AX38" s="731"/>
      <c r="AY38" s="731"/>
      <c r="AZ38" s="731"/>
      <c r="BA38" s="731"/>
      <c r="BB38" s="731"/>
      <c r="BC38" s="731"/>
      <c r="BD38" s="731"/>
      <c r="BE38" s="731"/>
      <c r="BF38" s="731"/>
      <c r="BG38" s="731"/>
      <c r="BH38" s="731"/>
      <c r="BI38" s="731"/>
      <c r="BJ38" s="731"/>
      <c r="BK38" s="731"/>
      <c r="BL38" s="731"/>
      <c r="BM38" s="731"/>
      <c r="BN38" s="731"/>
      <c r="BO38" s="731"/>
      <c r="BP38" s="731"/>
      <c r="BQ38" s="731"/>
      <c r="BR38" s="731"/>
    </row>
    <row r="39" spans="1:70" s="741" customFormat="1" ht="34" hidden="1" customHeight="1" x14ac:dyDescent="0.3">
      <c r="A39" s="158">
        <v>28</v>
      </c>
      <c r="B39" s="104"/>
      <c r="C39" s="114"/>
      <c r="D39" s="106"/>
      <c r="E39" s="107"/>
      <c r="F39" s="108"/>
      <c r="G39" s="133" t="str">
        <f t="shared" si="0"/>
        <v/>
      </c>
      <c r="H39" s="328"/>
      <c r="I39" s="846"/>
      <c r="J39" s="847"/>
      <c r="K39" s="109"/>
      <c r="L39" s="110"/>
      <c r="M39" s="136" t="str">
        <f t="shared" si="4"/>
        <v/>
      </c>
      <c r="N39" s="137">
        <f t="shared" si="5"/>
        <v>0</v>
      </c>
      <c r="O39" s="111"/>
      <c r="P39" s="145" t="str">
        <f t="shared" si="1"/>
        <v/>
      </c>
      <c r="Q39" s="146" t="str">
        <f t="shared" si="2"/>
        <v/>
      </c>
      <c r="R39" s="545" t="str">
        <f t="shared" si="3"/>
        <v/>
      </c>
      <c r="S39" s="147" t="str">
        <f t="shared" si="6"/>
        <v/>
      </c>
      <c r="T39" s="147" t="str">
        <f t="shared" si="7"/>
        <v/>
      </c>
      <c r="U39" s="148" t="str">
        <f t="shared" si="8"/>
        <v/>
      </c>
      <c r="V39" s="552" t="str">
        <f ca="1">IF('Extra look-up'!$H33="Math o Waith","Gwiriwch Math o Waith",IF(AND(D39="",F39="",H39="",I39="",L39="",M39=""),"",IF(OR(D39="",F39="",H39="",I39="",L39="",M39="",$L$9&lt;&gt;"OK"),"Gwiriwch bod yr holl feysydd wedi eu llenwi'n gywir",IF(AND(D39="",OR(F39&lt;&gt;"",H39&lt;&gt;"",I39&lt;&gt;"",L39&lt;&gt;"")),"Gwiriwch bod yr holl feysydd wedi eu llenwi'n gywir","OK"))))</f>
        <v/>
      </c>
      <c r="W39" s="521" t="str">
        <f>IF(I39="","",IF(VLOOKUP(I39,'Eligible Technologies'!$D$7:$G$69,4,FALSE)&lt;$F$9,VLOOKUP(I39,'Eligible Technologies'!$D$7:$G$69,4,FALSE),$F$9))</f>
        <v/>
      </c>
      <c r="X39" s="522" t="str">
        <f t="shared" si="13"/>
        <v/>
      </c>
      <c r="Y39" s="522">
        <f t="shared" ca="1" si="10"/>
        <v>0</v>
      </c>
      <c r="Z39" s="522" t="str">
        <f>'Extra look-up'!F33</f>
        <v/>
      </c>
      <c r="AA39" s="522" t="str">
        <f ca="1">'Extra look-up'!H33</f>
        <v>OK</v>
      </c>
      <c r="AB39" s="522">
        <f t="shared" ca="1" si="11"/>
        <v>1</v>
      </c>
      <c r="AC39" s="536" t="e">
        <f t="shared" si="12"/>
        <v>#VALUE!</v>
      </c>
      <c r="AD39" s="539" t="str">
        <f ca="1">IFERROR(AVERAGE($AH$101:INDIRECT(CONCATENATE("AH"&amp;AC39))),"")</f>
        <v/>
      </c>
      <c r="AE39" s="533"/>
      <c r="AF39" s="533"/>
      <c r="AG39" s="24"/>
      <c r="AH39" s="24"/>
      <c r="AI39" s="24"/>
      <c r="AJ39" s="24"/>
      <c r="AK39" s="24"/>
      <c r="AL39" s="24"/>
      <c r="AM39" s="24"/>
      <c r="AN39" s="24"/>
      <c r="AO39" s="11"/>
      <c r="AP39" s="11"/>
      <c r="AQ39" s="24"/>
      <c r="AR39" s="731"/>
      <c r="AS39" s="731"/>
      <c r="AT39" s="731"/>
      <c r="AU39" s="731"/>
      <c r="AV39" s="731"/>
      <c r="AW39" s="731"/>
      <c r="AX39" s="731"/>
      <c r="AY39" s="731"/>
      <c r="AZ39" s="731"/>
      <c r="BA39" s="731"/>
      <c r="BB39" s="731"/>
      <c r="BC39" s="731"/>
      <c r="BD39" s="731"/>
      <c r="BE39" s="731"/>
      <c r="BF39" s="731"/>
      <c r="BG39" s="731"/>
      <c r="BH39" s="731"/>
      <c r="BI39" s="731"/>
      <c r="BJ39" s="731"/>
      <c r="BK39" s="731"/>
      <c r="BL39" s="731"/>
      <c r="BM39" s="731"/>
      <c r="BN39" s="731"/>
      <c r="BO39" s="731"/>
      <c r="BP39" s="731"/>
      <c r="BQ39" s="731"/>
      <c r="BR39" s="731"/>
    </row>
    <row r="40" spans="1:70" s="741" customFormat="1" ht="34" hidden="1" customHeight="1" x14ac:dyDescent="0.3">
      <c r="A40" s="158">
        <v>29</v>
      </c>
      <c r="B40" s="104"/>
      <c r="C40" s="114"/>
      <c r="D40" s="106"/>
      <c r="E40" s="107"/>
      <c r="F40" s="108"/>
      <c r="G40" s="133" t="str">
        <f t="shared" si="0"/>
        <v/>
      </c>
      <c r="H40" s="328"/>
      <c r="I40" s="846"/>
      <c r="J40" s="847"/>
      <c r="K40" s="109"/>
      <c r="L40" s="110"/>
      <c r="M40" s="136" t="str">
        <f t="shared" si="4"/>
        <v/>
      </c>
      <c r="N40" s="137">
        <f t="shared" si="5"/>
        <v>0</v>
      </c>
      <c r="O40" s="111"/>
      <c r="P40" s="145" t="str">
        <f t="shared" si="1"/>
        <v/>
      </c>
      <c r="Q40" s="146" t="str">
        <f t="shared" si="2"/>
        <v/>
      </c>
      <c r="R40" s="545" t="str">
        <f t="shared" si="3"/>
        <v/>
      </c>
      <c r="S40" s="147" t="str">
        <f t="shared" si="6"/>
        <v/>
      </c>
      <c r="T40" s="147" t="str">
        <f t="shared" si="7"/>
        <v/>
      </c>
      <c r="U40" s="148" t="str">
        <f t="shared" si="8"/>
        <v/>
      </c>
      <c r="V40" s="552" t="str">
        <f ca="1">IF('Extra look-up'!$H34="Math o Waith","Gwiriwch Math o Waith",IF(AND(D40="",F40="",H40="",I40="",L40="",M40=""),"",IF(OR(D40="",F40="",H40="",I40="",L40="",M40="",$L$9&lt;&gt;"OK"),"Gwiriwch bod yr holl feysydd wedi eu llenwi'n gywir",IF(AND(D40="",OR(F40&lt;&gt;"",H40&lt;&gt;"",I40&lt;&gt;"",L40&lt;&gt;"")),"Gwiriwch bod yr holl feysydd wedi eu llenwi'n gywir","OK"))))</f>
        <v/>
      </c>
      <c r="W40" s="521" t="str">
        <f>IF(I40="","",IF(VLOOKUP(I40,'Eligible Technologies'!$D$7:$G$69,4,FALSE)&lt;$F$9,VLOOKUP(I40,'Eligible Technologies'!$D$7:$G$69,4,FALSE),$F$9))</f>
        <v/>
      </c>
      <c r="X40" s="522" t="str">
        <f t="shared" si="13"/>
        <v/>
      </c>
      <c r="Y40" s="522">
        <f t="shared" ca="1" si="10"/>
        <v>0</v>
      </c>
      <c r="Z40" s="522" t="str">
        <f>'Extra look-up'!F34</f>
        <v/>
      </c>
      <c r="AA40" s="522" t="str">
        <f ca="1">'Extra look-up'!H34</f>
        <v>OK</v>
      </c>
      <c r="AB40" s="522">
        <f t="shared" ca="1" si="11"/>
        <v>1</v>
      </c>
      <c r="AC40" s="536" t="e">
        <f t="shared" si="12"/>
        <v>#VALUE!</v>
      </c>
      <c r="AD40" s="539" t="str">
        <f ca="1">IFERROR(AVERAGE($AH$101:INDIRECT(CONCATENATE("AH"&amp;AC40))),"")</f>
        <v/>
      </c>
      <c r="AE40" s="533"/>
      <c r="AF40" s="533"/>
      <c r="AG40" s="24"/>
      <c r="AH40" s="24"/>
      <c r="AI40" s="24"/>
      <c r="AJ40" s="24"/>
      <c r="AK40" s="24"/>
      <c r="AL40" s="24"/>
      <c r="AM40" s="24"/>
      <c r="AN40" s="24"/>
      <c r="AO40" s="11"/>
      <c r="AP40" s="11"/>
      <c r="AQ40" s="24"/>
      <c r="AR40" s="731"/>
      <c r="AS40" s="731"/>
      <c r="AT40" s="731"/>
      <c r="AU40" s="731"/>
      <c r="AV40" s="731"/>
      <c r="AW40" s="731"/>
      <c r="AX40" s="731"/>
      <c r="AY40" s="731"/>
      <c r="AZ40" s="731"/>
      <c r="BA40" s="731"/>
      <c r="BB40" s="731"/>
      <c r="BC40" s="731"/>
      <c r="BD40" s="731"/>
      <c r="BE40" s="731"/>
      <c r="BF40" s="731"/>
      <c r="BG40" s="731"/>
      <c r="BH40" s="731"/>
      <c r="BI40" s="731"/>
      <c r="BJ40" s="731"/>
      <c r="BK40" s="731"/>
      <c r="BL40" s="731"/>
      <c r="BM40" s="731"/>
      <c r="BN40" s="731"/>
      <c r="BO40" s="731"/>
      <c r="BP40" s="731"/>
      <c r="BQ40" s="731"/>
      <c r="BR40" s="731"/>
    </row>
    <row r="41" spans="1:70" s="741" customFormat="1" ht="34" hidden="1" customHeight="1" x14ac:dyDescent="0.3">
      <c r="A41" s="158">
        <v>30</v>
      </c>
      <c r="B41" s="104"/>
      <c r="C41" s="114"/>
      <c r="D41" s="106"/>
      <c r="E41" s="107"/>
      <c r="F41" s="108"/>
      <c r="G41" s="133" t="str">
        <f t="shared" si="0"/>
        <v/>
      </c>
      <c r="H41" s="328"/>
      <c r="I41" s="846"/>
      <c r="J41" s="847"/>
      <c r="K41" s="109"/>
      <c r="L41" s="110"/>
      <c r="M41" s="136" t="str">
        <f t="shared" si="4"/>
        <v/>
      </c>
      <c r="N41" s="137">
        <f t="shared" si="5"/>
        <v>0</v>
      </c>
      <c r="O41" s="111"/>
      <c r="P41" s="145" t="str">
        <f t="shared" si="1"/>
        <v/>
      </c>
      <c r="Q41" s="146" t="str">
        <f t="shared" si="2"/>
        <v/>
      </c>
      <c r="R41" s="545" t="str">
        <f t="shared" si="3"/>
        <v/>
      </c>
      <c r="S41" s="147" t="str">
        <f t="shared" si="6"/>
        <v/>
      </c>
      <c r="T41" s="147" t="str">
        <f t="shared" si="7"/>
        <v/>
      </c>
      <c r="U41" s="148" t="str">
        <f t="shared" si="8"/>
        <v/>
      </c>
      <c r="V41" s="552" t="str">
        <f ca="1">IF('Extra look-up'!$H35="Math o Waith","Gwiriwch Math o Waith",IF(AND(D41="",F41="",H41="",I41="",L41="",M41=""),"",IF(OR(D41="",F41="",H41="",I41="",L41="",M41="",$L$9&lt;&gt;"OK"),"Gwiriwch bod yr holl feysydd wedi eu llenwi'n gywir",IF(AND(D41="",OR(F41&lt;&gt;"",H41&lt;&gt;"",I41&lt;&gt;"",L41&lt;&gt;"")),"Gwiriwch bod yr holl feysydd wedi eu llenwi'n gywir","OK"))))</f>
        <v/>
      </c>
      <c r="W41" s="521" t="str">
        <f>IF(I41="","",IF(VLOOKUP(I41,'Eligible Technologies'!$D$7:$G$69,4,FALSE)&lt;$F$9,VLOOKUP(I41,'Eligible Technologies'!$D$7:$G$69,4,FALSE),$F$9))</f>
        <v/>
      </c>
      <c r="X41" s="522" t="str">
        <f t="shared" si="13"/>
        <v/>
      </c>
      <c r="Y41" s="522">
        <f t="shared" ca="1" si="10"/>
        <v>0</v>
      </c>
      <c r="Z41" s="522" t="str">
        <f>'Extra look-up'!F35</f>
        <v/>
      </c>
      <c r="AA41" s="522" t="str">
        <f ca="1">'Extra look-up'!H35</f>
        <v>OK</v>
      </c>
      <c r="AB41" s="522">
        <f t="shared" ca="1" si="11"/>
        <v>1</v>
      </c>
      <c r="AC41" s="536" t="e">
        <f t="shared" si="12"/>
        <v>#VALUE!</v>
      </c>
      <c r="AD41" s="539" t="str">
        <f ca="1">IFERROR(AVERAGE($AH$101:INDIRECT(CONCATENATE("AH"&amp;AC41))),"")</f>
        <v/>
      </c>
      <c r="AE41" s="533"/>
      <c r="AF41" s="533"/>
      <c r="AG41" s="24"/>
      <c r="AH41" s="24"/>
      <c r="AI41" s="24"/>
      <c r="AJ41" s="24"/>
      <c r="AK41" s="24"/>
      <c r="AL41" s="24"/>
      <c r="AM41" s="24"/>
      <c r="AN41" s="24"/>
      <c r="AO41" s="24"/>
      <c r="AP41" s="24"/>
      <c r="AQ41" s="24"/>
      <c r="AR41" s="731"/>
      <c r="AS41" s="731"/>
      <c r="AT41" s="731"/>
      <c r="AU41" s="731"/>
      <c r="AV41" s="731"/>
      <c r="AW41" s="731"/>
      <c r="AX41" s="731"/>
      <c r="AY41" s="731"/>
      <c r="AZ41" s="731"/>
      <c r="BA41" s="731"/>
      <c r="BB41" s="731"/>
      <c r="BC41" s="731"/>
      <c r="BD41" s="731"/>
      <c r="BE41" s="731"/>
      <c r="BF41" s="731"/>
      <c r="BG41" s="731"/>
      <c r="BH41" s="731"/>
      <c r="BI41" s="731"/>
      <c r="BJ41" s="731"/>
      <c r="BK41" s="731"/>
      <c r="BL41" s="731"/>
      <c r="BM41" s="731"/>
      <c r="BN41" s="731"/>
      <c r="BO41" s="731"/>
      <c r="BP41" s="731"/>
      <c r="BQ41" s="731"/>
      <c r="BR41" s="731"/>
    </row>
    <row r="42" spans="1:70" s="741" customFormat="1" ht="34" hidden="1" customHeight="1" x14ac:dyDescent="0.3">
      <c r="A42" s="158">
        <v>31</v>
      </c>
      <c r="B42" s="104"/>
      <c r="C42" s="114"/>
      <c r="D42" s="106"/>
      <c r="E42" s="107"/>
      <c r="F42" s="108"/>
      <c r="G42" s="133" t="str">
        <f t="shared" si="0"/>
        <v/>
      </c>
      <c r="H42" s="328"/>
      <c r="I42" s="846"/>
      <c r="J42" s="847"/>
      <c r="K42" s="109"/>
      <c r="L42" s="110"/>
      <c r="M42" s="136" t="str">
        <f t="shared" si="4"/>
        <v/>
      </c>
      <c r="N42" s="137">
        <f t="shared" si="5"/>
        <v>0</v>
      </c>
      <c r="O42" s="111"/>
      <c r="P42" s="145" t="str">
        <f t="shared" si="1"/>
        <v/>
      </c>
      <c r="Q42" s="146" t="str">
        <f t="shared" si="2"/>
        <v/>
      </c>
      <c r="R42" s="545" t="str">
        <f t="shared" si="3"/>
        <v/>
      </c>
      <c r="S42" s="147" t="str">
        <f t="shared" si="6"/>
        <v/>
      </c>
      <c r="T42" s="147" t="str">
        <f t="shared" si="7"/>
        <v/>
      </c>
      <c r="U42" s="148" t="str">
        <f t="shared" si="8"/>
        <v/>
      </c>
      <c r="V42" s="552" t="str">
        <f ca="1">IF('Extra look-up'!$H36="Math o Waith","Gwiriwch Math o Waith",IF(AND(D42="",F42="",H42="",I42="",L42="",M42=""),"",IF(OR(D42="",F42="",H42="",I42="",L42="",M42="",$L$9&lt;&gt;"OK"),"Gwiriwch bod yr holl feysydd wedi eu llenwi'n gywir",IF(AND(D42="",OR(F42&lt;&gt;"",H42&lt;&gt;"",I42&lt;&gt;"",L42&lt;&gt;"")),"Gwiriwch bod yr holl feysydd wedi eu llenwi'n gywir","OK"))))</f>
        <v/>
      </c>
      <c r="W42" s="521" t="str">
        <f>IF(I42="","",IF(VLOOKUP(I42,'Eligible Technologies'!$D$7:$G$69,4,FALSE)&lt;$F$9,VLOOKUP(I42,'Eligible Technologies'!$D$7:$G$69,4,FALSE),$F$9))</f>
        <v/>
      </c>
      <c r="X42" s="522" t="str">
        <f t="shared" si="13"/>
        <v/>
      </c>
      <c r="Y42" s="522">
        <f t="shared" ca="1" si="10"/>
        <v>0</v>
      </c>
      <c r="Z42" s="522" t="str">
        <f>'Extra look-up'!F36</f>
        <v/>
      </c>
      <c r="AA42" s="522" t="str">
        <f ca="1">'Extra look-up'!H36</f>
        <v>OK</v>
      </c>
      <c r="AB42" s="522">
        <f t="shared" ca="1" si="11"/>
        <v>1</v>
      </c>
      <c r="AC42" s="536" t="e">
        <f t="shared" si="12"/>
        <v>#VALUE!</v>
      </c>
      <c r="AD42" s="539" t="str">
        <f ca="1">IFERROR(AVERAGE($AH$101:INDIRECT(CONCATENATE("AH"&amp;AC42))),"")</f>
        <v/>
      </c>
      <c r="AE42" s="533"/>
      <c r="AF42" s="533"/>
      <c r="AG42" s="24"/>
      <c r="AH42" s="24"/>
      <c r="AI42" s="24"/>
      <c r="AJ42" s="24"/>
      <c r="AK42" s="24"/>
      <c r="AL42" s="24"/>
      <c r="AM42" s="24"/>
      <c r="AN42" s="24"/>
      <c r="AO42" s="24"/>
      <c r="AP42" s="24"/>
      <c r="AQ42" s="24"/>
      <c r="AR42" s="731"/>
      <c r="AS42" s="731"/>
      <c r="AT42" s="731"/>
      <c r="AU42" s="731"/>
      <c r="AV42" s="731"/>
      <c r="AW42" s="731"/>
      <c r="AX42" s="731"/>
      <c r="AY42" s="731"/>
      <c r="AZ42" s="731"/>
      <c r="BA42" s="731"/>
      <c r="BB42" s="731"/>
      <c r="BC42" s="731"/>
      <c r="BD42" s="731"/>
      <c r="BE42" s="731"/>
      <c r="BF42" s="731"/>
      <c r="BG42" s="731"/>
      <c r="BH42" s="731"/>
      <c r="BI42" s="731"/>
      <c r="BJ42" s="731"/>
      <c r="BK42" s="731"/>
      <c r="BL42" s="731"/>
      <c r="BM42" s="731"/>
      <c r="BN42" s="731"/>
      <c r="BO42" s="731"/>
      <c r="BP42" s="731"/>
      <c r="BQ42" s="731"/>
      <c r="BR42" s="731"/>
    </row>
    <row r="43" spans="1:70" s="741" customFormat="1" ht="34" hidden="1" customHeight="1" x14ac:dyDescent="0.3">
      <c r="A43" s="158">
        <v>32</v>
      </c>
      <c r="B43" s="104"/>
      <c r="C43" s="114"/>
      <c r="D43" s="106"/>
      <c r="E43" s="107"/>
      <c r="F43" s="108"/>
      <c r="G43" s="133" t="str">
        <f t="shared" si="0"/>
        <v/>
      </c>
      <c r="H43" s="328"/>
      <c r="I43" s="846"/>
      <c r="J43" s="847"/>
      <c r="K43" s="109"/>
      <c r="L43" s="110"/>
      <c r="M43" s="136" t="str">
        <f t="shared" si="4"/>
        <v/>
      </c>
      <c r="N43" s="137">
        <f t="shared" si="5"/>
        <v>0</v>
      </c>
      <c r="O43" s="111"/>
      <c r="P43" s="145" t="str">
        <f t="shared" si="1"/>
        <v/>
      </c>
      <c r="Q43" s="146" t="str">
        <f t="shared" si="2"/>
        <v/>
      </c>
      <c r="R43" s="545" t="str">
        <f t="shared" si="3"/>
        <v/>
      </c>
      <c r="S43" s="147" t="str">
        <f t="shared" si="6"/>
        <v/>
      </c>
      <c r="T43" s="147" t="str">
        <f t="shared" si="7"/>
        <v/>
      </c>
      <c r="U43" s="148" t="str">
        <f t="shared" si="8"/>
        <v/>
      </c>
      <c r="V43" s="552" t="str">
        <f ca="1">IF('Extra look-up'!$H37="Math o Waith","Gwiriwch Math o Waith",IF(AND(D43="",F43="",H43="",I43="",L43="",M43=""),"",IF(OR(D43="",F43="",H43="",I43="",L43="",M43="",$L$9&lt;&gt;"OK"),"Gwiriwch bod yr holl feysydd wedi eu llenwi'n gywir",IF(AND(D43="",OR(F43&lt;&gt;"",H43&lt;&gt;"",I43&lt;&gt;"",L43&lt;&gt;"")),"Gwiriwch bod yr holl feysydd wedi eu llenwi'n gywir","OK"))))</f>
        <v/>
      </c>
      <c r="W43" s="521" t="str">
        <f>IF(I43="","",IF(VLOOKUP(I43,'Eligible Technologies'!$D$7:$G$69,4,FALSE)&lt;$F$9,VLOOKUP(I43,'Eligible Technologies'!$D$7:$G$69,4,FALSE),$F$9))</f>
        <v/>
      </c>
      <c r="X43" s="522" t="str">
        <f t="shared" si="13"/>
        <v/>
      </c>
      <c r="Y43" s="522">
        <f t="shared" ca="1" si="10"/>
        <v>0</v>
      </c>
      <c r="Z43" s="522" t="str">
        <f>'Extra look-up'!F37</f>
        <v/>
      </c>
      <c r="AA43" s="522" t="str">
        <f ca="1">'Extra look-up'!H37</f>
        <v>OK</v>
      </c>
      <c r="AB43" s="522">
        <f t="shared" ca="1" si="11"/>
        <v>1</v>
      </c>
      <c r="AC43" s="536" t="e">
        <f t="shared" si="12"/>
        <v>#VALUE!</v>
      </c>
      <c r="AD43" s="539" t="str">
        <f ca="1">IFERROR(AVERAGE($AH$101:INDIRECT(CONCATENATE("AH"&amp;AC43))),"")</f>
        <v/>
      </c>
      <c r="AE43" s="533"/>
      <c r="AF43" s="533"/>
      <c r="AG43" s="24"/>
      <c r="AH43" s="24"/>
      <c r="AI43" s="24"/>
      <c r="AJ43" s="24"/>
      <c r="AK43" s="24"/>
      <c r="AL43" s="24"/>
      <c r="AM43" s="24"/>
      <c r="AN43" s="24"/>
      <c r="AO43" s="24"/>
      <c r="AP43" s="24"/>
      <c r="AQ43" s="24"/>
      <c r="AR43" s="731"/>
      <c r="AS43" s="731"/>
      <c r="AT43" s="731"/>
      <c r="AU43" s="731"/>
      <c r="AV43" s="731"/>
      <c r="AW43" s="731"/>
      <c r="AX43" s="731"/>
      <c r="AY43" s="731"/>
      <c r="AZ43" s="731"/>
      <c r="BA43" s="731"/>
      <c r="BB43" s="731"/>
      <c r="BC43" s="731"/>
      <c r="BD43" s="731"/>
      <c r="BE43" s="731"/>
      <c r="BF43" s="731"/>
      <c r="BG43" s="731"/>
      <c r="BH43" s="731"/>
      <c r="BI43" s="731"/>
      <c r="BJ43" s="731"/>
      <c r="BK43" s="731"/>
      <c r="BL43" s="731"/>
      <c r="BM43" s="731"/>
      <c r="BN43" s="731"/>
      <c r="BO43" s="731"/>
      <c r="BP43" s="731"/>
      <c r="BQ43" s="731"/>
      <c r="BR43" s="731"/>
    </row>
    <row r="44" spans="1:70" s="741" customFormat="1" ht="34" hidden="1" customHeight="1" x14ac:dyDescent="0.3">
      <c r="A44" s="158">
        <v>33</v>
      </c>
      <c r="B44" s="104"/>
      <c r="C44" s="114"/>
      <c r="D44" s="106"/>
      <c r="E44" s="107"/>
      <c r="F44" s="108"/>
      <c r="G44" s="133" t="str">
        <f t="shared" ref="G44:G61" si="14">IFERROR(((F44/E44)^(1/X44))-1,"")</f>
        <v/>
      </c>
      <c r="H44" s="328"/>
      <c r="I44" s="846"/>
      <c r="J44" s="847"/>
      <c r="K44" s="109"/>
      <c r="L44" s="110"/>
      <c r="M44" s="136" t="str">
        <f t="shared" si="4"/>
        <v/>
      </c>
      <c r="N44" s="137">
        <f t="shared" si="5"/>
        <v>0</v>
      </c>
      <c r="O44" s="111"/>
      <c r="P44" s="145" t="str">
        <f t="shared" ref="P44:P61" si="15">IF(OR(F44="",M44=""),"",M44*F44/100)</f>
        <v/>
      </c>
      <c r="Q44" s="146" t="str">
        <f t="shared" si="2"/>
        <v/>
      </c>
      <c r="R44" s="545" t="str">
        <f t="shared" ref="R44:R61" si="16">IFERROR(IF(D44="Electricity",AD44,HLOOKUP(D44,$AH$100:$AQ$140,2,FALSE)),"")</f>
        <v/>
      </c>
      <c r="S44" s="147" t="str">
        <f t="shared" ref="S44:S61" si="17">IF(OR(D44="",M44="",R44=""),"",M44*R44/1000)</f>
        <v/>
      </c>
      <c r="T44" s="147" t="str">
        <f t="shared" si="7"/>
        <v/>
      </c>
      <c r="U44" s="148" t="str">
        <f t="shared" si="8"/>
        <v/>
      </c>
      <c r="V44" s="552" t="str">
        <f ca="1">IF('Extra look-up'!$H38="Math o Waith","Gwiriwch Math o Waith",IF(AND(D44="",F44="",H44="",I44="",L44="",M44=""),"",IF(OR(D44="",F44="",H44="",I44="",L44="",M44="",$L$9&lt;&gt;"OK"),"Gwiriwch bod yr holl feysydd wedi eu llenwi'n gywir",IF(AND(D44="",OR(F44&lt;&gt;"",H44&lt;&gt;"",I44&lt;&gt;"",L44&lt;&gt;"")),"Gwiriwch bod yr holl feysydd wedi eu llenwi'n gywir","OK"))))</f>
        <v/>
      </c>
      <c r="W44" s="521" t="str">
        <f>IF(I44="","",IF(VLOOKUP(I44,'Eligible Technologies'!$D$7:$G$69,4,FALSE)&lt;$F$9,VLOOKUP(I44,'Eligible Technologies'!$D$7:$G$69,4,FALSE),$F$9))</f>
        <v/>
      </c>
      <c r="X44" s="522" t="str">
        <f t="shared" si="13"/>
        <v/>
      </c>
      <c r="Y44" s="522">
        <f t="shared" ca="1" si="10"/>
        <v>0</v>
      </c>
      <c r="Z44" s="522" t="str">
        <f>'Extra look-up'!F38</f>
        <v/>
      </c>
      <c r="AA44" s="522" t="str">
        <f ca="1">'Extra look-up'!H38</f>
        <v>OK</v>
      </c>
      <c r="AB44" s="522">
        <f t="shared" ca="1" si="11"/>
        <v>1</v>
      </c>
      <c r="AC44" s="536" t="e">
        <f t="shared" si="12"/>
        <v>#VALUE!</v>
      </c>
      <c r="AD44" s="539" t="str">
        <f ca="1">IFERROR(AVERAGE($AH$101:INDIRECT(CONCATENATE("AH"&amp;AC44))),"")</f>
        <v/>
      </c>
      <c r="AE44" s="533"/>
      <c r="AF44" s="533"/>
      <c r="AG44" s="24"/>
      <c r="AH44" s="24"/>
      <c r="AI44" s="24"/>
      <c r="AJ44" s="24"/>
      <c r="AK44" s="24"/>
      <c r="AL44" s="24"/>
      <c r="AM44" s="24"/>
      <c r="AN44" s="24"/>
      <c r="AO44" s="24"/>
      <c r="AP44" s="24"/>
      <c r="AQ44" s="24"/>
      <c r="AR44" s="731"/>
      <c r="AS44" s="731"/>
      <c r="AT44" s="731"/>
      <c r="AU44" s="731"/>
      <c r="AV44" s="731"/>
      <c r="AW44" s="731"/>
      <c r="AX44" s="731"/>
      <c r="AY44" s="731"/>
      <c r="AZ44" s="731"/>
      <c r="BA44" s="731"/>
      <c r="BB44" s="731"/>
      <c r="BC44" s="731"/>
      <c r="BD44" s="731"/>
      <c r="BE44" s="731"/>
      <c r="BF44" s="731"/>
      <c r="BG44" s="731"/>
      <c r="BH44" s="731"/>
      <c r="BI44" s="731"/>
      <c r="BJ44" s="731"/>
      <c r="BK44" s="731"/>
      <c r="BL44" s="731"/>
      <c r="BM44" s="731"/>
      <c r="BN44" s="731"/>
      <c r="BO44" s="731"/>
      <c r="BP44" s="731"/>
      <c r="BQ44" s="731"/>
      <c r="BR44" s="731"/>
    </row>
    <row r="45" spans="1:70" s="741" customFormat="1" ht="34" hidden="1" customHeight="1" x14ac:dyDescent="0.3">
      <c r="A45" s="158">
        <v>34</v>
      </c>
      <c r="B45" s="104"/>
      <c r="C45" s="114"/>
      <c r="D45" s="106"/>
      <c r="E45" s="107"/>
      <c r="F45" s="108"/>
      <c r="G45" s="133" t="str">
        <f t="shared" si="14"/>
        <v/>
      </c>
      <c r="H45" s="328"/>
      <c r="I45" s="846"/>
      <c r="J45" s="847"/>
      <c r="K45" s="109"/>
      <c r="L45" s="110"/>
      <c r="M45" s="136" t="str">
        <f t="shared" si="4"/>
        <v/>
      </c>
      <c r="N45" s="137">
        <f t="shared" si="5"/>
        <v>0</v>
      </c>
      <c r="O45" s="111"/>
      <c r="P45" s="145" t="str">
        <f t="shared" si="15"/>
        <v/>
      </c>
      <c r="Q45" s="146" t="str">
        <f t="shared" si="2"/>
        <v/>
      </c>
      <c r="R45" s="545" t="str">
        <f t="shared" si="16"/>
        <v/>
      </c>
      <c r="S45" s="147" t="str">
        <f t="shared" si="17"/>
        <v/>
      </c>
      <c r="T45" s="147" t="str">
        <f t="shared" si="7"/>
        <v/>
      </c>
      <c r="U45" s="148" t="str">
        <f t="shared" si="8"/>
        <v/>
      </c>
      <c r="V45" s="552" t="str">
        <f ca="1">IF('Extra look-up'!$H39="Math o Waith","Gwiriwch Math o Waith",IF(AND(D45="",F45="",H45="",I45="",L45="",M45=""),"",IF(OR(D45="",F45="",H45="",I45="",L45="",M45="",$L$9&lt;&gt;"OK"),"Gwiriwch bod yr holl feysydd wedi eu llenwi'n gywir",IF(AND(D45="",OR(F45&lt;&gt;"",H45&lt;&gt;"",I45&lt;&gt;"",L45&lt;&gt;"")),"Gwiriwch bod yr holl feysydd wedi eu llenwi'n gywir","OK"))))</f>
        <v/>
      </c>
      <c r="W45" s="521" t="str">
        <f>IF(I45="","",IF(VLOOKUP(I45,'Eligible Technologies'!$D$7:$G$69,4,FALSE)&lt;$F$9,VLOOKUP(I45,'Eligible Technologies'!$D$7:$G$69,4,FALSE),$F$9))</f>
        <v/>
      </c>
      <c r="X45" s="522" t="str">
        <f t="shared" si="13"/>
        <v/>
      </c>
      <c r="Y45" s="522">
        <f t="shared" ca="1" si="10"/>
        <v>0</v>
      </c>
      <c r="Z45" s="522" t="str">
        <f>'Extra look-up'!F39</f>
        <v/>
      </c>
      <c r="AA45" s="522" t="str">
        <f ca="1">'Extra look-up'!H39</f>
        <v>OK</v>
      </c>
      <c r="AB45" s="522">
        <f t="shared" ca="1" si="11"/>
        <v>1</v>
      </c>
      <c r="AC45" s="536" t="e">
        <f t="shared" si="12"/>
        <v>#VALUE!</v>
      </c>
      <c r="AD45" s="539" t="str">
        <f ca="1">IFERROR(AVERAGE($AH$101:INDIRECT(CONCATENATE("AH"&amp;AC45))),"")</f>
        <v/>
      </c>
      <c r="AE45" s="533"/>
      <c r="AF45" s="533"/>
      <c r="AG45" s="24"/>
      <c r="AH45" s="24"/>
      <c r="AI45" s="24"/>
      <c r="AJ45" s="24"/>
      <c r="AK45" s="24"/>
      <c r="AL45" s="24"/>
      <c r="AM45" s="24"/>
      <c r="AN45" s="24"/>
      <c r="AO45" s="24"/>
      <c r="AP45" s="24"/>
      <c r="AQ45" s="24"/>
      <c r="AR45" s="731"/>
      <c r="AS45" s="731"/>
      <c r="AT45" s="731"/>
      <c r="AU45" s="731"/>
      <c r="AV45" s="731"/>
      <c r="AW45" s="731"/>
      <c r="AX45" s="731"/>
      <c r="AY45" s="731"/>
      <c r="AZ45" s="731"/>
      <c r="BA45" s="731"/>
      <c r="BB45" s="731"/>
      <c r="BC45" s="731"/>
      <c r="BD45" s="731"/>
      <c r="BE45" s="731"/>
      <c r="BF45" s="731"/>
      <c r="BG45" s="731"/>
      <c r="BH45" s="731"/>
      <c r="BI45" s="731"/>
      <c r="BJ45" s="731"/>
      <c r="BK45" s="731"/>
      <c r="BL45" s="731"/>
      <c r="BM45" s="731"/>
      <c r="BN45" s="731"/>
      <c r="BO45" s="731"/>
      <c r="BP45" s="731"/>
      <c r="BQ45" s="731"/>
      <c r="BR45" s="731"/>
    </row>
    <row r="46" spans="1:70" s="741" customFormat="1" ht="34" hidden="1" customHeight="1" x14ac:dyDescent="0.3">
      <c r="A46" s="158">
        <v>35</v>
      </c>
      <c r="B46" s="104"/>
      <c r="C46" s="114"/>
      <c r="D46" s="106"/>
      <c r="E46" s="107"/>
      <c r="F46" s="108"/>
      <c r="G46" s="133" t="str">
        <f t="shared" si="14"/>
        <v/>
      </c>
      <c r="H46" s="328"/>
      <c r="I46" s="846"/>
      <c r="J46" s="847"/>
      <c r="K46" s="109"/>
      <c r="L46" s="110"/>
      <c r="M46" s="136" t="str">
        <f t="shared" si="4"/>
        <v/>
      </c>
      <c r="N46" s="137">
        <f t="shared" si="5"/>
        <v>0</v>
      </c>
      <c r="O46" s="111"/>
      <c r="P46" s="145" t="str">
        <f t="shared" si="15"/>
        <v/>
      </c>
      <c r="Q46" s="146" t="str">
        <f t="shared" si="2"/>
        <v/>
      </c>
      <c r="R46" s="545" t="str">
        <f t="shared" si="16"/>
        <v/>
      </c>
      <c r="S46" s="147" t="str">
        <f t="shared" si="17"/>
        <v/>
      </c>
      <c r="T46" s="147" t="str">
        <f t="shared" si="7"/>
        <v/>
      </c>
      <c r="U46" s="148" t="str">
        <f t="shared" si="8"/>
        <v/>
      </c>
      <c r="V46" s="552" t="str">
        <f ca="1">IF('Extra look-up'!$H40="Math o Waith","Gwiriwch Math o Waith",IF(AND(D46="",F46="",H46="",I46="",L46="",M46=""),"",IF(OR(D46="",F46="",H46="",I46="",L46="",M46="",$L$9&lt;&gt;"OK"),"Gwiriwch bod yr holl feysydd wedi eu llenwi'n gywir",IF(AND(D46="",OR(F46&lt;&gt;"",H46&lt;&gt;"",I46&lt;&gt;"",L46&lt;&gt;"")),"Gwiriwch bod yr holl feysydd wedi eu llenwi'n gywir","OK"))))</f>
        <v/>
      </c>
      <c r="W46" s="521" t="str">
        <f>IF(I46="","",IF(VLOOKUP(I46,'Eligible Technologies'!$D$7:$G$69,4,FALSE)&lt;$F$9,VLOOKUP(I46,'Eligible Technologies'!$D$7:$G$69,4,FALSE),$F$9))</f>
        <v/>
      </c>
      <c r="X46" s="522" t="str">
        <f t="shared" si="13"/>
        <v/>
      </c>
      <c r="Y46" s="522">
        <f t="shared" ca="1" si="10"/>
        <v>0</v>
      </c>
      <c r="Z46" s="522" t="str">
        <f>'Extra look-up'!F40</f>
        <v/>
      </c>
      <c r="AA46" s="522" t="str">
        <f ca="1">'Extra look-up'!H40</f>
        <v>OK</v>
      </c>
      <c r="AB46" s="522">
        <f t="shared" ca="1" si="11"/>
        <v>1</v>
      </c>
      <c r="AC46" s="536" t="e">
        <f t="shared" si="12"/>
        <v>#VALUE!</v>
      </c>
      <c r="AD46" s="539" t="str">
        <f ca="1">IFERROR(AVERAGE($AH$101:INDIRECT(CONCATENATE("AH"&amp;AC46))),"")</f>
        <v/>
      </c>
      <c r="AE46" s="533"/>
      <c r="AF46" s="533"/>
      <c r="AG46" s="24"/>
      <c r="AH46" s="24"/>
      <c r="AI46" s="24"/>
      <c r="AJ46" s="24"/>
      <c r="AK46" s="24"/>
      <c r="AL46" s="24"/>
      <c r="AM46" s="24"/>
      <c r="AN46" s="24"/>
      <c r="AO46" s="24"/>
      <c r="AP46" s="24"/>
      <c r="AQ46" s="24"/>
      <c r="AR46" s="731"/>
      <c r="AS46" s="731"/>
      <c r="AT46" s="731"/>
      <c r="AU46" s="731"/>
      <c r="AV46" s="731"/>
      <c r="AW46" s="731"/>
      <c r="AX46" s="731"/>
      <c r="AY46" s="731"/>
      <c r="AZ46" s="731"/>
      <c r="BA46" s="731"/>
      <c r="BB46" s="731"/>
      <c r="BC46" s="731"/>
      <c r="BD46" s="731"/>
      <c r="BE46" s="731"/>
      <c r="BF46" s="731"/>
      <c r="BG46" s="731"/>
      <c r="BH46" s="731"/>
      <c r="BI46" s="731"/>
      <c r="BJ46" s="731"/>
      <c r="BK46" s="731"/>
      <c r="BL46" s="731"/>
      <c r="BM46" s="731"/>
      <c r="BN46" s="731"/>
      <c r="BO46" s="731"/>
      <c r="BP46" s="731"/>
      <c r="BQ46" s="731"/>
      <c r="BR46" s="731"/>
    </row>
    <row r="47" spans="1:70" s="741" customFormat="1" ht="34" hidden="1" customHeight="1" x14ac:dyDescent="0.3">
      <c r="A47" s="158">
        <v>36</v>
      </c>
      <c r="B47" s="104"/>
      <c r="C47" s="114"/>
      <c r="D47" s="106"/>
      <c r="E47" s="107"/>
      <c r="F47" s="108"/>
      <c r="G47" s="133" t="str">
        <f t="shared" si="14"/>
        <v/>
      </c>
      <c r="H47" s="328"/>
      <c r="I47" s="846"/>
      <c r="J47" s="847"/>
      <c r="K47" s="109"/>
      <c r="L47" s="110"/>
      <c r="M47" s="136" t="str">
        <f t="shared" si="4"/>
        <v/>
      </c>
      <c r="N47" s="137">
        <f t="shared" si="5"/>
        <v>0</v>
      </c>
      <c r="O47" s="111"/>
      <c r="P47" s="145" t="str">
        <f t="shared" si="15"/>
        <v/>
      </c>
      <c r="Q47" s="146" t="str">
        <f t="shared" si="2"/>
        <v/>
      </c>
      <c r="R47" s="545" t="str">
        <f t="shared" si="16"/>
        <v/>
      </c>
      <c r="S47" s="147" t="str">
        <f t="shared" si="17"/>
        <v/>
      </c>
      <c r="T47" s="147" t="str">
        <f t="shared" si="7"/>
        <v/>
      </c>
      <c r="U47" s="148" t="str">
        <f t="shared" si="8"/>
        <v/>
      </c>
      <c r="V47" s="552" t="str">
        <f ca="1">IF('Extra look-up'!$H41="Math o Waith","Gwiriwch Math o Waith",IF(AND(D47="",F47="",H47="",I47="",L47="",M47=""),"",IF(OR(D47="",F47="",H47="",I47="",L47="",M47="",$L$9&lt;&gt;"OK"),"Gwiriwch bod yr holl feysydd wedi eu llenwi'n gywir",IF(AND(D47="",OR(F47&lt;&gt;"",H47&lt;&gt;"",I47&lt;&gt;"",L47&lt;&gt;"")),"Gwiriwch bod yr holl feysydd wedi eu llenwi'n gywir","OK"))))</f>
        <v/>
      </c>
      <c r="W47" s="521" t="str">
        <f>IF(I47="","",IF(VLOOKUP(I47,'Eligible Technologies'!$D$7:$G$69,4,FALSE)&lt;$F$9,VLOOKUP(I47,'Eligible Technologies'!$D$7:$G$69,4,FALSE),$F$9))</f>
        <v/>
      </c>
      <c r="X47" s="522" t="str">
        <f t="shared" si="13"/>
        <v/>
      </c>
      <c r="Y47" s="522">
        <f t="shared" ca="1" si="10"/>
        <v>0</v>
      </c>
      <c r="Z47" s="522" t="str">
        <f>'Extra look-up'!F41</f>
        <v/>
      </c>
      <c r="AA47" s="522" t="str">
        <f ca="1">'Extra look-up'!H41</f>
        <v>OK</v>
      </c>
      <c r="AB47" s="522">
        <f t="shared" ca="1" si="11"/>
        <v>1</v>
      </c>
      <c r="AC47" s="536" t="e">
        <f t="shared" si="12"/>
        <v>#VALUE!</v>
      </c>
      <c r="AD47" s="539" t="str">
        <f ca="1">IFERROR(AVERAGE($AH$101:INDIRECT(CONCATENATE("AH"&amp;AC47))),"")</f>
        <v/>
      </c>
      <c r="AE47" s="533"/>
      <c r="AF47" s="533"/>
      <c r="AG47" s="25"/>
      <c r="AH47" s="25"/>
      <c r="AI47" s="25"/>
      <c r="AJ47" s="25"/>
      <c r="AK47" s="25"/>
      <c r="AL47" s="25"/>
      <c r="AM47" s="25"/>
      <c r="AN47" s="25"/>
      <c r="AO47" s="25"/>
      <c r="AP47" s="25"/>
      <c r="AQ47" s="25"/>
      <c r="AR47" s="731"/>
      <c r="AS47" s="731"/>
      <c r="AT47" s="731"/>
      <c r="AU47" s="731"/>
      <c r="AV47" s="731"/>
      <c r="AW47" s="731"/>
      <c r="AX47" s="731"/>
      <c r="AY47" s="731"/>
      <c r="AZ47" s="731"/>
      <c r="BA47" s="731"/>
      <c r="BB47" s="731"/>
      <c r="BC47" s="731"/>
      <c r="BD47" s="731"/>
      <c r="BE47" s="731"/>
      <c r="BF47" s="731"/>
      <c r="BG47" s="731"/>
      <c r="BH47" s="731"/>
      <c r="BI47" s="731"/>
      <c r="BJ47" s="731"/>
      <c r="BK47" s="731"/>
      <c r="BL47" s="731"/>
      <c r="BM47" s="731"/>
      <c r="BN47" s="731"/>
      <c r="BO47" s="731"/>
      <c r="BP47" s="731"/>
      <c r="BQ47" s="731"/>
      <c r="BR47" s="731"/>
    </row>
    <row r="48" spans="1:70" s="741" customFormat="1" ht="34" hidden="1" customHeight="1" x14ac:dyDescent="0.3">
      <c r="A48" s="158">
        <v>37</v>
      </c>
      <c r="B48" s="104"/>
      <c r="C48" s="114"/>
      <c r="D48" s="106"/>
      <c r="E48" s="107"/>
      <c r="F48" s="108"/>
      <c r="G48" s="133" t="str">
        <f t="shared" si="14"/>
        <v/>
      </c>
      <c r="H48" s="328"/>
      <c r="I48" s="846"/>
      <c r="J48" s="847"/>
      <c r="K48" s="109"/>
      <c r="L48" s="110"/>
      <c r="M48" s="136" t="str">
        <f t="shared" si="4"/>
        <v/>
      </c>
      <c r="N48" s="137">
        <f t="shared" si="5"/>
        <v>0</v>
      </c>
      <c r="O48" s="111"/>
      <c r="P48" s="145" t="str">
        <f t="shared" si="15"/>
        <v/>
      </c>
      <c r="Q48" s="146" t="str">
        <f t="shared" si="2"/>
        <v/>
      </c>
      <c r="R48" s="545" t="str">
        <f t="shared" si="16"/>
        <v/>
      </c>
      <c r="S48" s="147" t="str">
        <f t="shared" si="17"/>
        <v/>
      </c>
      <c r="T48" s="147" t="str">
        <f t="shared" si="7"/>
        <v/>
      </c>
      <c r="U48" s="148" t="str">
        <f t="shared" si="8"/>
        <v/>
      </c>
      <c r="V48" s="552" t="str">
        <f ca="1">IF('Extra look-up'!$H42="Math o Waith","Gwiriwch Math o Waith",IF(AND(D48="",F48="",H48="",I48="",L48="",M48=""),"",IF(OR(D48="",F48="",H48="",I48="",L48="",M48="",$L$9&lt;&gt;"OK"),"Gwiriwch bod yr holl feysydd wedi eu llenwi'n gywir",IF(AND(D48="",OR(F48&lt;&gt;"",H48&lt;&gt;"",I48&lt;&gt;"",L48&lt;&gt;"")),"Gwiriwch bod yr holl feysydd wedi eu llenwi'n gywir","OK"))))</f>
        <v/>
      </c>
      <c r="W48" s="521" t="str">
        <f>IF(I48="","",IF(VLOOKUP(I48,'Eligible Technologies'!$D$7:$G$69,4,FALSE)&lt;$F$9,VLOOKUP(I48,'Eligible Technologies'!$D$7:$G$69,4,FALSE),$F$9))</f>
        <v/>
      </c>
      <c r="X48" s="522" t="str">
        <f t="shared" si="13"/>
        <v/>
      </c>
      <c r="Y48" s="522">
        <f t="shared" ca="1" si="10"/>
        <v>0</v>
      </c>
      <c r="Z48" s="522" t="str">
        <f>'Extra look-up'!F42</f>
        <v/>
      </c>
      <c r="AA48" s="522" t="str">
        <f ca="1">'Extra look-up'!H42</f>
        <v>OK</v>
      </c>
      <c r="AB48" s="522">
        <f t="shared" ca="1" si="11"/>
        <v>1</v>
      </c>
      <c r="AC48" s="536" t="e">
        <f t="shared" si="12"/>
        <v>#VALUE!</v>
      </c>
      <c r="AD48" s="539" t="str">
        <f ca="1">IFERROR(AVERAGE($AH$101:INDIRECT(CONCATENATE("AH"&amp;AC48))),"")</f>
        <v/>
      </c>
      <c r="AE48" s="533"/>
      <c r="AF48" s="533"/>
      <c r="AG48" s="25"/>
      <c r="AH48" s="25"/>
      <c r="AI48" s="25"/>
      <c r="AJ48" s="25"/>
      <c r="AK48" s="25"/>
      <c r="AL48" s="25"/>
      <c r="AM48" s="25"/>
      <c r="AN48" s="25"/>
      <c r="AO48" s="25"/>
      <c r="AP48" s="25"/>
      <c r="AQ48" s="25"/>
      <c r="AR48" s="731"/>
      <c r="AS48" s="731"/>
      <c r="AT48" s="731"/>
      <c r="AU48" s="731"/>
      <c r="AV48" s="731"/>
      <c r="AW48" s="731"/>
      <c r="AX48" s="731"/>
      <c r="AY48" s="731"/>
      <c r="AZ48" s="731"/>
      <c r="BA48" s="731"/>
      <c r="BB48" s="731"/>
      <c r="BC48" s="731"/>
      <c r="BD48" s="731"/>
      <c r="BE48" s="731"/>
      <c r="BF48" s="731"/>
      <c r="BG48" s="731"/>
      <c r="BH48" s="731"/>
      <c r="BI48" s="731"/>
      <c r="BJ48" s="731"/>
      <c r="BK48" s="731"/>
      <c r="BL48" s="731"/>
      <c r="BM48" s="731"/>
      <c r="BN48" s="731"/>
      <c r="BO48" s="731"/>
      <c r="BP48" s="731"/>
      <c r="BQ48" s="731"/>
      <c r="BR48" s="731"/>
    </row>
    <row r="49" spans="1:70" s="741" customFormat="1" ht="34" hidden="1" customHeight="1" x14ac:dyDescent="0.3">
      <c r="A49" s="158">
        <v>38</v>
      </c>
      <c r="B49" s="104"/>
      <c r="C49" s="114"/>
      <c r="D49" s="106"/>
      <c r="E49" s="107"/>
      <c r="F49" s="108"/>
      <c r="G49" s="133" t="str">
        <f t="shared" si="14"/>
        <v/>
      </c>
      <c r="H49" s="328"/>
      <c r="I49" s="846"/>
      <c r="J49" s="847"/>
      <c r="K49" s="109"/>
      <c r="L49" s="110"/>
      <c r="M49" s="136" t="str">
        <f t="shared" si="4"/>
        <v/>
      </c>
      <c r="N49" s="137">
        <f t="shared" si="5"/>
        <v>0</v>
      </c>
      <c r="O49" s="111"/>
      <c r="P49" s="145" t="str">
        <f t="shared" si="15"/>
        <v/>
      </c>
      <c r="Q49" s="146" t="str">
        <f t="shared" si="2"/>
        <v/>
      </c>
      <c r="R49" s="545" t="str">
        <f t="shared" si="16"/>
        <v/>
      </c>
      <c r="S49" s="147" t="str">
        <f t="shared" si="17"/>
        <v/>
      </c>
      <c r="T49" s="147" t="str">
        <f t="shared" si="7"/>
        <v/>
      </c>
      <c r="U49" s="148" t="str">
        <f t="shared" si="8"/>
        <v/>
      </c>
      <c r="V49" s="552" t="str">
        <f ca="1">IF('Extra look-up'!$H43="Math o Waith","Gwiriwch Math o Waith",IF(AND(D49="",F49="",H49="",I49="",L49="",M49=""),"",IF(OR(D49="",F49="",H49="",I49="",L49="",M49="",$L$9&lt;&gt;"OK"),"Gwiriwch bod yr holl feysydd wedi eu llenwi'n gywir",IF(AND(D49="",OR(F49&lt;&gt;"",H49&lt;&gt;"",I49&lt;&gt;"",L49&lt;&gt;"")),"Gwiriwch bod yr holl feysydd wedi eu llenwi'n gywir","OK"))))</f>
        <v/>
      </c>
      <c r="W49" s="521" t="str">
        <f>IF(I49="","",IF(VLOOKUP(I49,'Eligible Technologies'!$D$7:$G$69,4,FALSE)&lt;$F$9,VLOOKUP(I49,'Eligible Technologies'!$D$7:$G$69,4,FALSE),$F$9))</f>
        <v/>
      </c>
      <c r="X49" s="522" t="str">
        <f t="shared" si="13"/>
        <v/>
      </c>
      <c r="Y49" s="522">
        <f t="shared" ca="1" si="10"/>
        <v>0</v>
      </c>
      <c r="Z49" s="522" t="str">
        <f>'Extra look-up'!F43</f>
        <v/>
      </c>
      <c r="AA49" s="522" t="str">
        <f ca="1">'Extra look-up'!H43</f>
        <v>OK</v>
      </c>
      <c r="AB49" s="522">
        <f t="shared" ca="1" si="11"/>
        <v>1</v>
      </c>
      <c r="AC49" s="536" t="e">
        <f t="shared" si="12"/>
        <v>#VALUE!</v>
      </c>
      <c r="AD49" s="539" t="str">
        <f ca="1">IFERROR(AVERAGE($AH$101:INDIRECT(CONCATENATE("AH"&amp;AC49))),"")</f>
        <v/>
      </c>
      <c r="AE49" s="533"/>
      <c r="AF49" s="533"/>
      <c r="AG49" s="25"/>
      <c r="AH49" s="25"/>
      <c r="AI49" s="25"/>
      <c r="AJ49" s="25"/>
      <c r="AK49" s="25"/>
      <c r="AL49" s="25"/>
      <c r="AM49" s="25"/>
      <c r="AN49" s="25"/>
      <c r="AO49" s="25"/>
      <c r="AP49" s="25"/>
      <c r="AQ49" s="25"/>
      <c r="AR49" s="731"/>
      <c r="AS49" s="731"/>
      <c r="AT49" s="731"/>
      <c r="AU49" s="731"/>
      <c r="AV49" s="731"/>
      <c r="AW49" s="731"/>
      <c r="AX49" s="731"/>
      <c r="AY49" s="731"/>
      <c r="AZ49" s="731"/>
      <c r="BA49" s="731"/>
      <c r="BB49" s="731"/>
      <c r="BC49" s="731"/>
      <c r="BD49" s="731"/>
      <c r="BE49" s="731"/>
      <c r="BF49" s="731"/>
      <c r="BG49" s="731"/>
      <c r="BH49" s="731"/>
      <c r="BI49" s="731"/>
      <c r="BJ49" s="731"/>
      <c r="BK49" s="731"/>
      <c r="BL49" s="731"/>
      <c r="BM49" s="731"/>
      <c r="BN49" s="731"/>
      <c r="BO49" s="731"/>
      <c r="BP49" s="731"/>
      <c r="BQ49" s="731"/>
      <c r="BR49" s="731"/>
    </row>
    <row r="50" spans="1:70" s="741" customFormat="1" ht="34" hidden="1" customHeight="1" x14ac:dyDescent="0.3">
      <c r="A50" s="158">
        <v>39</v>
      </c>
      <c r="B50" s="104"/>
      <c r="C50" s="114"/>
      <c r="D50" s="106"/>
      <c r="E50" s="107"/>
      <c r="F50" s="108"/>
      <c r="G50" s="133" t="str">
        <f t="shared" si="14"/>
        <v/>
      </c>
      <c r="H50" s="328"/>
      <c r="I50" s="846"/>
      <c r="J50" s="847"/>
      <c r="K50" s="109"/>
      <c r="L50" s="110"/>
      <c r="M50" s="136" t="str">
        <f t="shared" si="4"/>
        <v/>
      </c>
      <c r="N50" s="137">
        <f t="shared" si="5"/>
        <v>0</v>
      </c>
      <c r="O50" s="111"/>
      <c r="P50" s="145" t="str">
        <f t="shared" si="15"/>
        <v/>
      </c>
      <c r="Q50" s="146" t="str">
        <f t="shared" si="2"/>
        <v/>
      </c>
      <c r="R50" s="545" t="str">
        <f t="shared" si="16"/>
        <v/>
      </c>
      <c r="S50" s="147" t="str">
        <f t="shared" si="17"/>
        <v/>
      </c>
      <c r="T50" s="147" t="str">
        <f t="shared" si="7"/>
        <v/>
      </c>
      <c r="U50" s="148" t="str">
        <f t="shared" si="8"/>
        <v/>
      </c>
      <c r="V50" s="552" t="str">
        <f ca="1">IF('Extra look-up'!$H44="Math o Waith","Gwiriwch Math o Waith",IF(AND(D50="",F50="",H50="",I50="",L50="",M50=""),"",IF(OR(D50="",F50="",H50="",I50="",L50="",M50="",$L$9&lt;&gt;"OK"),"Gwiriwch bod yr holl feysydd wedi eu llenwi'n gywir",IF(AND(D50="",OR(F50&lt;&gt;"",H50&lt;&gt;"",I50&lt;&gt;"",L50&lt;&gt;"")),"Gwiriwch bod yr holl feysydd wedi eu llenwi'n gywir","OK"))))</f>
        <v/>
      </c>
      <c r="W50" s="521" t="str">
        <f>IF(I50="","",IF(VLOOKUP(I50,'Eligible Technologies'!$D$7:$G$69,4,FALSE)&lt;$F$9,VLOOKUP(I50,'Eligible Technologies'!$D$7:$G$69,4,FALSE),$F$9))</f>
        <v/>
      </c>
      <c r="X50" s="522" t="str">
        <f t="shared" si="13"/>
        <v/>
      </c>
      <c r="Y50" s="522">
        <f t="shared" ca="1" si="10"/>
        <v>0</v>
      </c>
      <c r="Z50" s="522" t="str">
        <f>'Extra look-up'!F44</f>
        <v/>
      </c>
      <c r="AA50" s="522" t="str">
        <f ca="1">'Extra look-up'!H44</f>
        <v>OK</v>
      </c>
      <c r="AB50" s="522">
        <f t="shared" ca="1" si="11"/>
        <v>1</v>
      </c>
      <c r="AC50" s="536" t="e">
        <f t="shared" si="12"/>
        <v>#VALUE!</v>
      </c>
      <c r="AD50" s="539" t="str">
        <f ca="1">IFERROR(AVERAGE($AH$101:INDIRECT(CONCATENATE("AH"&amp;AC50))),"")</f>
        <v/>
      </c>
      <c r="AE50" s="533"/>
      <c r="AF50" s="533"/>
      <c r="AG50" s="25"/>
      <c r="AH50" s="25"/>
      <c r="AI50" s="25"/>
      <c r="AJ50" s="25"/>
      <c r="AK50" s="25"/>
      <c r="AL50" s="25"/>
      <c r="AM50" s="25"/>
      <c r="AN50" s="25"/>
      <c r="AO50" s="25"/>
      <c r="AP50" s="25"/>
      <c r="AQ50" s="25"/>
      <c r="AR50" s="731"/>
      <c r="AS50" s="731"/>
      <c r="AT50" s="731"/>
      <c r="AU50" s="731"/>
      <c r="AV50" s="731"/>
      <c r="AW50" s="731"/>
      <c r="AX50" s="731"/>
      <c r="AY50" s="731"/>
      <c r="AZ50" s="731"/>
      <c r="BA50" s="731"/>
      <c r="BB50" s="731"/>
      <c r="BC50" s="731"/>
      <c r="BD50" s="731"/>
      <c r="BE50" s="731"/>
      <c r="BF50" s="731"/>
      <c r="BG50" s="731"/>
      <c r="BH50" s="731"/>
      <c r="BI50" s="731"/>
      <c r="BJ50" s="731"/>
      <c r="BK50" s="731"/>
      <c r="BL50" s="731"/>
      <c r="BM50" s="731"/>
      <c r="BN50" s="731"/>
      <c r="BO50" s="731"/>
      <c r="BP50" s="731"/>
      <c r="BQ50" s="731"/>
      <c r="BR50" s="731"/>
    </row>
    <row r="51" spans="1:70" s="741" customFormat="1" ht="34" hidden="1" customHeight="1" x14ac:dyDescent="0.3">
      <c r="A51" s="158">
        <v>40</v>
      </c>
      <c r="B51" s="104"/>
      <c r="C51" s="114"/>
      <c r="D51" s="106"/>
      <c r="E51" s="107"/>
      <c r="F51" s="108"/>
      <c r="G51" s="133" t="str">
        <f t="shared" si="14"/>
        <v/>
      </c>
      <c r="H51" s="328"/>
      <c r="I51" s="846"/>
      <c r="J51" s="847"/>
      <c r="K51" s="109"/>
      <c r="L51" s="110"/>
      <c r="M51" s="136" t="str">
        <f t="shared" si="4"/>
        <v/>
      </c>
      <c r="N51" s="137">
        <f t="shared" si="5"/>
        <v>0</v>
      </c>
      <c r="O51" s="111"/>
      <c r="P51" s="145" t="str">
        <f t="shared" si="15"/>
        <v/>
      </c>
      <c r="Q51" s="146" t="str">
        <f t="shared" si="2"/>
        <v/>
      </c>
      <c r="R51" s="545" t="str">
        <f t="shared" si="16"/>
        <v/>
      </c>
      <c r="S51" s="147" t="str">
        <f t="shared" si="17"/>
        <v/>
      </c>
      <c r="T51" s="147" t="str">
        <f t="shared" si="7"/>
        <v/>
      </c>
      <c r="U51" s="148" t="str">
        <f t="shared" si="8"/>
        <v/>
      </c>
      <c r="V51" s="552" t="str">
        <f ca="1">IF('Extra look-up'!$H45="Math o Waith","Gwiriwch Math o Waith",IF(AND(D51="",F51="",H51="",I51="",L51="",M51=""),"",IF(OR(D51="",F51="",H51="",I51="",L51="",M51="",$L$9&lt;&gt;"OK"),"Gwiriwch bod yr holl feysydd wedi eu llenwi'n gywir",IF(AND(D51="",OR(F51&lt;&gt;"",H51&lt;&gt;"",I51&lt;&gt;"",L51&lt;&gt;"")),"Gwiriwch bod yr holl feysydd wedi eu llenwi'n gywir","OK"))))</f>
        <v/>
      </c>
      <c r="W51" s="521" t="str">
        <f>IF(I51="","",IF(VLOOKUP(I51,'Eligible Technologies'!$D$7:$G$69,4,FALSE)&lt;$F$9,VLOOKUP(I51,'Eligible Technologies'!$D$7:$G$69,4,FALSE),$F$9))</f>
        <v/>
      </c>
      <c r="X51" s="522" t="str">
        <f t="shared" si="13"/>
        <v/>
      </c>
      <c r="Y51" s="522">
        <f t="shared" ca="1" si="10"/>
        <v>0</v>
      </c>
      <c r="Z51" s="522" t="str">
        <f>'Extra look-up'!F45</f>
        <v/>
      </c>
      <c r="AA51" s="522" t="str">
        <f ca="1">'Extra look-up'!H45</f>
        <v>OK</v>
      </c>
      <c r="AB51" s="522">
        <f t="shared" ca="1" si="11"/>
        <v>1</v>
      </c>
      <c r="AC51" s="536" t="e">
        <f t="shared" si="12"/>
        <v>#VALUE!</v>
      </c>
      <c r="AD51" s="539" t="str">
        <f ca="1">IFERROR(AVERAGE($AH$101:INDIRECT(CONCATENATE("AH"&amp;AC51))),"")</f>
        <v/>
      </c>
      <c r="AE51" s="533"/>
      <c r="AF51" s="533"/>
      <c r="AG51" s="25"/>
      <c r="AH51" s="25"/>
      <c r="AI51" s="25"/>
      <c r="AJ51" s="25"/>
      <c r="AK51" s="25"/>
      <c r="AL51" s="25"/>
      <c r="AM51" s="25"/>
      <c r="AN51" s="25"/>
      <c r="AO51" s="25"/>
      <c r="AP51" s="25"/>
      <c r="AQ51" s="25"/>
      <c r="AR51" s="731"/>
      <c r="AS51" s="731"/>
      <c r="AT51" s="731"/>
      <c r="AU51" s="731"/>
      <c r="AV51" s="731"/>
      <c r="AW51" s="731"/>
      <c r="AX51" s="731"/>
      <c r="AY51" s="731"/>
      <c r="AZ51" s="731"/>
      <c r="BA51" s="731"/>
      <c r="BB51" s="731"/>
      <c r="BC51" s="731"/>
      <c r="BD51" s="731"/>
      <c r="BE51" s="731"/>
      <c r="BF51" s="731"/>
      <c r="BG51" s="731"/>
      <c r="BH51" s="731"/>
      <c r="BI51" s="731"/>
      <c r="BJ51" s="731"/>
      <c r="BK51" s="731"/>
      <c r="BL51" s="731"/>
      <c r="BM51" s="731"/>
      <c r="BN51" s="731"/>
      <c r="BO51" s="731"/>
      <c r="BP51" s="731"/>
      <c r="BQ51" s="731"/>
      <c r="BR51" s="731"/>
    </row>
    <row r="52" spans="1:70" s="741" customFormat="1" ht="34" hidden="1" customHeight="1" x14ac:dyDescent="0.3">
      <c r="A52" s="158">
        <v>41</v>
      </c>
      <c r="B52" s="104"/>
      <c r="C52" s="114"/>
      <c r="D52" s="106"/>
      <c r="E52" s="107"/>
      <c r="F52" s="108"/>
      <c r="G52" s="133" t="str">
        <f t="shared" si="14"/>
        <v/>
      </c>
      <c r="H52" s="328"/>
      <c r="I52" s="846"/>
      <c r="J52" s="847"/>
      <c r="K52" s="109"/>
      <c r="L52" s="110"/>
      <c r="M52" s="136" t="str">
        <f t="shared" si="4"/>
        <v/>
      </c>
      <c r="N52" s="137">
        <f t="shared" si="5"/>
        <v>0</v>
      </c>
      <c r="O52" s="111"/>
      <c r="P52" s="145" t="str">
        <f t="shared" si="15"/>
        <v/>
      </c>
      <c r="Q52" s="146" t="str">
        <f t="shared" si="2"/>
        <v/>
      </c>
      <c r="R52" s="545" t="str">
        <f t="shared" si="16"/>
        <v/>
      </c>
      <c r="S52" s="147" t="str">
        <f t="shared" si="17"/>
        <v/>
      </c>
      <c r="T52" s="147" t="str">
        <f t="shared" si="7"/>
        <v/>
      </c>
      <c r="U52" s="148" t="str">
        <f t="shared" si="8"/>
        <v/>
      </c>
      <c r="V52" s="552" t="str">
        <f ca="1">IF('Extra look-up'!$H46="Math o Waith","Gwiriwch Math o Waith",IF(AND(D52="",F52="",H52="",I52="",L52="",M52=""),"",IF(OR(D52="",F52="",H52="",I52="",L52="",M52="",$L$9&lt;&gt;"OK"),"Gwiriwch bod yr holl feysydd wedi eu llenwi'n gywir",IF(AND(D52="",OR(F52&lt;&gt;"",H52&lt;&gt;"",I52&lt;&gt;"",L52&lt;&gt;"")),"Gwiriwch bod yr holl feysydd wedi eu llenwi'n gywir","OK"))))</f>
        <v/>
      </c>
      <c r="W52" s="521" t="str">
        <f>IF(I52="","",IF(VLOOKUP(I52,'Eligible Technologies'!$D$7:$G$69,4,FALSE)&lt;$F$9,VLOOKUP(I52,'Eligible Technologies'!$D$7:$G$69,4,FALSE),$F$9))</f>
        <v/>
      </c>
      <c r="X52" s="522" t="str">
        <f t="shared" si="13"/>
        <v/>
      </c>
      <c r="Y52" s="522">
        <f t="shared" ca="1" si="10"/>
        <v>0</v>
      </c>
      <c r="Z52" s="522" t="str">
        <f>'Extra look-up'!F46</f>
        <v/>
      </c>
      <c r="AA52" s="522" t="str">
        <f ca="1">'Extra look-up'!H46</f>
        <v>OK</v>
      </c>
      <c r="AB52" s="522">
        <f t="shared" ca="1" si="11"/>
        <v>1</v>
      </c>
      <c r="AC52" s="536" t="e">
        <f t="shared" si="12"/>
        <v>#VALUE!</v>
      </c>
      <c r="AD52" s="539" t="str">
        <f ca="1">IFERROR(AVERAGE($AH$101:INDIRECT(CONCATENATE("AH"&amp;AC52))),"")</f>
        <v/>
      </c>
      <c r="AE52" s="533"/>
      <c r="AF52" s="533"/>
      <c r="AG52" s="25"/>
      <c r="AH52" s="25"/>
      <c r="AI52" s="25"/>
      <c r="AJ52" s="25"/>
      <c r="AK52" s="25"/>
      <c r="AL52" s="25"/>
      <c r="AM52" s="25"/>
      <c r="AN52" s="25"/>
      <c r="AO52" s="25"/>
      <c r="AP52" s="25"/>
      <c r="AQ52" s="25"/>
      <c r="AR52" s="731"/>
      <c r="AS52" s="731"/>
      <c r="AT52" s="731"/>
      <c r="AU52" s="731"/>
      <c r="AV52" s="731"/>
      <c r="AW52" s="731"/>
      <c r="AX52" s="731"/>
      <c r="AY52" s="731"/>
      <c r="AZ52" s="731"/>
      <c r="BA52" s="731"/>
      <c r="BB52" s="731"/>
      <c r="BC52" s="731"/>
      <c r="BD52" s="731"/>
      <c r="BE52" s="731"/>
      <c r="BF52" s="731"/>
      <c r="BG52" s="731"/>
      <c r="BH52" s="731"/>
      <c r="BI52" s="731"/>
      <c r="BJ52" s="731"/>
      <c r="BK52" s="731"/>
      <c r="BL52" s="731"/>
      <c r="BM52" s="731"/>
      <c r="BN52" s="731"/>
      <c r="BO52" s="731"/>
      <c r="BP52" s="731"/>
      <c r="BQ52" s="731"/>
      <c r="BR52" s="731"/>
    </row>
    <row r="53" spans="1:70" s="741" customFormat="1" ht="34" hidden="1" customHeight="1" x14ac:dyDescent="0.3">
      <c r="A53" s="158">
        <v>42</v>
      </c>
      <c r="B53" s="104"/>
      <c r="C53" s="114"/>
      <c r="D53" s="106"/>
      <c r="E53" s="107"/>
      <c r="F53" s="108"/>
      <c r="G53" s="133" t="str">
        <f t="shared" si="14"/>
        <v/>
      </c>
      <c r="H53" s="328"/>
      <c r="I53" s="846"/>
      <c r="J53" s="847"/>
      <c r="K53" s="109"/>
      <c r="L53" s="110"/>
      <c r="M53" s="136" t="str">
        <f t="shared" si="4"/>
        <v/>
      </c>
      <c r="N53" s="137">
        <f t="shared" si="5"/>
        <v>0</v>
      </c>
      <c r="O53" s="111"/>
      <c r="P53" s="145" t="str">
        <f t="shared" si="15"/>
        <v/>
      </c>
      <c r="Q53" s="146" t="str">
        <f t="shared" si="2"/>
        <v/>
      </c>
      <c r="R53" s="545" t="str">
        <f t="shared" si="16"/>
        <v/>
      </c>
      <c r="S53" s="147" t="str">
        <f t="shared" si="17"/>
        <v/>
      </c>
      <c r="T53" s="147" t="str">
        <f t="shared" si="7"/>
        <v/>
      </c>
      <c r="U53" s="148" t="str">
        <f t="shared" si="8"/>
        <v/>
      </c>
      <c r="V53" s="552" t="str">
        <f ca="1">IF('Extra look-up'!$H47="Math o Waith","Gwiriwch Math o Waith",IF(AND(D53="",F53="",H53="",I53="",L53="",M53=""),"",IF(OR(D53="",F53="",H53="",I53="",L53="",M53="",$L$9&lt;&gt;"OK"),"Gwiriwch bod yr holl feysydd wedi eu llenwi'n gywir",IF(AND(D53="",OR(F53&lt;&gt;"",H53&lt;&gt;"",I53&lt;&gt;"",L53&lt;&gt;"")),"Gwiriwch bod yr holl feysydd wedi eu llenwi'n gywir","OK"))))</f>
        <v/>
      </c>
      <c r="W53" s="521" t="str">
        <f>IF(I53="","",IF(VLOOKUP(I53,'Eligible Technologies'!$D$7:$G$69,4,FALSE)&lt;$F$9,VLOOKUP(I53,'Eligible Technologies'!$D$7:$G$69,4,FALSE),$F$9))</f>
        <v/>
      </c>
      <c r="X53" s="522" t="str">
        <f t="shared" si="13"/>
        <v/>
      </c>
      <c r="Y53" s="522">
        <f t="shared" ca="1" si="10"/>
        <v>0</v>
      </c>
      <c r="Z53" s="522" t="str">
        <f>'Extra look-up'!F47</f>
        <v/>
      </c>
      <c r="AA53" s="522" t="str">
        <f ca="1">'Extra look-up'!H47</f>
        <v>OK</v>
      </c>
      <c r="AB53" s="522">
        <f t="shared" ca="1" si="11"/>
        <v>1</v>
      </c>
      <c r="AC53" s="536" t="e">
        <f t="shared" si="12"/>
        <v>#VALUE!</v>
      </c>
      <c r="AD53" s="539" t="str">
        <f ca="1">IFERROR(AVERAGE($AH$101:INDIRECT(CONCATENATE("AH"&amp;AC53))),"")</f>
        <v/>
      </c>
      <c r="AE53" s="533"/>
      <c r="AF53" s="533"/>
      <c r="AG53" s="25"/>
      <c r="AH53" s="25"/>
      <c r="AI53" s="25"/>
      <c r="AJ53" s="25"/>
      <c r="AK53" s="25"/>
      <c r="AL53" s="25"/>
      <c r="AM53" s="25"/>
      <c r="AN53" s="25"/>
      <c r="AO53" s="25"/>
      <c r="AP53" s="25"/>
      <c r="AQ53" s="25"/>
      <c r="AR53" s="731"/>
      <c r="AS53" s="731"/>
      <c r="AT53" s="731"/>
      <c r="AU53" s="731"/>
      <c r="AV53" s="731"/>
      <c r="AW53" s="731"/>
      <c r="AX53" s="731"/>
      <c r="AY53" s="731"/>
      <c r="AZ53" s="731"/>
      <c r="BA53" s="731"/>
      <c r="BB53" s="731"/>
      <c r="BC53" s="731"/>
      <c r="BD53" s="731"/>
      <c r="BE53" s="731"/>
      <c r="BF53" s="731"/>
      <c r="BG53" s="731"/>
      <c r="BH53" s="731"/>
      <c r="BI53" s="731"/>
      <c r="BJ53" s="731"/>
      <c r="BK53" s="731"/>
      <c r="BL53" s="731"/>
      <c r="BM53" s="731"/>
      <c r="BN53" s="731"/>
      <c r="BO53" s="731"/>
      <c r="BP53" s="731"/>
      <c r="BQ53" s="731"/>
      <c r="BR53" s="731"/>
    </row>
    <row r="54" spans="1:70" s="741" customFormat="1" ht="34" hidden="1" customHeight="1" x14ac:dyDescent="0.3">
      <c r="A54" s="158">
        <v>43</v>
      </c>
      <c r="B54" s="104"/>
      <c r="C54" s="114"/>
      <c r="D54" s="106"/>
      <c r="E54" s="107"/>
      <c r="F54" s="108"/>
      <c r="G54" s="133" t="str">
        <f t="shared" si="14"/>
        <v/>
      </c>
      <c r="H54" s="328"/>
      <c r="I54" s="846"/>
      <c r="J54" s="847"/>
      <c r="K54" s="109"/>
      <c r="L54" s="110"/>
      <c r="M54" s="136" t="str">
        <f t="shared" si="4"/>
        <v/>
      </c>
      <c r="N54" s="137">
        <f t="shared" si="5"/>
        <v>0</v>
      </c>
      <c r="O54" s="111"/>
      <c r="P54" s="145" t="str">
        <f t="shared" si="15"/>
        <v/>
      </c>
      <c r="Q54" s="146" t="str">
        <f t="shared" si="2"/>
        <v/>
      </c>
      <c r="R54" s="545" t="str">
        <f t="shared" si="16"/>
        <v/>
      </c>
      <c r="S54" s="147" t="str">
        <f t="shared" si="17"/>
        <v/>
      </c>
      <c r="T54" s="147" t="str">
        <f t="shared" si="7"/>
        <v/>
      </c>
      <c r="U54" s="148" t="str">
        <f t="shared" si="8"/>
        <v/>
      </c>
      <c r="V54" s="552" t="str">
        <f ca="1">IF('Extra look-up'!$H48="Math o Waith","Gwiriwch Math o Waith",IF(AND(D54="",F54="",H54="",I54="",L54="",M54=""),"",IF(OR(D54="",F54="",H54="",I54="",L54="",M54="",$L$9&lt;&gt;"OK"),"Gwiriwch bod yr holl feysydd wedi eu llenwi'n gywir",IF(AND(D54="",OR(F54&lt;&gt;"",H54&lt;&gt;"",I54&lt;&gt;"",L54&lt;&gt;"")),"Gwiriwch bod yr holl feysydd wedi eu llenwi'n gywir","OK"))))</f>
        <v/>
      </c>
      <c r="W54" s="521" t="str">
        <f>IF(I54="","",IF(VLOOKUP(I54,'Eligible Technologies'!$D$7:$G$69,4,FALSE)&lt;$F$9,VLOOKUP(I54,'Eligible Technologies'!$D$7:$G$69,4,FALSE),$F$9))</f>
        <v/>
      </c>
      <c r="X54" s="522" t="str">
        <f t="shared" si="13"/>
        <v/>
      </c>
      <c r="Y54" s="522">
        <f t="shared" ca="1" si="10"/>
        <v>0</v>
      </c>
      <c r="Z54" s="522" t="str">
        <f>'Extra look-up'!F48</f>
        <v/>
      </c>
      <c r="AA54" s="522" t="str">
        <f ca="1">'Extra look-up'!H48</f>
        <v>OK</v>
      </c>
      <c r="AB54" s="522">
        <f t="shared" ca="1" si="11"/>
        <v>1</v>
      </c>
      <c r="AC54" s="536" t="e">
        <f t="shared" si="12"/>
        <v>#VALUE!</v>
      </c>
      <c r="AD54" s="539" t="str">
        <f ca="1">IFERROR(AVERAGE($AH$101:INDIRECT(CONCATENATE("AH"&amp;AC54))),"")</f>
        <v/>
      </c>
      <c r="AE54" s="533"/>
      <c r="AF54" s="533"/>
      <c r="AG54" s="25"/>
      <c r="AH54" s="25"/>
      <c r="AI54" s="25"/>
      <c r="AJ54" s="25"/>
      <c r="AK54" s="25"/>
      <c r="AL54" s="25"/>
      <c r="AM54" s="25"/>
      <c r="AN54" s="25"/>
      <c r="AO54" s="25"/>
      <c r="AP54" s="25"/>
      <c r="AQ54" s="25"/>
      <c r="AR54" s="731"/>
      <c r="AS54" s="731"/>
      <c r="AT54" s="731"/>
      <c r="AU54" s="731"/>
      <c r="AV54" s="731"/>
      <c r="AW54" s="731"/>
      <c r="AX54" s="731"/>
      <c r="AY54" s="731"/>
      <c r="AZ54" s="731"/>
      <c r="BA54" s="731"/>
      <c r="BB54" s="731"/>
      <c r="BC54" s="731"/>
      <c r="BD54" s="731"/>
      <c r="BE54" s="731"/>
      <c r="BF54" s="731"/>
      <c r="BG54" s="731"/>
      <c r="BH54" s="731"/>
      <c r="BI54" s="731"/>
      <c r="BJ54" s="731"/>
      <c r="BK54" s="731"/>
      <c r="BL54" s="731"/>
      <c r="BM54" s="731"/>
      <c r="BN54" s="731"/>
      <c r="BO54" s="731"/>
      <c r="BP54" s="731"/>
      <c r="BQ54" s="731"/>
      <c r="BR54" s="731"/>
    </row>
    <row r="55" spans="1:70" s="741" customFormat="1" ht="34" hidden="1" customHeight="1" x14ac:dyDescent="0.3">
      <c r="A55" s="158">
        <v>44</v>
      </c>
      <c r="B55" s="104"/>
      <c r="C55" s="114"/>
      <c r="D55" s="106"/>
      <c r="E55" s="107"/>
      <c r="F55" s="108"/>
      <c r="G55" s="133" t="str">
        <f t="shared" si="14"/>
        <v/>
      </c>
      <c r="H55" s="328"/>
      <c r="I55" s="846"/>
      <c r="J55" s="847"/>
      <c r="K55" s="109"/>
      <c r="L55" s="110"/>
      <c r="M55" s="136" t="str">
        <f t="shared" si="4"/>
        <v/>
      </c>
      <c r="N55" s="137">
        <f t="shared" si="5"/>
        <v>0</v>
      </c>
      <c r="O55" s="111"/>
      <c r="P55" s="145" t="str">
        <f t="shared" si="15"/>
        <v/>
      </c>
      <c r="Q55" s="146" t="str">
        <f t="shared" si="2"/>
        <v/>
      </c>
      <c r="R55" s="545" t="str">
        <f t="shared" si="16"/>
        <v/>
      </c>
      <c r="S55" s="147" t="str">
        <f t="shared" si="17"/>
        <v/>
      </c>
      <c r="T55" s="147" t="str">
        <f t="shared" si="7"/>
        <v/>
      </c>
      <c r="U55" s="148" t="str">
        <f t="shared" si="8"/>
        <v/>
      </c>
      <c r="V55" s="552" t="str">
        <f ca="1">IF('Extra look-up'!$H49="Math o Waith","Gwiriwch Math o Waith",IF(AND(D55="",F55="",H55="",I55="",L55="",M55=""),"",IF(OR(D55="",F55="",H55="",I55="",L55="",M55="",$L$9&lt;&gt;"OK"),"Gwiriwch bod yr holl feysydd wedi eu llenwi'n gywir",IF(AND(D55="",OR(F55&lt;&gt;"",H55&lt;&gt;"",I55&lt;&gt;"",L55&lt;&gt;"")),"Gwiriwch bod yr holl feysydd wedi eu llenwi'n gywir","OK"))))</f>
        <v/>
      </c>
      <c r="W55" s="521" t="str">
        <f>IF(I55="","",IF(VLOOKUP(I55,'Eligible Technologies'!$D$7:$G$69,4,FALSE)&lt;$F$9,VLOOKUP(I55,'Eligible Technologies'!$D$7:$G$69,4,FALSE),$F$9))</f>
        <v/>
      </c>
      <c r="X55" s="522" t="str">
        <f t="shared" si="13"/>
        <v/>
      </c>
      <c r="Y55" s="522">
        <f t="shared" ca="1" si="10"/>
        <v>0</v>
      </c>
      <c r="Z55" s="522" t="str">
        <f>'Extra look-up'!F49</f>
        <v/>
      </c>
      <c r="AA55" s="522" t="str">
        <f ca="1">'Extra look-up'!H49</f>
        <v>OK</v>
      </c>
      <c r="AB55" s="522">
        <f t="shared" ca="1" si="11"/>
        <v>1</v>
      </c>
      <c r="AC55" s="536" t="e">
        <f t="shared" si="12"/>
        <v>#VALUE!</v>
      </c>
      <c r="AD55" s="539" t="str">
        <f ca="1">IFERROR(AVERAGE($AH$101:INDIRECT(CONCATENATE("AH"&amp;AC55))),"")</f>
        <v/>
      </c>
      <c r="AE55" s="533"/>
      <c r="AF55" s="533"/>
      <c r="AG55" s="25"/>
      <c r="AH55" s="25"/>
      <c r="AI55" s="25"/>
      <c r="AJ55" s="25"/>
      <c r="AK55" s="25"/>
      <c r="AL55" s="25"/>
      <c r="AM55" s="25"/>
      <c r="AN55" s="25"/>
      <c r="AO55" s="25"/>
      <c r="AP55" s="25"/>
      <c r="AQ55" s="25"/>
      <c r="AR55" s="731"/>
      <c r="AS55" s="731"/>
      <c r="AT55" s="731"/>
      <c r="AU55" s="731"/>
      <c r="AV55" s="731"/>
      <c r="AW55" s="731"/>
      <c r="AX55" s="731"/>
      <c r="AY55" s="731"/>
      <c r="AZ55" s="731"/>
      <c r="BA55" s="731"/>
      <c r="BB55" s="731"/>
      <c r="BC55" s="731"/>
      <c r="BD55" s="731"/>
      <c r="BE55" s="731"/>
      <c r="BF55" s="731"/>
      <c r="BG55" s="731"/>
      <c r="BH55" s="731"/>
      <c r="BI55" s="731"/>
      <c r="BJ55" s="731"/>
      <c r="BK55" s="731"/>
      <c r="BL55" s="731"/>
      <c r="BM55" s="731"/>
      <c r="BN55" s="731"/>
      <c r="BO55" s="731"/>
      <c r="BP55" s="731"/>
      <c r="BQ55" s="731"/>
      <c r="BR55" s="731"/>
    </row>
    <row r="56" spans="1:70" s="741" customFormat="1" ht="34" hidden="1" customHeight="1" x14ac:dyDescent="0.3">
      <c r="A56" s="158">
        <v>45</v>
      </c>
      <c r="B56" s="104"/>
      <c r="C56" s="114"/>
      <c r="D56" s="106"/>
      <c r="E56" s="107"/>
      <c r="F56" s="108"/>
      <c r="G56" s="133" t="str">
        <f t="shared" si="14"/>
        <v/>
      </c>
      <c r="H56" s="328"/>
      <c r="I56" s="846"/>
      <c r="J56" s="847"/>
      <c r="K56" s="109"/>
      <c r="L56" s="110"/>
      <c r="M56" s="136" t="str">
        <f t="shared" si="4"/>
        <v/>
      </c>
      <c r="N56" s="137">
        <f t="shared" si="5"/>
        <v>0</v>
      </c>
      <c r="O56" s="111"/>
      <c r="P56" s="145" t="str">
        <f t="shared" si="15"/>
        <v/>
      </c>
      <c r="Q56" s="146" t="str">
        <f t="shared" si="2"/>
        <v/>
      </c>
      <c r="R56" s="545" t="str">
        <f t="shared" si="16"/>
        <v/>
      </c>
      <c r="S56" s="147" t="str">
        <f t="shared" si="17"/>
        <v/>
      </c>
      <c r="T56" s="147" t="str">
        <f t="shared" si="7"/>
        <v/>
      </c>
      <c r="U56" s="148" t="str">
        <f t="shared" si="8"/>
        <v/>
      </c>
      <c r="V56" s="552" t="str">
        <f ca="1">IF('Extra look-up'!$H50="Math o Waith","Gwiriwch Math o Waith",IF(AND(D56="",F56="",H56="",I56="",L56="",M56=""),"",IF(OR(D56="",F56="",H56="",I56="",L56="",M56="",$L$9&lt;&gt;"OK"),"Gwiriwch bod yr holl feysydd wedi eu llenwi'n gywir",IF(AND(D56="",OR(F56&lt;&gt;"",H56&lt;&gt;"",I56&lt;&gt;"",L56&lt;&gt;"")),"Gwiriwch bod yr holl feysydd wedi eu llenwi'n gywir","OK"))))</f>
        <v/>
      </c>
      <c r="W56" s="521" t="str">
        <f>IF(I56="","",IF(VLOOKUP(I56,'Eligible Technologies'!$D$7:$G$69,4,FALSE)&lt;$F$9,VLOOKUP(I56,'Eligible Technologies'!$D$7:$G$69,4,FALSE),$F$9))</f>
        <v/>
      </c>
      <c r="X56" s="522" t="str">
        <f t="shared" si="13"/>
        <v/>
      </c>
      <c r="Y56" s="522">
        <f t="shared" ca="1" si="10"/>
        <v>0</v>
      </c>
      <c r="Z56" s="522" t="str">
        <f>'Extra look-up'!F50</f>
        <v/>
      </c>
      <c r="AA56" s="522" t="str">
        <f ca="1">'Extra look-up'!H50</f>
        <v>OK</v>
      </c>
      <c r="AB56" s="522">
        <f t="shared" ca="1" si="11"/>
        <v>1</v>
      </c>
      <c r="AC56" s="536" t="e">
        <f t="shared" si="12"/>
        <v>#VALUE!</v>
      </c>
      <c r="AD56" s="539" t="str">
        <f ca="1">IFERROR(AVERAGE($AH$101:INDIRECT(CONCATENATE("AH"&amp;AC56))),"")</f>
        <v/>
      </c>
      <c r="AE56" s="533"/>
      <c r="AF56" s="533"/>
      <c r="AG56" s="25"/>
      <c r="AH56" s="25"/>
      <c r="AI56" s="25"/>
      <c r="AJ56" s="25"/>
      <c r="AK56" s="25"/>
      <c r="AL56" s="25"/>
      <c r="AM56" s="25"/>
      <c r="AN56" s="25"/>
      <c r="AO56" s="25"/>
      <c r="AP56" s="25"/>
      <c r="AQ56" s="25"/>
      <c r="AR56" s="731"/>
      <c r="AS56" s="731"/>
      <c r="AT56" s="731"/>
      <c r="AU56" s="731"/>
      <c r="AV56" s="731"/>
      <c r="AW56" s="731"/>
      <c r="AX56" s="731"/>
      <c r="AY56" s="731"/>
      <c r="AZ56" s="731"/>
      <c r="BA56" s="731"/>
      <c r="BB56" s="731"/>
      <c r="BC56" s="731"/>
      <c r="BD56" s="731"/>
      <c r="BE56" s="731"/>
      <c r="BF56" s="731"/>
      <c r="BG56" s="731"/>
      <c r="BH56" s="731"/>
      <c r="BI56" s="731"/>
      <c r="BJ56" s="731"/>
      <c r="BK56" s="731"/>
      <c r="BL56" s="731"/>
      <c r="BM56" s="731"/>
      <c r="BN56" s="731"/>
      <c r="BO56" s="731"/>
      <c r="BP56" s="731"/>
      <c r="BQ56" s="731"/>
      <c r="BR56" s="731"/>
    </row>
    <row r="57" spans="1:70" s="741" customFormat="1" ht="34" hidden="1" customHeight="1" x14ac:dyDescent="0.3">
      <c r="A57" s="158">
        <v>46</v>
      </c>
      <c r="B57" s="104"/>
      <c r="C57" s="114"/>
      <c r="D57" s="106"/>
      <c r="E57" s="107"/>
      <c r="F57" s="108"/>
      <c r="G57" s="133" t="str">
        <f t="shared" si="14"/>
        <v/>
      </c>
      <c r="H57" s="328"/>
      <c r="I57" s="846"/>
      <c r="J57" s="847"/>
      <c r="K57" s="109"/>
      <c r="L57" s="110"/>
      <c r="M57" s="136" t="str">
        <f t="shared" si="4"/>
        <v/>
      </c>
      <c r="N57" s="137">
        <f t="shared" si="5"/>
        <v>0</v>
      </c>
      <c r="O57" s="111"/>
      <c r="P57" s="145" t="str">
        <f t="shared" si="15"/>
        <v/>
      </c>
      <c r="Q57" s="146" t="str">
        <f t="shared" si="2"/>
        <v/>
      </c>
      <c r="R57" s="545" t="str">
        <f t="shared" si="16"/>
        <v/>
      </c>
      <c r="S57" s="147" t="str">
        <f t="shared" si="17"/>
        <v/>
      </c>
      <c r="T57" s="147" t="str">
        <f t="shared" si="7"/>
        <v/>
      </c>
      <c r="U57" s="148" t="str">
        <f t="shared" si="8"/>
        <v/>
      </c>
      <c r="V57" s="552" t="str">
        <f ca="1">IF('Extra look-up'!$H51="Math o Waith","Gwiriwch Math o Waith",IF(AND(D57="",F57="",H57="",I57="",L57="",M57=""),"",IF(OR(D57="",F57="",H57="",I57="",L57="",M57="",$L$9&lt;&gt;"OK"),"Gwiriwch bod yr holl feysydd wedi eu llenwi'n gywir",IF(AND(D57="",OR(F57&lt;&gt;"",H57&lt;&gt;"",I57&lt;&gt;"",L57&lt;&gt;"")),"Gwiriwch bod yr holl feysydd wedi eu llenwi'n gywir","OK"))))</f>
        <v/>
      </c>
      <c r="W57" s="521" t="str">
        <f>IF(I57="","",IF(VLOOKUP(I57,'Eligible Technologies'!$D$7:$G$69,4,FALSE)&lt;$F$9,VLOOKUP(I57,'Eligible Technologies'!$D$7:$G$69,4,FALSE),$F$9))</f>
        <v/>
      </c>
      <c r="X57" s="522" t="str">
        <f t="shared" si="13"/>
        <v/>
      </c>
      <c r="Y57" s="522">
        <f t="shared" ca="1" si="10"/>
        <v>0</v>
      </c>
      <c r="Z57" s="522" t="str">
        <f>'Extra look-up'!F51</f>
        <v/>
      </c>
      <c r="AA57" s="522" t="str">
        <f ca="1">'Extra look-up'!H51</f>
        <v>OK</v>
      </c>
      <c r="AB57" s="522">
        <f t="shared" ca="1" si="11"/>
        <v>1</v>
      </c>
      <c r="AC57" s="536" t="e">
        <f t="shared" si="12"/>
        <v>#VALUE!</v>
      </c>
      <c r="AD57" s="539" t="str">
        <f ca="1">IFERROR(AVERAGE($AH$101:INDIRECT(CONCATENATE("AH"&amp;AC57))),"")</f>
        <v/>
      </c>
      <c r="AE57" s="533"/>
      <c r="AF57" s="533"/>
      <c r="AG57" s="25"/>
      <c r="AH57" s="25"/>
      <c r="AI57" s="25"/>
      <c r="AJ57" s="25"/>
      <c r="AK57" s="25"/>
      <c r="AL57" s="25"/>
      <c r="AM57" s="25"/>
      <c r="AN57" s="25"/>
      <c r="AO57" s="25"/>
      <c r="AP57" s="25"/>
      <c r="AQ57" s="25"/>
      <c r="AR57" s="731"/>
      <c r="AS57" s="731"/>
      <c r="AT57" s="731"/>
      <c r="AU57" s="731"/>
      <c r="AV57" s="731"/>
      <c r="AW57" s="731"/>
      <c r="AX57" s="731"/>
      <c r="AY57" s="731"/>
      <c r="AZ57" s="731"/>
      <c r="BA57" s="731"/>
      <c r="BB57" s="731"/>
      <c r="BC57" s="731"/>
      <c r="BD57" s="731"/>
      <c r="BE57" s="731"/>
      <c r="BF57" s="731"/>
      <c r="BG57" s="731"/>
      <c r="BH57" s="731"/>
      <c r="BI57" s="731"/>
      <c r="BJ57" s="731"/>
      <c r="BK57" s="731"/>
      <c r="BL57" s="731"/>
      <c r="BM57" s="731"/>
      <c r="BN57" s="731"/>
      <c r="BO57" s="731"/>
      <c r="BP57" s="731"/>
      <c r="BQ57" s="731"/>
      <c r="BR57" s="731"/>
    </row>
    <row r="58" spans="1:70" s="741" customFormat="1" ht="34" hidden="1" customHeight="1" x14ac:dyDescent="0.3">
      <c r="A58" s="158">
        <v>47</v>
      </c>
      <c r="B58" s="104"/>
      <c r="C58" s="114"/>
      <c r="D58" s="106"/>
      <c r="E58" s="107"/>
      <c r="F58" s="108"/>
      <c r="G58" s="133" t="str">
        <f t="shared" si="14"/>
        <v/>
      </c>
      <c r="H58" s="328"/>
      <c r="I58" s="846"/>
      <c r="J58" s="847"/>
      <c r="K58" s="109"/>
      <c r="L58" s="110"/>
      <c r="M58" s="136" t="str">
        <f t="shared" si="4"/>
        <v/>
      </c>
      <c r="N58" s="137">
        <f t="shared" si="5"/>
        <v>0</v>
      </c>
      <c r="O58" s="111"/>
      <c r="P58" s="145" t="str">
        <f t="shared" si="15"/>
        <v/>
      </c>
      <c r="Q58" s="146" t="str">
        <f t="shared" si="2"/>
        <v/>
      </c>
      <c r="R58" s="545" t="str">
        <f t="shared" si="16"/>
        <v/>
      </c>
      <c r="S58" s="147" t="str">
        <f t="shared" si="17"/>
        <v/>
      </c>
      <c r="T58" s="147" t="str">
        <f t="shared" si="7"/>
        <v/>
      </c>
      <c r="U58" s="148" t="str">
        <f t="shared" si="8"/>
        <v/>
      </c>
      <c r="V58" s="552" t="str">
        <f ca="1">IF('Extra look-up'!$H52="Math o Waith","Gwiriwch Math o Waith",IF(AND(D58="",F58="",H58="",I58="",L58="",M58=""),"",IF(OR(D58="",F58="",H58="",I58="",L58="",M58="",$L$9&lt;&gt;"OK"),"Gwiriwch bod yr holl feysydd wedi eu llenwi'n gywir",IF(AND(D58="",OR(F58&lt;&gt;"",H58&lt;&gt;"",I58&lt;&gt;"",L58&lt;&gt;"")),"Gwiriwch bod yr holl feysydd wedi eu llenwi'n gywir","OK"))))</f>
        <v/>
      </c>
      <c r="W58" s="521" t="str">
        <f>IF(I58="","",IF(VLOOKUP(I58,'Eligible Technologies'!$D$7:$G$69,4,FALSE)&lt;$F$9,VLOOKUP(I58,'Eligible Technologies'!$D$7:$G$69,4,FALSE),$F$9))</f>
        <v/>
      </c>
      <c r="X58" s="522" t="str">
        <f t="shared" si="13"/>
        <v/>
      </c>
      <c r="Y58" s="522">
        <f t="shared" ca="1" si="10"/>
        <v>0</v>
      </c>
      <c r="Z58" s="522" t="str">
        <f>'Extra look-up'!F52</f>
        <v/>
      </c>
      <c r="AA58" s="522" t="str">
        <f ca="1">'Extra look-up'!H52</f>
        <v>OK</v>
      </c>
      <c r="AB58" s="522">
        <f t="shared" ca="1" si="11"/>
        <v>1</v>
      </c>
      <c r="AC58" s="536" t="e">
        <f t="shared" si="12"/>
        <v>#VALUE!</v>
      </c>
      <c r="AD58" s="539" t="str">
        <f ca="1">IFERROR(AVERAGE($AH$101:INDIRECT(CONCATENATE("AH"&amp;AC58))),"")</f>
        <v/>
      </c>
      <c r="AE58" s="533"/>
      <c r="AF58" s="533"/>
      <c r="AG58" s="25"/>
      <c r="AH58" s="25"/>
      <c r="AI58" s="25"/>
      <c r="AJ58" s="25"/>
      <c r="AK58" s="25"/>
      <c r="AL58" s="25"/>
      <c r="AM58" s="25"/>
      <c r="AN58" s="25"/>
      <c r="AO58" s="25"/>
      <c r="AP58" s="25"/>
      <c r="AQ58" s="25"/>
      <c r="AR58" s="731"/>
      <c r="AS58" s="731"/>
      <c r="AT58" s="731"/>
      <c r="AU58" s="731"/>
      <c r="AV58" s="731"/>
      <c r="AW58" s="731"/>
      <c r="AX58" s="731"/>
      <c r="AY58" s="731"/>
      <c r="AZ58" s="731"/>
      <c r="BA58" s="731"/>
      <c r="BB58" s="731"/>
      <c r="BC58" s="731"/>
      <c r="BD58" s="731"/>
      <c r="BE58" s="731"/>
      <c r="BF58" s="731"/>
      <c r="BG58" s="731"/>
      <c r="BH58" s="731"/>
      <c r="BI58" s="731"/>
      <c r="BJ58" s="731"/>
      <c r="BK58" s="731"/>
      <c r="BL58" s="731"/>
      <c r="BM58" s="731"/>
      <c r="BN58" s="731"/>
      <c r="BO58" s="731"/>
      <c r="BP58" s="731"/>
      <c r="BQ58" s="731"/>
      <c r="BR58" s="731"/>
    </row>
    <row r="59" spans="1:70" s="741" customFormat="1" ht="34" hidden="1" customHeight="1" x14ac:dyDescent="0.3">
      <c r="A59" s="158">
        <v>48</v>
      </c>
      <c r="B59" s="104"/>
      <c r="C59" s="114"/>
      <c r="D59" s="106"/>
      <c r="E59" s="107"/>
      <c r="F59" s="108"/>
      <c r="G59" s="133" t="str">
        <f t="shared" si="14"/>
        <v/>
      </c>
      <c r="H59" s="328"/>
      <c r="I59" s="846"/>
      <c r="J59" s="847"/>
      <c r="K59" s="109"/>
      <c r="L59" s="110"/>
      <c r="M59" s="136" t="str">
        <f t="shared" si="4"/>
        <v/>
      </c>
      <c r="N59" s="137">
        <f t="shared" si="5"/>
        <v>0</v>
      </c>
      <c r="O59" s="111"/>
      <c r="P59" s="145" t="str">
        <f t="shared" si="15"/>
        <v/>
      </c>
      <c r="Q59" s="146" t="str">
        <f t="shared" si="2"/>
        <v/>
      </c>
      <c r="R59" s="545" t="str">
        <f t="shared" si="16"/>
        <v/>
      </c>
      <c r="S59" s="147" t="str">
        <f t="shared" si="17"/>
        <v/>
      </c>
      <c r="T59" s="147" t="str">
        <f t="shared" si="7"/>
        <v/>
      </c>
      <c r="U59" s="148" t="str">
        <f t="shared" si="8"/>
        <v/>
      </c>
      <c r="V59" s="552" t="str">
        <f ca="1">IF('Extra look-up'!$H53="Math o Waith","Gwiriwch Math o Waith",IF(AND(D59="",F59="",H59="",I59="",L59="",M59=""),"",IF(OR(D59="",F59="",H59="",I59="",L59="",M59="",$L$9&lt;&gt;"OK"),"Gwiriwch bod yr holl feysydd wedi eu llenwi'n gywir",IF(AND(D59="",OR(F59&lt;&gt;"",H59&lt;&gt;"",I59&lt;&gt;"",L59&lt;&gt;"")),"Gwiriwch bod yr holl feysydd wedi eu llenwi'n gywir","OK"))))</f>
        <v/>
      </c>
      <c r="W59" s="521" t="str">
        <f>IF(I59="","",IF(VLOOKUP(I59,'Eligible Technologies'!$D$7:$G$69,4,FALSE)&lt;$F$9,VLOOKUP(I59,'Eligible Technologies'!$D$7:$G$69,4,FALSE),$F$9))</f>
        <v/>
      </c>
      <c r="X59" s="522" t="str">
        <f t="shared" si="13"/>
        <v/>
      </c>
      <c r="Y59" s="522">
        <f t="shared" ca="1" si="10"/>
        <v>0</v>
      </c>
      <c r="Z59" s="522" t="str">
        <f>'Extra look-up'!F53</f>
        <v/>
      </c>
      <c r="AA59" s="522" t="str">
        <f ca="1">'Extra look-up'!H53</f>
        <v>OK</v>
      </c>
      <c r="AB59" s="522">
        <f t="shared" ca="1" si="11"/>
        <v>1</v>
      </c>
      <c r="AC59" s="536" t="e">
        <f t="shared" si="12"/>
        <v>#VALUE!</v>
      </c>
      <c r="AD59" s="539" t="str">
        <f ca="1">IFERROR(AVERAGE($AH$101:INDIRECT(CONCATENATE("AH"&amp;AC59))),"")</f>
        <v/>
      </c>
      <c r="AE59" s="533"/>
      <c r="AF59" s="533"/>
      <c r="AG59" s="25"/>
      <c r="AH59" s="25"/>
      <c r="AI59" s="25"/>
      <c r="AJ59" s="25"/>
      <c r="AK59" s="25"/>
      <c r="AL59" s="25"/>
      <c r="AM59" s="25"/>
      <c r="AN59" s="25"/>
      <c r="AO59" s="25"/>
      <c r="AP59" s="25"/>
      <c r="AQ59" s="25"/>
      <c r="AR59" s="731"/>
      <c r="AS59" s="731"/>
      <c r="AT59" s="731"/>
      <c r="AU59" s="731"/>
      <c r="AV59" s="731"/>
      <c r="AW59" s="731"/>
      <c r="AX59" s="731"/>
      <c r="AY59" s="731"/>
      <c r="AZ59" s="731"/>
      <c r="BA59" s="731"/>
      <c r="BB59" s="731"/>
      <c r="BC59" s="731"/>
      <c r="BD59" s="731"/>
      <c r="BE59" s="731"/>
      <c r="BF59" s="731"/>
      <c r="BG59" s="731"/>
      <c r="BH59" s="731"/>
      <c r="BI59" s="731"/>
      <c r="BJ59" s="731"/>
      <c r="BK59" s="731"/>
      <c r="BL59" s="731"/>
      <c r="BM59" s="731"/>
      <c r="BN59" s="731"/>
      <c r="BO59" s="731"/>
      <c r="BP59" s="731"/>
      <c r="BQ59" s="731"/>
      <c r="BR59" s="731"/>
    </row>
    <row r="60" spans="1:70" s="741" customFormat="1" ht="34" hidden="1" customHeight="1" x14ac:dyDescent="0.3">
      <c r="A60" s="158">
        <v>49</v>
      </c>
      <c r="B60" s="104"/>
      <c r="C60" s="114"/>
      <c r="D60" s="106"/>
      <c r="E60" s="107"/>
      <c r="F60" s="108"/>
      <c r="G60" s="133" t="str">
        <f t="shared" si="14"/>
        <v/>
      </c>
      <c r="H60" s="328"/>
      <c r="I60" s="846"/>
      <c r="J60" s="847"/>
      <c r="K60" s="109"/>
      <c r="L60" s="110"/>
      <c r="M60" s="136" t="str">
        <f t="shared" si="4"/>
        <v/>
      </c>
      <c r="N60" s="137">
        <f t="shared" si="5"/>
        <v>0</v>
      </c>
      <c r="O60" s="111"/>
      <c r="P60" s="145" t="str">
        <f t="shared" si="15"/>
        <v/>
      </c>
      <c r="Q60" s="146" t="str">
        <f t="shared" si="2"/>
        <v/>
      </c>
      <c r="R60" s="545" t="str">
        <f t="shared" si="16"/>
        <v/>
      </c>
      <c r="S60" s="147" t="str">
        <f t="shared" si="17"/>
        <v/>
      </c>
      <c r="T60" s="147" t="str">
        <f t="shared" si="7"/>
        <v/>
      </c>
      <c r="U60" s="148" t="str">
        <f t="shared" si="8"/>
        <v/>
      </c>
      <c r="V60" s="552" t="str">
        <f ca="1">IF('Extra look-up'!$H54="Math o Waith","Gwiriwch Math o Waith",IF(AND(D60="",F60="",H60="",I60="",L60="",M60=""),"",IF(OR(D60="",F60="",H60="",I60="",L60="",M60="",$L$9&lt;&gt;"OK"),"Gwiriwch bod yr holl feysydd wedi eu llenwi'n gywir",IF(AND(D60="",OR(F60&lt;&gt;"",H60&lt;&gt;"",I60&lt;&gt;"",L60&lt;&gt;"")),"Gwiriwch bod yr holl feysydd wedi eu llenwi'n gywir","OK"))))</f>
        <v/>
      </c>
      <c r="W60" s="521" t="str">
        <f>IF(I60="","",IF(VLOOKUP(I60,'Eligible Technologies'!$D$7:$G$69,4,FALSE)&lt;$F$9,VLOOKUP(I60,'Eligible Technologies'!$D$7:$G$69,4,FALSE),$F$9))</f>
        <v/>
      </c>
      <c r="X60" s="522" t="str">
        <f t="shared" si="13"/>
        <v/>
      </c>
      <c r="Y60" s="522">
        <f t="shared" ca="1" si="10"/>
        <v>0</v>
      </c>
      <c r="Z60" s="522" t="str">
        <f>'Extra look-up'!F54</f>
        <v/>
      </c>
      <c r="AA60" s="522" t="str">
        <f ca="1">'Extra look-up'!H54</f>
        <v>OK</v>
      </c>
      <c r="AB60" s="522">
        <f t="shared" ca="1" si="11"/>
        <v>1</v>
      </c>
      <c r="AC60" s="536" t="e">
        <f t="shared" si="12"/>
        <v>#VALUE!</v>
      </c>
      <c r="AD60" s="539" t="str">
        <f ca="1">IFERROR(AVERAGE($AH$101:INDIRECT(CONCATENATE("AH"&amp;AC60))),"")</f>
        <v/>
      </c>
      <c r="AE60" s="533"/>
      <c r="AF60" s="533"/>
      <c r="AG60" s="25"/>
      <c r="AH60" s="25"/>
      <c r="AI60" s="25"/>
      <c r="AJ60" s="25"/>
      <c r="AK60" s="25"/>
      <c r="AL60" s="25"/>
      <c r="AM60" s="25"/>
      <c r="AN60" s="25"/>
      <c r="AO60" s="25"/>
      <c r="AP60" s="25"/>
      <c r="AQ60" s="25"/>
      <c r="AR60" s="731"/>
      <c r="AS60" s="731"/>
      <c r="AT60" s="731"/>
      <c r="AU60" s="731"/>
      <c r="AV60" s="731"/>
      <c r="AW60" s="731"/>
      <c r="AX60" s="731"/>
      <c r="AY60" s="731"/>
      <c r="AZ60" s="731"/>
      <c r="BA60" s="731"/>
      <c r="BB60" s="731"/>
      <c r="BC60" s="731"/>
      <c r="BD60" s="731"/>
      <c r="BE60" s="731"/>
      <c r="BF60" s="731"/>
      <c r="BG60" s="731"/>
      <c r="BH60" s="731"/>
      <c r="BI60" s="731"/>
      <c r="BJ60" s="731"/>
      <c r="BK60" s="731"/>
      <c r="BL60" s="731"/>
      <c r="BM60" s="731"/>
      <c r="BN60" s="731"/>
      <c r="BO60" s="731"/>
      <c r="BP60" s="731"/>
      <c r="BQ60" s="731"/>
      <c r="BR60" s="731"/>
    </row>
    <row r="61" spans="1:70" s="741" customFormat="1" ht="12.5" hidden="1" customHeight="1" thickBot="1" x14ac:dyDescent="0.35">
      <c r="A61" s="158">
        <v>50</v>
      </c>
      <c r="B61" s="104"/>
      <c r="C61" s="112"/>
      <c r="D61" s="106"/>
      <c r="E61" s="107"/>
      <c r="F61" s="108"/>
      <c r="G61" s="133" t="str">
        <f t="shared" si="14"/>
        <v/>
      </c>
      <c r="H61" s="328"/>
      <c r="I61" s="846"/>
      <c r="J61" s="847"/>
      <c r="K61" s="109"/>
      <c r="L61" s="110"/>
      <c r="M61" s="136" t="str">
        <f t="shared" si="4"/>
        <v/>
      </c>
      <c r="N61" s="137">
        <f t="shared" si="5"/>
        <v>0</v>
      </c>
      <c r="O61" s="111"/>
      <c r="P61" s="145" t="str">
        <f t="shared" si="15"/>
        <v/>
      </c>
      <c r="Q61" s="146" t="str">
        <f t="shared" si="2"/>
        <v/>
      </c>
      <c r="R61" s="545" t="str">
        <f t="shared" si="16"/>
        <v/>
      </c>
      <c r="S61" s="147" t="str">
        <f t="shared" si="17"/>
        <v/>
      </c>
      <c r="T61" s="147" t="str">
        <f t="shared" si="7"/>
        <v/>
      </c>
      <c r="U61" s="148" t="str">
        <f t="shared" si="8"/>
        <v/>
      </c>
      <c r="V61" s="553" t="str">
        <f>IF('Extra look-up'!$H80="Work Type","Check Work Type",IF(AND(D61="",F61="",H61="",I61="",L61="",M61=""),"",IF(OR(D61="",F61="",H61="",I61="",L61="",M61="",$L$9&lt;&gt;"OK"),"Check all fields completed correctly",IF(AND(D61="",OR(F61&lt;&gt;"",H61&lt;&gt;"",I61&lt;&gt;"",L61&lt;&gt;"")),"Check all fields completed correctly","OK"))))</f>
        <v/>
      </c>
      <c r="W61" s="523" t="str">
        <f>IF(I61="","",IF(VLOOKUP(I61,'Eligible Technologies'!$D$7:$G$69,4,FALSE)&lt;$F$9,VLOOKUP(I61,'Eligible Technologies'!$D$7:$G$69,4,FALSE),$F$9))</f>
        <v/>
      </c>
      <c r="X61" s="524" t="str">
        <f t="shared" si="13"/>
        <v/>
      </c>
      <c r="Y61" s="524">
        <f t="shared" si="10"/>
        <v>0</v>
      </c>
      <c r="Z61" s="524" t="str">
        <f>'Extra look-up'!F55</f>
        <v/>
      </c>
      <c r="AA61" s="524" t="str">
        <f ca="1">'Extra look-up'!H55</f>
        <v>OK</v>
      </c>
      <c r="AB61" s="524">
        <f t="shared" si="11"/>
        <v>1</v>
      </c>
      <c r="AC61" s="537" t="e">
        <f t="shared" si="12"/>
        <v>#VALUE!</v>
      </c>
      <c r="AD61" s="540" t="str">
        <f ca="1">IFERROR(AVERAGE($AH$101:INDIRECT(CONCATENATE("AH"&amp;AC61))),"")</f>
        <v/>
      </c>
      <c r="AE61" s="533"/>
      <c r="AF61" s="533"/>
      <c r="AG61" s="25"/>
      <c r="AH61" s="25"/>
      <c r="AI61" s="25"/>
      <c r="AJ61" s="25"/>
      <c r="AK61" s="25"/>
      <c r="AL61" s="25"/>
      <c r="AM61" s="25"/>
      <c r="AN61" s="25"/>
      <c r="AO61" s="25"/>
      <c r="AP61" s="25"/>
      <c r="AQ61" s="25"/>
      <c r="AR61" s="731"/>
      <c r="AS61" s="731"/>
      <c r="AT61" s="731"/>
      <c r="AU61" s="731"/>
      <c r="AV61" s="731"/>
      <c r="AW61" s="731"/>
      <c r="AX61" s="731"/>
      <c r="AY61" s="731"/>
      <c r="AZ61" s="731"/>
      <c r="BA61" s="731"/>
      <c r="BB61" s="731"/>
      <c r="BC61" s="731"/>
      <c r="BD61" s="731"/>
      <c r="BE61" s="731"/>
      <c r="BF61" s="731"/>
      <c r="BG61" s="731"/>
      <c r="BH61" s="731"/>
      <c r="BI61" s="731"/>
      <c r="BJ61" s="731"/>
      <c r="BK61" s="731"/>
      <c r="BL61" s="731"/>
      <c r="BM61" s="731"/>
      <c r="BN61" s="731"/>
      <c r="BO61" s="731"/>
      <c r="BP61" s="731"/>
      <c r="BQ61" s="731"/>
      <c r="BR61" s="731"/>
    </row>
    <row r="62" spans="1:70" s="741" customFormat="1" ht="15" customHeight="1" thickBot="1" x14ac:dyDescent="0.35">
      <c r="A62" s="222"/>
      <c r="B62" s="223"/>
      <c r="C62" s="223"/>
      <c r="D62" s="223"/>
      <c r="E62" s="223"/>
      <c r="F62" s="223"/>
      <c r="G62" s="223"/>
      <c r="H62" s="223"/>
      <c r="I62" s="223"/>
      <c r="J62" s="223"/>
      <c r="K62" s="223"/>
      <c r="L62" s="223"/>
      <c r="M62" s="223"/>
      <c r="N62" s="223"/>
      <c r="O62" s="223"/>
      <c r="P62" s="223"/>
      <c r="Q62" s="223"/>
      <c r="R62" s="223"/>
      <c r="S62" s="223"/>
      <c r="T62" s="223"/>
      <c r="U62" s="223"/>
      <c r="V62" s="224"/>
      <c r="W62" s="6"/>
      <c r="X62" s="24"/>
      <c r="Y62" s="528">
        <f ca="1">SUM(Y12:Y61)</f>
        <v>0</v>
      </c>
      <c r="Z62" s="24"/>
      <c r="AA62" s="24"/>
      <c r="AB62" s="528">
        <f ca="1">SUM(AB12:AB61)</f>
        <v>50</v>
      </c>
      <c r="AC62" s="24"/>
      <c r="AD62" s="24"/>
      <c r="AE62" s="24"/>
      <c r="AF62" s="24"/>
      <c r="AG62" s="25"/>
      <c r="AH62" s="25"/>
      <c r="AI62" s="25"/>
      <c r="AJ62" s="25"/>
      <c r="AK62" s="25"/>
      <c r="AL62" s="25"/>
      <c r="AM62" s="25"/>
      <c r="AN62" s="25"/>
      <c r="AO62" s="25"/>
      <c r="AP62" s="25"/>
      <c r="AQ62" s="25"/>
      <c r="AR62" s="731"/>
      <c r="AS62" s="731"/>
      <c r="AT62" s="731"/>
      <c r="AU62" s="731"/>
      <c r="AV62" s="731"/>
      <c r="AW62" s="731"/>
      <c r="AX62" s="731"/>
      <c r="AY62" s="731"/>
      <c r="AZ62" s="731"/>
      <c r="BA62" s="731"/>
      <c r="BB62" s="731"/>
      <c r="BC62" s="731"/>
      <c r="BD62" s="731"/>
      <c r="BE62" s="731"/>
      <c r="BF62" s="731"/>
      <c r="BG62" s="731"/>
      <c r="BH62" s="731"/>
      <c r="BI62" s="731"/>
      <c r="BJ62" s="731"/>
      <c r="BK62" s="731"/>
      <c r="BL62" s="731"/>
      <c r="BM62" s="731"/>
      <c r="BN62" s="731"/>
      <c r="BO62" s="731"/>
      <c r="BP62" s="731"/>
      <c r="BQ62" s="731"/>
      <c r="BR62" s="731"/>
    </row>
    <row r="63" spans="1:70" s="741" customFormat="1" ht="15" customHeight="1" thickBot="1" x14ac:dyDescent="0.35">
      <c r="A63" s="159"/>
      <c r="B63" s="336"/>
      <c r="C63" s="336"/>
      <c r="D63" s="336"/>
      <c r="E63" s="336"/>
      <c r="F63" s="336"/>
      <c r="G63" s="336"/>
      <c r="H63" s="336"/>
      <c r="I63" s="336"/>
      <c r="J63" s="336"/>
      <c r="K63" s="336"/>
      <c r="L63" s="336"/>
      <c r="M63" s="336"/>
      <c r="N63" s="336"/>
      <c r="O63" s="336"/>
      <c r="P63" s="336"/>
      <c r="Q63" s="336"/>
      <c r="R63" s="336"/>
      <c r="S63" s="336"/>
      <c r="T63" s="336"/>
      <c r="U63" s="336"/>
      <c r="V63" s="336"/>
      <c r="W63" s="6"/>
      <c r="X63" s="24"/>
      <c r="Y63" s="24"/>
      <c r="Z63" s="24"/>
      <c r="AA63" s="24"/>
      <c r="AB63" s="24"/>
      <c r="AC63" s="24"/>
      <c r="AD63" s="24"/>
      <c r="AE63" s="24"/>
      <c r="AF63" s="24"/>
      <c r="AG63" s="25"/>
      <c r="AH63" s="25"/>
      <c r="AI63" s="25"/>
      <c r="AJ63" s="25"/>
      <c r="AK63" s="25"/>
      <c r="AL63" s="25"/>
      <c r="AM63" s="25"/>
      <c r="AN63" s="25"/>
      <c r="AO63" s="25"/>
      <c r="AP63" s="25"/>
      <c r="AQ63" s="25"/>
      <c r="AR63" s="731"/>
      <c r="AS63" s="731"/>
      <c r="AT63" s="731"/>
      <c r="AU63" s="731"/>
      <c r="AV63" s="731"/>
      <c r="AW63" s="731"/>
      <c r="AX63" s="731"/>
      <c r="AY63" s="731"/>
      <c r="AZ63" s="731"/>
      <c r="BA63" s="731"/>
      <c r="BB63" s="731"/>
      <c r="BC63" s="731"/>
      <c r="BD63" s="731"/>
      <c r="BE63" s="731"/>
      <c r="BF63" s="731"/>
      <c r="BG63" s="731"/>
      <c r="BH63" s="731"/>
      <c r="BI63" s="731"/>
      <c r="BJ63" s="731"/>
      <c r="BK63" s="731"/>
      <c r="BL63" s="731"/>
      <c r="BM63" s="731"/>
      <c r="BN63" s="731"/>
      <c r="BO63" s="731"/>
      <c r="BP63" s="731"/>
      <c r="BQ63" s="731"/>
      <c r="BR63" s="731"/>
    </row>
    <row r="64" spans="1:70" s="741" customFormat="1" ht="60.75" customHeight="1" thickBot="1" x14ac:dyDescent="0.35">
      <c r="A64" s="156"/>
      <c r="B64" s="336"/>
      <c r="C64" s="336"/>
      <c r="D64" s="336"/>
      <c r="E64" s="336"/>
      <c r="F64" s="336"/>
      <c r="G64" s="336"/>
      <c r="H64" s="337"/>
      <c r="I64" s="336"/>
      <c r="J64" s="336"/>
      <c r="K64" s="336"/>
      <c r="L64" s="336"/>
      <c r="M64" s="336"/>
      <c r="N64" s="234" t="s">
        <v>121</v>
      </c>
      <c r="O64" s="234" t="s">
        <v>122</v>
      </c>
      <c r="P64" s="235" t="s">
        <v>123</v>
      </c>
      <c r="Q64" s="124" t="s">
        <v>53</v>
      </c>
      <c r="R64" s="124" t="s">
        <v>124</v>
      </c>
      <c r="S64" s="124" t="s">
        <v>125</v>
      </c>
      <c r="T64" s="124" t="s">
        <v>126</v>
      </c>
      <c r="U64" s="132" t="s">
        <v>127</v>
      </c>
      <c r="V64" s="236" t="s">
        <v>128</v>
      </c>
      <c r="W64" s="6"/>
      <c r="X64" s="24"/>
      <c r="Y64" s="24"/>
      <c r="Z64" s="24"/>
      <c r="AA64" s="24"/>
      <c r="AB64" s="24"/>
      <c r="AC64" s="24"/>
      <c r="AD64" s="24"/>
      <c r="AE64" s="24"/>
      <c r="AF64" s="24"/>
      <c r="AG64" s="25"/>
      <c r="AH64" s="25"/>
      <c r="AI64" s="25"/>
      <c r="AJ64" s="25"/>
      <c r="AK64" s="25"/>
      <c r="AL64" s="25"/>
      <c r="AM64" s="25"/>
      <c r="AN64" s="25"/>
      <c r="AO64" s="25"/>
      <c r="AP64" s="25"/>
      <c r="AQ64" s="25"/>
      <c r="AR64" s="731"/>
      <c r="AS64" s="731"/>
      <c r="AT64" s="731"/>
      <c r="AU64" s="731"/>
      <c r="AV64" s="731"/>
      <c r="AW64" s="731"/>
      <c r="AX64" s="731"/>
      <c r="AY64" s="731"/>
      <c r="AZ64" s="731"/>
      <c r="BA64" s="731"/>
      <c r="BB64" s="731"/>
      <c r="BC64" s="731"/>
      <c r="BD64" s="731"/>
      <c r="BE64" s="731"/>
      <c r="BF64" s="731"/>
      <c r="BG64" s="731"/>
      <c r="BH64" s="731"/>
      <c r="BI64" s="731"/>
      <c r="BJ64" s="731"/>
      <c r="BK64" s="731"/>
      <c r="BL64" s="731"/>
      <c r="BM64" s="731"/>
      <c r="BN64" s="731"/>
      <c r="BO64" s="731"/>
      <c r="BP64" s="731"/>
      <c r="BQ64" s="731"/>
      <c r="BR64" s="731"/>
    </row>
    <row r="65" spans="1:70" s="741" customFormat="1" ht="51.65" customHeight="1" x14ac:dyDescent="0.3">
      <c r="A65" s="156"/>
      <c r="B65" s="338"/>
      <c r="C65" s="339"/>
      <c r="D65" s="340"/>
      <c r="E65" s="338"/>
      <c r="F65" s="338"/>
      <c r="G65" s="338"/>
      <c r="H65" s="338"/>
      <c r="I65" s="338"/>
      <c r="J65" s="338"/>
      <c r="K65" s="341"/>
      <c r="L65" s="341"/>
      <c r="M65" s="341"/>
      <c r="N65" s="225"/>
      <c r="O65" s="226" t="str">
        <f>IF(OR(L9&lt;&gt;"OK",$D$4=""),"",SUM(O12:O61))</f>
        <v/>
      </c>
      <c r="P65" s="227" t="str">
        <f>IF(OR(L9&lt;&gt;"OK",$D$4=""),"",SUM(P12:P61))</f>
        <v/>
      </c>
      <c r="Q65" s="228" t="str">
        <f>IF(OR(P65&lt;=0,P65=""),"",N65/P65)</f>
        <v/>
      </c>
      <c r="R65" s="229" t="str">
        <f>IF(Q65="","",SUM(R12:R61))</f>
        <v/>
      </c>
      <c r="S65" s="230" t="str">
        <f>IF(R65="","",SUM(S12:S61))</f>
        <v/>
      </c>
      <c r="T65" s="231" t="str">
        <f>IF(S65="","",SUM(T12:T61))</f>
        <v/>
      </c>
      <c r="U65" s="232" t="str">
        <f>IF(ISERROR(N65/T65),"",N65/T65)</f>
        <v/>
      </c>
      <c r="V65" s="233" t="str">
        <f>IF($D$4="","Dewiswch Raglen",IF(L9&lt;&gt;"OK","Gwirio Manylion y Prosiect",IF(Y62=0,"Nodwch Fanylion y Math o Waith",IF(N65=0,"Nodwch y Cyllid y Gwneir Cais Amdano",IF(AB62&gt;=51,"Gwiriwch Fanylion y Math o Waith",'Extra look-up'!H77)))))</f>
        <v>Dewiswch Raglen</v>
      </c>
      <c r="W65" s="6"/>
      <c r="X65" s="24"/>
      <c r="Y65" s="24"/>
      <c r="Z65" s="24"/>
      <c r="AA65" s="24"/>
      <c r="AB65" s="24"/>
      <c r="AC65" s="24"/>
      <c r="AD65" s="24"/>
      <c r="AE65" s="24"/>
      <c r="AF65" s="24"/>
      <c r="AG65" s="25"/>
      <c r="AH65" s="25"/>
      <c r="AI65" s="25"/>
      <c r="AJ65" s="25"/>
      <c r="AK65" s="25"/>
      <c r="AL65" s="25"/>
      <c r="AM65" s="25"/>
      <c r="AN65" s="25"/>
      <c r="AO65" s="25"/>
      <c r="AP65" s="25"/>
      <c r="AQ65" s="25"/>
      <c r="AR65" s="731"/>
      <c r="AS65" s="731"/>
      <c r="AT65" s="731"/>
      <c r="AU65" s="731"/>
      <c r="AV65" s="731"/>
      <c r="AW65" s="731"/>
      <c r="AX65" s="731"/>
      <c r="AY65" s="731"/>
      <c r="AZ65" s="731"/>
      <c r="BA65" s="731"/>
      <c r="BB65" s="731"/>
      <c r="BC65" s="731"/>
      <c r="BD65" s="731"/>
      <c r="BE65" s="731"/>
      <c r="BF65" s="731"/>
      <c r="BG65" s="731"/>
      <c r="BH65" s="731"/>
      <c r="BI65" s="731"/>
      <c r="BJ65" s="731"/>
      <c r="BK65" s="731"/>
      <c r="BL65" s="731"/>
      <c r="BM65" s="731"/>
      <c r="BN65" s="731"/>
      <c r="BO65" s="731"/>
      <c r="BP65" s="731"/>
      <c r="BQ65" s="731"/>
      <c r="BR65" s="731"/>
    </row>
    <row r="66" spans="1:70" s="741" customFormat="1" ht="15" customHeight="1" thickBot="1" x14ac:dyDescent="0.35">
      <c r="A66" s="155"/>
      <c r="B66" s="342"/>
      <c r="C66" s="343"/>
      <c r="D66" s="344"/>
      <c r="E66" s="342"/>
      <c r="F66" s="342"/>
      <c r="G66" s="342"/>
      <c r="H66" s="342"/>
      <c r="I66" s="342"/>
      <c r="J66" s="342"/>
      <c r="K66" s="345"/>
      <c r="L66" s="346"/>
      <c r="M66" s="149"/>
      <c r="N66" s="149"/>
      <c r="O66" s="150"/>
      <c r="P66" s="151"/>
      <c r="Q66" s="152"/>
      <c r="R66" s="153"/>
      <c r="S66" s="152"/>
      <c r="T66" s="154"/>
      <c r="U66" s="350"/>
      <c r="V66" s="350"/>
      <c r="W66" s="6"/>
      <c r="X66" s="24"/>
      <c r="Y66" s="24"/>
      <c r="Z66" s="24"/>
      <c r="AA66" s="24"/>
      <c r="AB66" s="24"/>
      <c r="AC66" s="24"/>
      <c r="AD66" s="24"/>
      <c r="AE66" s="24"/>
      <c r="AF66" s="24"/>
      <c r="AG66" s="6"/>
      <c r="AH66" s="6"/>
      <c r="AI66" s="6"/>
      <c r="AJ66" s="6"/>
      <c r="AK66" s="6"/>
      <c r="AL66" s="6"/>
      <c r="AM66" s="6"/>
      <c r="AN66" s="6"/>
      <c r="AO66" s="6"/>
      <c r="AP66" s="6"/>
      <c r="AQ66" s="6"/>
      <c r="AR66" s="731"/>
      <c r="AS66" s="731"/>
      <c r="AT66" s="731"/>
      <c r="AU66" s="731"/>
      <c r="AV66" s="731"/>
      <c r="AW66" s="731"/>
      <c r="AX66" s="731"/>
      <c r="AY66" s="731"/>
      <c r="AZ66" s="731"/>
      <c r="BA66" s="731"/>
      <c r="BB66" s="731"/>
      <c r="BC66" s="731"/>
      <c r="BD66" s="731"/>
      <c r="BE66" s="731"/>
      <c r="BF66" s="731"/>
      <c r="BG66" s="731"/>
      <c r="BH66" s="731"/>
      <c r="BI66" s="731"/>
      <c r="BJ66" s="731"/>
      <c r="BK66" s="731"/>
      <c r="BL66" s="731"/>
      <c r="BM66" s="731"/>
      <c r="BN66" s="731"/>
      <c r="BO66" s="731"/>
      <c r="BP66" s="731"/>
      <c r="BQ66" s="731"/>
      <c r="BR66" s="731"/>
    </row>
    <row r="67" spans="1:70" s="741" customFormat="1" ht="36.75" customHeight="1" x14ac:dyDescent="0.3">
      <c r="A67" s="347"/>
      <c r="B67" s="857" t="s">
        <v>129</v>
      </c>
      <c r="C67" s="858"/>
      <c r="D67" s="858"/>
      <c r="E67" s="858"/>
      <c r="F67" s="858"/>
      <c r="G67" s="858"/>
      <c r="H67" s="858"/>
      <c r="I67" s="858"/>
      <c r="J67" s="858"/>
      <c r="K67" s="858"/>
      <c r="L67" s="858"/>
      <c r="M67" s="858"/>
      <c r="N67" s="858"/>
      <c r="O67" s="858"/>
      <c r="P67" s="858"/>
      <c r="Q67" s="858"/>
      <c r="R67" s="858"/>
      <c r="S67" s="858"/>
      <c r="T67" s="858"/>
      <c r="U67" s="858"/>
      <c r="V67" s="859"/>
      <c r="W67" s="6"/>
      <c r="X67" s="24"/>
      <c r="Y67" s="24"/>
      <c r="Z67" s="24"/>
      <c r="AA67" s="24"/>
      <c r="AB67" s="24"/>
      <c r="AC67" s="24"/>
      <c r="AD67" s="24"/>
      <c r="AE67" s="24"/>
      <c r="AF67" s="24"/>
      <c r="AG67" s="6"/>
      <c r="AH67" s="6"/>
      <c r="AI67" s="6"/>
      <c r="AJ67" s="6"/>
      <c r="AK67" s="6"/>
      <c r="AL67" s="6"/>
      <c r="AM67" s="6"/>
      <c r="AN67" s="6"/>
      <c r="AO67" s="6"/>
      <c r="AP67" s="6"/>
      <c r="AQ67" s="6"/>
      <c r="AR67" s="731"/>
      <c r="AS67" s="731"/>
      <c r="AT67" s="731"/>
      <c r="AU67" s="731"/>
      <c r="AV67" s="731"/>
      <c r="AW67" s="731"/>
      <c r="AX67" s="731"/>
      <c r="AY67" s="731"/>
      <c r="AZ67" s="731"/>
      <c r="BA67" s="731"/>
      <c r="BB67" s="731"/>
      <c r="BC67" s="731"/>
      <c r="BD67" s="731"/>
      <c r="BE67" s="731"/>
      <c r="BF67" s="731"/>
      <c r="BG67" s="731"/>
      <c r="BH67" s="731"/>
      <c r="BI67" s="731"/>
      <c r="BJ67" s="731"/>
      <c r="BK67" s="731"/>
      <c r="BL67" s="731"/>
      <c r="BM67" s="731"/>
      <c r="BN67" s="731"/>
      <c r="BO67" s="731"/>
      <c r="BP67" s="731"/>
      <c r="BQ67" s="731"/>
      <c r="BR67" s="731"/>
    </row>
    <row r="68" spans="1:70" s="741" customFormat="1" ht="21" customHeight="1" x14ac:dyDescent="0.3">
      <c r="A68" s="347"/>
      <c r="B68" s="864" t="s">
        <v>130</v>
      </c>
      <c r="C68" s="865"/>
      <c r="D68" s="865"/>
      <c r="E68" s="865"/>
      <c r="F68" s="865"/>
      <c r="G68" s="865"/>
      <c r="H68" s="865"/>
      <c r="I68" s="865"/>
      <c r="J68" s="865"/>
      <c r="K68" s="865"/>
      <c r="L68" s="865"/>
      <c r="M68" s="865"/>
      <c r="N68" s="865"/>
      <c r="O68" s="865"/>
      <c r="P68" s="865"/>
      <c r="Q68" s="865"/>
      <c r="R68" s="865"/>
      <c r="S68" s="865"/>
      <c r="T68" s="865"/>
      <c r="U68" s="865"/>
      <c r="V68" s="866"/>
      <c r="W68" s="6"/>
      <c r="X68" s="24"/>
      <c r="Y68" s="24"/>
      <c r="Z68" s="24"/>
      <c r="AA68" s="24"/>
      <c r="AB68" s="24"/>
      <c r="AC68" s="24"/>
      <c r="AD68" s="24"/>
      <c r="AE68" s="24"/>
      <c r="AF68" s="24"/>
      <c r="AG68" s="6"/>
      <c r="AH68" s="6"/>
      <c r="AI68" s="6"/>
      <c r="AJ68" s="6"/>
      <c r="AK68" s="6"/>
      <c r="AL68" s="6"/>
      <c r="AM68" s="6"/>
      <c r="AN68" s="6"/>
      <c r="AO68" s="6"/>
      <c r="AP68" s="6"/>
      <c r="AQ68" s="6"/>
      <c r="AR68" s="731"/>
      <c r="AS68" s="731"/>
      <c r="AT68" s="731"/>
      <c r="AU68" s="731"/>
      <c r="AV68" s="731"/>
      <c r="AW68" s="731"/>
      <c r="AX68" s="731"/>
      <c r="AY68" s="731"/>
      <c r="AZ68" s="731"/>
      <c r="BA68" s="731"/>
      <c r="BB68" s="731"/>
      <c r="BC68" s="731"/>
      <c r="BD68" s="731"/>
      <c r="BE68" s="731"/>
      <c r="BF68" s="731"/>
      <c r="BG68" s="731"/>
      <c r="BH68" s="731"/>
      <c r="BI68" s="731"/>
      <c r="BJ68" s="731"/>
      <c r="BK68" s="731"/>
      <c r="BL68" s="731"/>
      <c r="BM68" s="731"/>
      <c r="BN68" s="731"/>
      <c r="BO68" s="731"/>
      <c r="BP68" s="731"/>
      <c r="BQ68" s="731"/>
      <c r="BR68" s="731"/>
    </row>
    <row r="69" spans="1:70" ht="97.5" customHeight="1" thickBot="1" x14ac:dyDescent="0.35">
      <c r="A69" s="347"/>
      <c r="B69" s="860" t="s">
        <v>131</v>
      </c>
      <c r="C69" s="861"/>
      <c r="D69" s="861"/>
      <c r="E69" s="861"/>
      <c r="F69" s="861"/>
      <c r="G69" s="861"/>
      <c r="H69" s="861"/>
      <c r="I69" s="861"/>
      <c r="J69" s="861"/>
      <c r="K69" s="861"/>
      <c r="L69" s="861"/>
      <c r="M69" s="861"/>
      <c r="N69" s="861"/>
      <c r="O69" s="861"/>
      <c r="P69" s="861"/>
      <c r="Q69" s="861"/>
      <c r="R69" s="861"/>
      <c r="S69" s="861"/>
      <c r="T69" s="861"/>
      <c r="U69" s="861"/>
      <c r="V69" s="862"/>
      <c r="W69" s="11"/>
      <c r="X69" s="24"/>
      <c r="Y69" s="24"/>
      <c r="Z69" s="24"/>
      <c r="AA69" s="24"/>
      <c r="AB69" s="24"/>
      <c r="AC69" s="24"/>
      <c r="AD69" s="24"/>
      <c r="AE69" s="24"/>
      <c r="AF69" s="24"/>
      <c r="AG69" s="24"/>
      <c r="AH69" s="24"/>
      <c r="AI69" s="24"/>
      <c r="AJ69" s="24"/>
      <c r="AK69" s="24"/>
      <c r="AL69" s="24"/>
      <c r="AM69" s="24"/>
      <c r="AN69" s="24"/>
      <c r="AO69" s="24"/>
      <c r="AP69" s="24"/>
      <c r="AQ69" s="24"/>
    </row>
    <row r="70" spans="1:70" ht="13.5" x14ac:dyDescent="0.3">
      <c r="A70" s="348"/>
      <c r="B70" s="349"/>
      <c r="C70" s="349"/>
      <c r="D70" s="349"/>
      <c r="E70" s="349"/>
      <c r="F70" s="349"/>
      <c r="G70" s="349"/>
      <c r="H70" s="349"/>
      <c r="I70" s="349"/>
      <c r="J70" s="349"/>
      <c r="K70" s="349"/>
      <c r="L70" s="349"/>
      <c r="M70" s="349"/>
      <c r="N70" s="349"/>
      <c r="O70" s="349"/>
      <c r="P70" s="349"/>
      <c r="Q70" s="349"/>
      <c r="R70" s="349"/>
      <c r="S70" s="349"/>
      <c r="T70" s="349"/>
      <c r="U70" s="349"/>
      <c r="V70" s="742"/>
      <c r="W70" s="11"/>
      <c r="X70" s="24"/>
      <c r="Y70" s="24"/>
      <c r="Z70" s="24"/>
      <c r="AA70" s="24"/>
      <c r="AB70" s="24"/>
      <c r="AC70" s="24"/>
      <c r="AD70" s="24"/>
      <c r="AE70" s="24"/>
      <c r="AF70" s="24"/>
      <c r="AG70" s="24"/>
      <c r="AH70" s="24"/>
      <c r="AI70" s="24"/>
      <c r="AJ70" s="24"/>
      <c r="AK70" s="24"/>
      <c r="AL70" s="24"/>
      <c r="AM70" s="24"/>
      <c r="AN70" s="24"/>
      <c r="AO70" s="24"/>
      <c r="AP70" s="24"/>
      <c r="AQ70" s="24"/>
    </row>
    <row r="71" spans="1:70" ht="15" customHeight="1" x14ac:dyDescent="0.3">
      <c r="A71" s="863"/>
      <c r="B71" s="863"/>
      <c r="C71" s="863"/>
      <c r="D71" s="863"/>
      <c r="E71" s="863"/>
      <c r="F71" s="863"/>
      <c r="G71" s="863"/>
      <c r="H71" s="863"/>
      <c r="I71" s="863"/>
      <c r="J71" s="863"/>
      <c r="K71" s="863"/>
      <c r="L71" s="863"/>
      <c r="M71" s="863"/>
      <c r="N71" s="863"/>
      <c r="O71" s="863"/>
      <c r="P71" s="863"/>
      <c r="Q71" s="863"/>
      <c r="R71" s="863"/>
      <c r="S71" s="863"/>
      <c r="T71" s="863"/>
      <c r="U71" s="863"/>
      <c r="V71" s="863"/>
      <c r="W71" s="11"/>
      <c r="X71" s="24"/>
      <c r="Y71" s="24"/>
      <c r="Z71" s="24"/>
      <c r="AA71" s="24"/>
      <c r="AB71" s="24"/>
      <c r="AC71" s="24"/>
      <c r="AD71" s="24"/>
      <c r="AE71" s="24"/>
      <c r="AF71" s="24"/>
      <c r="AG71" s="24"/>
      <c r="AH71" s="24"/>
      <c r="AI71" s="24"/>
      <c r="AJ71" s="24"/>
      <c r="AK71" s="24"/>
      <c r="AL71" s="24"/>
      <c r="AM71" s="24"/>
      <c r="AN71" s="24"/>
      <c r="AO71" s="24"/>
      <c r="AP71" s="24"/>
      <c r="AQ71" s="24"/>
    </row>
    <row r="72" spans="1:70" ht="13.5" x14ac:dyDescent="0.3">
      <c r="A72" s="115"/>
      <c r="B72" s="116"/>
      <c r="C72" s="116"/>
      <c r="D72" s="117"/>
      <c r="E72" s="118"/>
      <c r="F72" s="118"/>
      <c r="G72" s="118"/>
      <c r="H72" s="119"/>
      <c r="I72" s="119"/>
      <c r="J72" s="119"/>
      <c r="K72" s="120"/>
      <c r="L72" s="120"/>
      <c r="M72" s="121"/>
      <c r="N72" s="121"/>
      <c r="O72" s="99"/>
      <c r="P72" s="99"/>
      <c r="Q72" s="99"/>
      <c r="R72" s="115"/>
      <c r="S72" s="99"/>
      <c r="T72" s="99"/>
      <c r="U72" s="99"/>
      <c r="V72" s="99"/>
      <c r="W72" s="11"/>
      <c r="X72" s="24"/>
      <c r="Y72" s="24"/>
      <c r="Z72" s="24"/>
      <c r="AA72" s="24"/>
      <c r="AB72" s="24"/>
      <c r="AC72" s="24"/>
      <c r="AD72" s="24"/>
      <c r="AE72" s="24"/>
      <c r="AF72" s="24"/>
      <c r="AG72" s="24"/>
      <c r="AH72" s="24"/>
      <c r="AI72" s="24"/>
      <c r="AJ72" s="24"/>
      <c r="AK72" s="24"/>
      <c r="AL72" s="24"/>
      <c r="AM72" s="24"/>
      <c r="AN72" s="24"/>
      <c r="AO72" s="24"/>
      <c r="AP72" s="24"/>
      <c r="AQ72" s="24"/>
    </row>
    <row r="73" spans="1:70" ht="30.75" customHeight="1" x14ac:dyDescent="0.3">
      <c r="A73" s="723"/>
      <c r="B73" s="724"/>
      <c r="C73" s="724"/>
      <c r="D73" s="725"/>
      <c r="E73" s="726"/>
      <c r="F73" s="726"/>
      <c r="G73" s="726"/>
      <c r="H73" s="727"/>
      <c r="I73" s="727"/>
      <c r="J73" s="727"/>
      <c r="K73" s="728"/>
      <c r="L73" s="728"/>
      <c r="M73" s="729"/>
      <c r="N73" s="729"/>
      <c r="O73" s="730"/>
      <c r="P73" s="730"/>
      <c r="Q73" s="730"/>
      <c r="R73" s="723"/>
      <c r="S73" s="730"/>
      <c r="T73" s="730"/>
      <c r="U73" s="730"/>
      <c r="V73" s="730"/>
    </row>
    <row r="74" spans="1:70" ht="13.5" x14ac:dyDescent="0.3">
      <c r="A74" s="723"/>
      <c r="B74" s="724"/>
      <c r="C74" s="724"/>
      <c r="D74" s="725"/>
      <c r="E74" s="726"/>
      <c r="F74" s="726"/>
      <c r="G74" s="726"/>
      <c r="H74" s="727"/>
      <c r="I74" s="727"/>
      <c r="J74" s="727"/>
      <c r="K74" s="728"/>
      <c r="L74" s="728"/>
      <c r="M74" s="729"/>
      <c r="N74" s="729"/>
      <c r="O74" s="730"/>
      <c r="P74" s="730"/>
      <c r="Q74" s="730"/>
      <c r="R74" s="723"/>
      <c r="S74" s="730"/>
      <c r="T74" s="730"/>
      <c r="U74" s="730"/>
      <c r="V74" s="730"/>
    </row>
    <row r="75" spans="1:70" ht="13.5" x14ac:dyDescent="0.3">
      <c r="A75" s="723"/>
      <c r="B75" s="724"/>
      <c r="C75" s="724"/>
      <c r="D75" s="725"/>
      <c r="E75" s="726"/>
      <c r="F75" s="726"/>
      <c r="G75" s="726"/>
      <c r="H75" s="727"/>
      <c r="I75" s="727"/>
      <c r="J75" s="727"/>
      <c r="K75" s="728"/>
      <c r="L75" s="728"/>
      <c r="M75" s="729"/>
      <c r="N75" s="729"/>
      <c r="O75" s="730"/>
      <c r="P75" s="730"/>
      <c r="Q75" s="730"/>
      <c r="R75" s="723"/>
      <c r="S75" s="730"/>
      <c r="T75" s="730"/>
      <c r="U75" s="730"/>
      <c r="V75" s="730"/>
    </row>
    <row r="76" spans="1:70" ht="13.5" x14ac:dyDescent="0.3">
      <c r="A76" s="723"/>
      <c r="B76" s="724"/>
      <c r="C76" s="724"/>
      <c r="D76" s="725"/>
      <c r="E76" s="726"/>
      <c r="F76" s="726"/>
      <c r="G76" s="726"/>
      <c r="H76" s="727"/>
      <c r="I76" s="727"/>
      <c r="J76" s="727"/>
      <c r="K76" s="728"/>
      <c r="L76" s="728"/>
      <c r="M76" s="729"/>
      <c r="N76" s="729"/>
      <c r="O76" s="730"/>
      <c r="P76" s="730"/>
      <c r="Q76" s="730"/>
      <c r="R76" s="723"/>
      <c r="S76" s="730"/>
      <c r="T76" s="730"/>
      <c r="U76" s="730"/>
      <c r="V76" s="730"/>
    </row>
    <row r="99" spans="33:43" x14ac:dyDescent="0.3">
      <c r="AH99" s="731" t="s">
        <v>132</v>
      </c>
    </row>
    <row r="100" spans="33:43" x14ac:dyDescent="0.3">
      <c r="AG100" s="739" t="s">
        <v>133</v>
      </c>
      <c r="AH100" s="739" t="s">
        <v>134</v>
      </c>
      <c r="AI100" s="739" t="s">
        <v>135</v>
      </c>
      <c r="AJ100" s="739" t="s">
        <v>136</v>
      </c>
      <c r="AK100" s="739" t="s">
        <v>137</v>
      </c>
      <c r="AL100" s="739" t="s">
        <v>138</v>
      </c>
      <c r="AM100" s="739" t="s">
        <v>139</v>
      </c>
      <c r="AN100" s="739" t="s">
        <v>140</v>
      </c>
      <c r="AO100" s="739" t="s">
        <v>141</v>
      </c>
      <c r="AP100" s="739" t="s">
        <v>142</v>
      </c>
      <c r="AQ100" s="739" t="s">
        <v>143</v>
      </c>
    </row>
    <row r="101" spans="33:43" x14ac:dyDescent="0.3">
      <c r="AG101" s="739">
        <v>2023</v>
      </c>
      <c r="AH101" s="740">
        <f>SUM(0.207074288590604+0.017915111409396)</f>
        <v>0.22498940000000001</v>
      </c>
      <c r="AI101" s="739">
        <v>0.18387000000000001</v>
      </c>
      <c r="AJ101" s="739">
        <v>0.25679000000000002</v>
      </c>
      <c r="AK101" s="739">
        <v>0.26774999999999999</v>
      </c>
      <c r="AL101" s="739">
        <v>0.24665999999999999</v>
      </c>
      <c r="AM101" s="739">
        <v>0.32040000000000002</v>
      </c>
      <c r="AN101" s="739">
        <v>0.21448</v>
      </c>
      <c r="AO101" s="739">
        <f t="shared" ref="AO101:AO140" si="18">$B$9</f>
        <v>0</v>
      </c>
      <c r="AP101" s="739">
        <v>3.7440000000000001E-2</v>
      </c>
      <c r="AQ101" s="739">
        <v>7.92E-3</v>
      </c>
    </row>
    <row r="102" spans="33:43" x14ac:dyDescent="0.3">
      <c r="AG102" s="739">
        <v>2024</v>
      </c>
      <c r="AH102" s="740">
        <f t="shared" ref="AH102:AH140" si="19">SUM(0.207074288590604+0.017915111409396)</f>
        <v>0.22498940000000001</v>
      </c>
      <c r="AI102" s="739">
        <v>0.18387000000000001</v>
      </c>
      <c r="AJ102" s="739">
        <v>0.25679000000000002</v>
      </c>
      <c r="AK102" s="739">
        <v>0.26774999999999999</v>
      </c>
      <c r="AL102" s="739">
        <v>0.24665999999999999</v>
      </c>
      <c r="AM102" s="739">
        <v>0.32040000000000002</v>
      </c>
      <c r="AN102" s="739">
        <v>0.21448</v>
      </c>
      <c r="AO102" s="739">
        <f t="shared" si="18"/>
        <v>0</v>
      </c>
      <c r="AP102" s="739">
        <v>3.7440000000000001E-2</v>
      </c>
      <c r="AQ102" s="739">
        <v>7.92E-3</v>
      </c>
    </row>
    <row r="103" spans="33:43" x14ac:dyDescent="0.3">
      <c r="AG103" s="739">
        <v>2025</v>
      </c>
      <c r="AH103" s="740">
        <f t="shared" si="19"/>
        <v>0.22498940000000001</v>
      </c>
      <c r="AI103" s="739">
        <v>0.18387000000000001</v>
      </c>
      <c r="AJ103" s="739">
        <v>0.25679000000000002</v>
      </c>
      <c r="AK103" s="739">
        <v>0.26774999999999999</v>
      </c>
      <c r="AL103" s="739">
        <v>0.24665999999999999</v>
      </c>
      <c r="AM103" s="739">
        <v>0.32040000000000002</v>
      </c>
      <c r="AN103" s="739">
        <v>0.21448</v>
      </c>
      <c r="AO103" s="739">
        <f t="shared" si="18"/>
        <v>0</v>
      </c>
      <c r="AP103" s="739">
        <v>3.7440000000000001E-2</v>
      </c>
      <c r="AQ103" s="739">
        <v>7.92E-3</v>
      </c>
    </row>
    <row r="104" spans="33:43" x14ac:dyDescent="0.3">
      <c r="AG104" s="739">
        <v>2026</v>
      </c>
      <c r="AH104" s="740">
        <f t="shared" si="19"/>
        <v>0.22498940000000001</v>
      </c>
      <c r="AI104" s="739">
        <v>0.18387000000000001</v>
      </c>
      <c r="AJ104" s="739">
        <v>0.25679000000000002</v>
      </c>
      <c r="AK104" s="739">
        <v>0.26774999999999999</v>
      </c>
      <c r="AL104" s="739">
        <v>0.24665999999999999</v>
      </c>
      <c r="AM104" s="739">
        <v>0.32040000000000002</v>
      </c>
      <c r="AN104" s="739">
        <v>0.21448</v>
      </c>
      <c r="AO104" s="739">
        <f t="shared" si="18"/>
        <v>0</v>
      </c>
      <c r="AP104" s="739">
        <v>3.7440000000000001E-2</v>
      </c>
      <c r="AQ104" s="739">
        <v>7.92E-3</v>
      </c>
    </row>
    <row r="105" spans="33:43" x14ac:dyDescent="0.3">
      <c r="AG105" s="739">
        <v>2027</v>
      </c>
      <c r="AH105" s="740">
        <f t="shared" si="19"/>
        <v>0.22498940000000001</v>
      </c>
      <c r="AI105" s="739">
        <v>0.18387000000000001</v>
      </c>
      <c r="AJ105" s="739">
        <v>0.25679000000000002</v>
      </c>
      <c r="AK105" s="739">
        <v>0.26774999999999999</v>
      </c>
      <c r="AL105" s="739">
        <v>0.24665999999999999</v>
      </c>
      <c r="AM105" s="739">
        <v>0.32040000000000002</v>
      </c>
      <c r="AN105" s="739">
        <v>0.21448</v>
      </c>
      <c r="AO105" s="739">
        <f t="shared" si="18"/>
        <v>0</v>
      </c>
      <c r="AP105" s="739">
        <v>3.7440000000000001E-2</v>
      </c>
      <c r="AQ105" s="739">
        <v>7.92E-3</v>
      </c>
    </row>
    <row r="106" spans="33:43" x14ac:dyDescent="0.3">
      <c r="AG106" s="739">
        <v>2028</v>
      </c>
      <c r="AH106" s="740">
        <f t="shared" si="19"/>
        <v>0.22498940000000001</v>
      </c>
      <c r="AI106" s="739">
        <v>0.18387000000000001</v>
      </c>
      <c r="AJ106" s="739">
        <v>0.25679000000000002</v>
      </c>
      <c r="AK106" s="739">
        <v>0.26774999999999999</v>
      </c>
      <c r="AL106" s="739">
        <v>0.24665999999999999</v>
      </c>
      <c r="AM106" s="739">
        <v>0.32040000000000002</v>
      </c>
      <c r="AN106" s="739">
        <v>0.21448</v>
      </c>
      <c r="AO106" s="739">
        <f t="shared" si="18"/>
        <v>0</v>
      </c>
      <c r="AP106" s="739">
        <v>3.7440000000000001E-2</v>
      </c>
      <c r="AQ106" s="739">
        <v>7.92E-3</v>
      </c>
    </row>
    <row r="107" spans="33:43" x14ac:dyDescent="0.3">
      <c r="AG107" s="739">
        <v>2029</v>
      </c>
      <c r="AH107" s="740">
        <f t="shared" si="19"/>
        <v>0.22498940000000001</v>
      </c>
      <c r="AI107" s="739">
        <v>0.18387000000000001</v>
      </c>
      <c r="AJ107" s="739">
        <v>0.25679000000000002</v>
      </c>
      <c r="AK107" s="739">
        <v>0.26774999999999999</v>
      </c>
      <c r="AL107" s="739">
        <v>0.24665999999999999</v>
      </c>
      <c r="AM107" s="739">
        <v>0.32040000000000002</v>
      </c>
      <c r="AN107" s="739">
        <v>0.21448</v>
      </c>
      <c r="AO107" s="739">
        <f t="shared" si="18"/>
        <v>0</v>
      </c>
      <c r="AP107" s="739">
        <v>3.7440000000000001E-2</v>
      </c>
      <c r="AQ107" s="739">
        <v>7.92E-3</v>
      </c>
    </row>
    <row r="108" spans="33:43" x14ac:dyDescent="0.3">
      <c r="AG108" s="739">
        <v>2030</v>
      </c>
      <c r="AH108" s="740">
        <f t="shared" si="19"/>
        <v>0.22498940000000001</v>
      </c>
      <c r="AI108" s="739">
        <v>0.18387000000000001</v>
      </c>
      <c r="AJ108" s="739">
        <v>0.25679000000000002</v>
      </c>
      <c r="AK108" s="739">
        <v>0.26774999999999999</v>
      </c>
      <c r="AL108" s="739">
        <v>0.24665999999999999</v>
      </c>
      <c r="AM108" s="739">
        <v>0.32040000000000002</v>
      </c>
      <c r="AN108" s="739">
        <v>0.21448</v>
      </c>
      <c r="AO108" s="739">
        <f t="shared" si="18"/>
        <v>0</v>
      </c>
      <c r="AP108" s="739">
        <v>3.7440000000000001E-2</v>
      </c>
      <c r="AQ108" s="739">
        <v>7.92E-3</v>
      </c>
    </row>
    <row r="109" spans="33:43" x14ac:dyDescent="0.3">
      <c r="AG109" s="739">
        <v>2031</v>
      </c>
      <c r="AH109" s="740">
        <f t="shared" si="19"/>
        <v>0.22498940000000001</v>
      </c>
      <c r="AI109" s="739">
        <v>0.18387000000000001</v>
      </c>
      <c r="AJ109" s="739">
        <v>0.25679000000000002</v>
      </c>
      <c r="AK109" s="739">
        <v>0.26774999999999999</v>
      </c>
      <c r="AL109" s="739">
        <v>0.24665999999999999</v>
      </c>
      <c r="AM109" s="739">
        <v>0.32040000000000002</v>
      </c>
      <c r="AN109" s="739">
        <v>0.21448</v>
      </c>
      <c r="AO109" s="739">
        <f t="shared" si="18"/>
        <v>0</v>
      </c>
      <c r="AP109" s="739">
        <v>3.7440000000000001E-2</v>
      </c>
      <c r="AQ109" s="739">
        <v>7.92E-3</v>
      </c>
    </row>
    <row r="110" spans="33:43" x14ac:dyDescent="0.3">
      <c r="AG110" s="739">
        <v>2032</v>
      </c>
      <c r="AH110" s="740">
        <f t="shared" si="19"/>
        <v>0.22498940000000001</v>
      </c>
      <c r="AI110" s="739">
        <v>0.18387000000000001</v>
      </c>
      <c r="AJ110" s="739">
        <v>0.25679000000000002</v>
      </c>
      <c r="AK110" s="739">
        <v>0.26774999999999999</v>
      </c>
      <c r="AL110" s="739">
        <v>0.24665999999999999</v>
      </c>
      <c r="AM110" s="739">
        <v>0.32040000000000002</v>
      </c>
      <c r="AN110" s="739">
        <v>0.21448</v>
      </c>
      <c r="AO110" s="739">
        <f t="shared" si="18"/>
        <v>0</v>
      </c>
      <c r="AP110" s="739">
        <v>3.7440000000000001E-2</v>
      </c>
      <c r="AQ110" s="739">
        <v>7.92E-3</v>
      </c>
    </row>
    <row r="111" spans="33:43" x14ac:dyDescent="0.3">
      <c r="AG111" s="739">
        <v>2033</v>
      </c>
      <c r="AH111" s="740">
        <f t="shared" si="19"/>
        <v>0.22498940000000001</v>
      </c>
      <c r="AI111" s="739">
        <v>0.18387000000000001</v>
      </c>
      <c r="AJ111" s="739">
        <v>0.25679000000000002</v>
      </c>
      <c r="AK111" s="739">
        <v>0.26774999999999999</v>
      </c>
      <c r="AL111" s="739">
        <v>0.24665999999999999</v>
      </c>
      <c r="AM111" s="739">
        <v>0.32040000000000002</v>
      </c>
      <c r="AN111" s="739">
        <v>0.21448</v>
      </c>
      <c r="AO111" s="739">
        <f t="shared" si="18"/>
        <v>0</v>
      </c>
      <c r="AP111" s="739">
        <v>3.7440000000000001E-2</v>
      </c>
      <c r="AQ111" s="739">
        <v>7.92E-3</v>
      </c>
    </row>
    <row r="112" spans="33:43" x14ac:dyDescent="0.3">
      <c r="AG112" s="739">
        <v>2034</v>
      </c>
      <c r="AH112" s="740">
        <f t="shared" si="19"/>
        <v>0.22498940000000001</v>
      </c>
      <c r="AI112" s="739">
        <v>0.18387000000000001</v>
      </c>
      <c r="AJ112" s="739">
        <v>0.25679000000000002</v>
      </c>
      <c r="AK112" s="739">
        <v>0.26774999999999999</v>
      </c>
      <c r="AL112" s="739">
        <v>0.24665999999999999</v>
      </c>
      <c r="AM112" s="739">
        <v>0.32040000000000002</v>
      </c>
      <c r="AN112" s="739">
        <v>0.21448</v>
      </c>
      <c r="AO112" s="739">
        <f t="shared" si="18"/>
        <v>0</v>
      </c>
      <c r="AP112" s="739">
        <v>3.7440000000000001E-2</v>
      </c>
      <c r="AQ112" s="739">
        <v>7.92E-3</v>
      </c>
    </row>
    <row r="113" spans="33:43" x14ac:dyDescent="0.3">
      <c r="AG113" s="739">
        <v>2035</v>
      </c>
      <c r="AH113" s="740">
        <f t="shared" si="19"/>
        <v>0.22498940000000001</v>
      </c>
      <c r="AI113" s="739">
        <v>0.18387000000000001</v>
      </c>
      <c r="AJ113" s="739">
        <v>0.25679000000000002</v>
      </c>
      <c r="AK113" s="739">
        <v>0.26774999999999999</v>
      </c>
      <c r="AL113" s="739">
        <v>0.24665999999999999</v>
      </c>
      <c r="AM113" s="739">
        <v>0.32040000000000002</v>
      </c>
      <c r="AN113" s="739">
        <v>0.21448</v>
      </c>
      <c r="AO113" s="739">
        <f t="shared" si="18"/>
        <v>0</v>
      </c>
      <c r="AP113" s="739">
        <v>3.7440000000000001E-2</v>
      </c>
      <c r="AQ113" s="739">
        <v>7.92E-3</v>
      </c>
    </row>
    <row r="114" spans="33:43" x14ac:dyDescent="0.3">
      <c r="AG114" s="739">
        <v>2036</v>
      </c>
      <c r="AH114" s="740">
        <f t="shared" si="19"/>
        <v>0.22498940000000001</v>
      </c>
      <c r="AI114" s="739">
        <v>0.18387000000000001</v>
      </c>
      <c r="AJ114" s="739">
        <v>0.25679000000000002</v>
      </c>
      <c r="AK114" s="739">
        <v>0.26774999999999999</v>
      </c>
      <c r="AL114" s="739">
        <v>0.24665999999999999</v>
      </c>
      <c r="AM114" s="739">
        <v>0.32040000000000002</v>
      </c>
      <c r="AN114" s="739">
        <v>0.21448</v>
      </c>
      <c r="AO114" s="739">
        <f t="shared" si="18"/>
        <v>0</v>
      </c>
      <c r="AP114" s="739">
        <v>3.7440000000000001E-2</v>
      </c>
      <c r="AQ114" s="739">
        <v>7.92E-3</v>
      </c>
    </row>
    <row r="115" spans="33:43" x14ac:dyDescent="0.3">
      <c r="AG115" s="739">
        <v>2037</v>
      </c>
      <c r="AH115" s="740">
        <f t="shared" si="19"/>
        <v>0.22498940000000001</v>
      </c>
      <c r="AI115" s="739">
        <v>0.18387000000000001</v>
      </c>
      <c r="AJ115" s="739">
        <v>0.25679000000000002</v>
      </c>
      <c r="AK115" s="739">
        <v>0.26774999999999999</v>
      </c>
      <c r="AL115" s="739">
        <v>0.24665999999999999</v>
      </c>
      <c r="AM115" s="739">
        <v>0.32040000000000002</v>
      </c>
      <c r="AN115" s="739">
        <v>0.21448</v>
      </c>
      <c r="AO115" s="739">
        <f t="shared" si="18"/>
        <v>0</v>
      </c>
      <c r="AP115" s="739">
        <v>3.7440000000000001E-2</v>
      </c>
      <c r="AQ115" s="739">
        <v>7.92E-3</v>
      </c>
    </row>
    <row r="116" spans="33:43" x14ac:dyDescent="0.3">
      <c r="AG116" s="739">
        <v>2038</v>
      </c>
      <c r="AH116" s="740">
        <f t="shared" si="19"/>
        <v>0.22498940000000001</v>
      </c>
      <c r="AI116" s="739">
        <v>0.18387000000000001</v>
      </c>
      <c r="AJ116" s="739">
        <v>0.25679000000000002</v>
      </c>
      <c r="AK116" s="739">
        <v>0.26774999999999999</v>
      </c>
      <c r="AL116" s="739">
        <v>0.24665999999999999</v>
      </c>
      <c r="AM116" s="739">
        <v>0.32040000000000002</v>
      </c>
      <c r="AN116" s="739">
        <v>0.21448</v>
      </c>
      <c r="AO116" s="739">
        <f t="shared" si="18"/>
        <v>0</v>
      </c>
      <c r="AP116" s="739">
        <v>3.7440000000000001E-2</v>
      </c>
      <c r="AQ116" s="739">
        <v>7.92E-3</v>
      </c>
    </row>
    <row r="117" spans="33:43" x14ac:dyDescent="0.3">
      <c r="AG117" s="739">
        <v>2039</v>
      </c>
      <c r="AH117" s="740">
        <f t="shared" si="19"/>
        <v>0.22498940000000001</v>
      </c>
      <c r="AI117" s="739">
        <v>0.18387000000000001</v>
      </c>
      <c r="AJ117" s="739">
        <v>0.25679000000000002</v>
      </c>
      <c r="AK117" s="739">
        <v>0.26774999999999999</v>
      </c>
      <c r="AL117" s="739">
        <v>0.24665999999999999</v>
      </c>
      <c r="AM117" s="739">
        <v>0.32040000000000002</v>
      </c>
      <c r="AN117" s="739">
        <v>0.21448</v>
      </c>
      <c r="AO117" s="739">
        <f t="shared" si="18"/>
        <v>0</v>
      </c>
      <c r="AP117" s="739">
        <v>3.7440000000000001E-2</v>
      </c>
      <c r="AQ117" s="739">
        <v>7.92E-3</v>
      </c>
    </row>
    <row r="118" spans="33:43" x14ac:dyDescent="0.3">
      <c r="AG118" s="739">
        <v>2040</v>
      </c>
      <c r="AH118" s="740">
        <f t="shared" si="19"/>
        <v>0.22498940000000001</v>
      </c>
      <c r="AI118" s="739">
        <v>0.18387000000000001</v>
      </c>
      <c r="AJ118" s="739">
        <v>0.25679000000000002</v>
      </c>
      <c r="AK118" s="739">
        <v>0.26774999999999999</v>
      </c>
      <c r="AL118" s="739">
        <v>0.24665999999999999</v>
      </c>
      <c r="AM118" s="739">
        <v>0.32040000000000002</v>
      </c>
      <c r="AN118" s="739">
        <v>0.21448</v>
      </c>
      <c r="AO118" s="739">
        <f t="shared" si="18"/>
        <v>0</v>
      </c>
      <c r="AP118" s="739">
        <v>3.7440000000000001E-2</v>
      </c>
      <c r="AQ118" s="739">
        <v>7.92E-3</v>
      </c>
    </row>
    <row r="119" spans="33:43" x14ac:dyDescent="0.3">
      <c r="AG119" s="739">
        <v>2041</v>
      </c>
      <c r="AH119" s="740">
        <f t="shared" si="19"/>
        <v>0.22498940000000001</v>
      </c>
      <c r="AI119" s="739">
        <v>0.18387000000000001</v>
      </c>
      <c r="AJ119" s="739">
        <v>0.25679000000000002</v>
      </c>
      <c r="AK119" s="739">
        <v>0.26774999999999999</v>
      </c>
      <c r="AL119" s="739">
        <v>0.24665999999999999</v>
      </c>
      <c r="AM119" s="739">
        <v>0.32040000000000002</v>
      </c>
      <c r="AN119" s="739">
        <v>0.21448</v>
      </c>
      <c r="AO119" s="739">
        <f t="shared" si="18"/>
        <v>0</v>
      </c>
      <c r="AP119" s="739">
        <v>3.7440000000000001E-2</v>
      </c>
      <c r="AQ119" s="739">
        <v>7.92E-3</v>
      </c>
    </row>
    <row r="120" spans="33:43" x14ac:dyDescent="0.3">
      <c r="AG120" s="739">
        <v>2042</v>
      </c>
      <c r="AH120" s="740">
        <f t="shared" si="19"/>
        <v>0.22498940000000001</v>
      </c>
      <c r="AI120" s="739">
        <v>0.18387000000000001</v>
      </c>
      <c r="AJ120" s="739">
        <v>0.25679000000000002</v>
      </c>
      <c r="AK120" s="739">
        <v>0.26774999999999999</v>
      </c>
      <c r="AL120" s="739">
        <v>0.24665999999999999</v>
      </c>
      <c r="AM120" s="739">
        <v>0.32040000000000002</v>
      </c>
      <c r="AN120" s="739">
        <v>0.21448</v>
      </c>
      <c r="AO120" s="739">
        <f t="shared" si="18"/>
        <v>0</v>
      </c>
      <c r="AP120" s="739">
        <v>3.7440000000000001E-2</v>
      </c>
      <c r="AQ120" s="739">
        <v>7.92E-3</v>
      </c>
    </row>
    <row r="121" spans="33:43" x14ac:dyDescent="0.3">
      <c r="AG121" s="739">
        <v>2043</v>
      </c>
      <c r="AH121" s="740">
        <f t="shared" si="19"/>
        <v>0.22498940000000001</v>
      </c>
      <c r="AI121" s="739">
        <v>0.18387000000000001</v>
      </c>
      <c r="AJ121" s="739">
        <v>0.25679000000000002</v>
      </c>
      <c r="AK121" s="739">
        <v>0.26774999999999999</v>
      </c>
      <c r="AL121" s="739">
        <v>0.24665999999999999</v>
      </c>
      <c r="AM121" s="739">
        <v>0.32040000000000002</v>
      </c>
      <c r="AN121" s="739">
        <v>0.21448</v>
      </c>
      <c r="AO121" s="739">
        <f t="shared" si="18"/>
        <v>0</v>
      </c>
      <c r="AP121" s="739">
        <v>3.7440000000000001E-2</v>
      </c>
      <c r="AQ121" s="739">
        <v>7.92E-3</v>
      </c>
    </row>
    <row r="122" spans="33:43" x14ac:dyDescent="0.3">
      <c r="AG122" s="739">
        <v>2044</v>
      </c>
      <c r="AH122" s="740">
        <f t="shared" si="19"/>
        <v>0.22498940000000001</v>
      </c>
      <c r="AI122" s="739">
        <v>0.18387000000000001</v>
      </c>
      <c r="AJ122" s="739">
        <v>0.25679000000000002</v>
      </c>
      <c r="AK122" s="739">
        <v>0.26774999999999999</v>
      </c>
      <c r="AL122" s="739">
        <v>0.24665999999999999</v>
      </c>
      <c r="AM122" s="739">
        <v>0.32040000000000002</v>
      </c>
      <c r="AN122" s="739">
        <v>0.21448</v>
      </c>
      <c r="AO122" s="739">
        <f t="shared" si="18"/>
        <v>0</v>
      </c>
      <c r="AP122" s="739">
        <v>3.7440000000000001E-2</v>
      </c>
      <c r="AQ122" s="739">
        <v>7.92E-3</v>
      </c>
    </row>
    <row r="123" spans="33:43" x14ac:dyDescent="0.3">
      <c r="AG123" s="739">
        <v>2045</v>
      </c>
      <c r="AH123" s="740">
        <f t="shared" si="19"/>
        <v>0.22498940000000001</v>
      </c>
      <c r="AI123" s="739">
        <v>0.18387000000000001</v>
      </c>
      <c r="AJ123" s="739">
        <v>0.25679000000000002</v>
      </c>
      <c r="AK123" s="739">
        <v>0.26774999999999999</v>
      </c>
      <c r="AL123" s="739">
        <v>0.24665999999999999</v>
      </c>
      <c r="AM123" s="739">
        <v>0.32040000000000002</v>
      </c>
      <c r="AN123" s="739">
        <v>0.21448</v>
      </c>
      <c r="AO123" s="739">
        <f t="shared" si="18"/>
        <v>0</v>
      </c>
      <c r="AP123" s="739">
        <v>3.7440000000000001E-2</v>
      </c>
      <c r="AQ123" s="739">
        <v>7.92E-3</v>
      </c>
    </row>
    <row r="124" spans="33:43" x14ac:dyDescent="0.3">
      <c r="AG124" s="739">
        <v>2046</v>
      </c>
      <c r="AH124" s="740">
        <f t="shared" si="19"/>
        <v>0.22498940000000001</v>
      </c>
      <c r="AI124" s="739">
        <v>0.18387000000000001</v>
      </c>
      <c r="AJ124" s="739">
        <v>0.25679000000000002</v>
      </c>
      <c r="AK124" s="739">
        <v>0.26774999999999999</v>
      </c>
      <c r="AL124" s="739">
        <v>0.24665999999999999</v>
      </c>
      <c r="AM124" s="739">
        <v>0.32040000000000002</v>
      </c>
      <c r="AN124" s="739">
        <v>0.21448</v>
      </c>
      <c r="AO124" s="739">
        <f t="shared" si="18"/>
        <v>0</v>
      </c>
      <c r="AP124" s="739">
        <v>3.7440000000000001E-2</v>
      </c>
      <c r="AQ124" s="739">
        <v>7.92E-3</v>
      </c>
    </row>
    <row r="125" spans="33:43" x14ac:dyDescent="0.3">
      <c r="AG125" s="739">
        <v>2047</v>
      </c>
      <c r="AH125" s="740">
        <f t="shared" si="19"/>
        <v>0.22498940000000001</v>
      </c>
      <c r="AI125" s="739">
        <v>0.18387000000000001</v>
      </c>
      <c r="AJ125" s="739">
        <v>0.25679000000000002</v>
      </c>
      <c r="AK125" s="739">
        <v>0.26774999999999999</v>
      </c>
      <c r="AL125" s="739">
        <v>0.24665999999999999</v>
      </c>
      <c r="AM125" s="739">
        <v>0.32040000000000002</v>
      </c>
      <c r="AN125" s="739">
        <v>0.21448</v>
      </c>
      <c r="AO125" s="739">
        <f t="shared" si="18"/>
        <v>0</v>
      </c>
      <c r="AP125" s="739">
        <v>3.7440000000000001E-2</v>
      </c>
      <c r="AQ125" s="739">
        <v>7.92E-3</v>
      </c>
    </row>
    <row r="126" spans="33:43" x14ac:dyDescent="0.3">
      <c r="AG126" s="739">
        <v>2048</v>
      </c>
      <c r="AH126" s="740">
        <f t="shared" si="19"/>
        <v>0.22498940000000001</v>
      </c>
      <c r="AI126" s="739">
        <v>0.18387000000000001</v>
      </c>
      <c r="AJ126" s="739">
        <v>0.25679000000000002</v>
      </c>
      <c r="AK126" s="739">
        <v>0.26774999999999999</v>
      </c>
      <c r="AL126" s="739">
        <v>0.24665999999999999</v>
      </c>
      <c r="AM126" s="739">
        <v>0.32040000000000002</v>
      </c>
      <c r="AN126" s="739">
        <v>0.21448</v>
      </c>
      <c r="AO126" s="739">
        <f t="shared" si="18"/>
        <v>0</v>
      </c>
      <c r="AP126" s="739">
        <v>3.7440000000000001E-2</v>
      </c>
      <c r="AQ126" s="739">
        <v>7.92E-3</v>
      </c>
    </row>
    <row r="127" spans="33:43" x14ac:dyDescent="0.3">
      <c r="AG127" s="739">
        <v>2049</v>
      </c>
      <c r="AH127" s="740">
        <f t="shared" si="19"/>
        <v>0.22498940000000001</v>
      </c>
      <c r="AI127" s="739">
        <v>0.18387000000000001</v>
      </c>
      <c r="AJ127" s="739">
        <v>0.25679000000000002</v>
      </c>
      <c r="AK127" s="739">
        <v>0.26774999999999999</v>
      </c>
      <c r="AL127" s="739">
        <v>0.24665999999999999</v>
      </c>
      <c r="AM127" s="739">
        <v>0.32040000000000002</v>
      </c>
      <c r="AN127" s="739">
        <v>0.21448</v>
      </c>
      <c r="AO127" s="739">
        <f t="shared" si="18"/>
        <v>0</v>
      </c>
      <c r="AP127" s="739">
        <v>3.7440000000000001E-2</v>
      </c>
      <c r="AQ127" s="739">
        <v>7.92E-3</v>
      </c>
    </row>
    <row r="128" spans="33:43" x14ac:dyDescent="0.3">
      <c r="AG128" s="739">
        <v>2050</v>
      </c>
      <c r="AH128" s="740">
        <f>SUM(0.207074288590604+0.017915111409396)</f>
        <v>0.22498940000000001</v>
      </c>
      <c r="AI128" s="739">
        <v>0.18387000000000001</v>
      </c>
      <c r="AJ128" s="739">
        <v>0.25679000000000002</v>
      </c>
      <c r="AK128" s="739">
        <v>0.26774999999999999</v>
      </c>
      <c r="AL128" s="739">
        <v>0.24665999999999999</v>
      </c>
      <c r="AM128" s="739">
        <v>0.32040000000000002</v>
      </c>
      <c r="AN128" s="739">
        <v>0.21448</v>
      </c>
      <c r="AO128" s="739">
        <f t="shared" si="18"/>
        <v>0</v>
      </c>
      <c r="AP128" s="739">
        <v>3.7440000000000001E-2</v>
      </c>
      <c r="AQ128" s="739">
        <v>7.92E-3</v>
      </c>
    </row>
    <row r="129" spans="33:43" x14ac:dyDescent="0.3">
      <c r="AG129" s="739">
        <v>2051</v>
      </c>
      <c r="AH129" s="740">
        <f t="shared" si="19"/>
        <v>0.22498940000000001</v>
      </c>
      <c r="AI129" s="739">
        <v>0.18387000000000001</v>
      </c>
      <c r="AJ129" s="739">
        <v>0.25679000000000002</v>
      </c>
      <c r="AK129" s="739">
        <v>0.26774999999999999</v>
      </c>
      <c r="AL129" s="739">
        <v>0.24665999999999999</v>
      </c>
      <c r="AM129" s="739">
        <v>0.32040000000000002</v>
      </c>
      <c r="AN129" s="739">
        <v>0.21448</v>
      </c>
      <c r="AO129" s="739">
        <f t="shared" si="18"/>
        <v>0</v>
      </c>
      <c r="AP129" s="739">
        <v>3.7440000000000001E-2</v>
      </c>
      <c r="AQ129" s="739">
        <v>7.92E-3</v>
      </c>
    </row>
    <row r="130" spans="33:43" x14ac:dyDescent="0.3">
      <c r="AG130" s="739">
        <v>2052</v>
      </c>
      <c r="AH130" s="740">
        <f t="shared" si="19"/>
        <v>0.22498940000000001</v>
      </c>
      <c r="AI130" s="739">
        <v>0.18387000000000001</v>
      </c>
      <c r="AJ130" s="739">
        <v>0.25679000000000002</v>
      </c>
      <c r="AK130" s="739">
        <v>0.26774999999999999</v>
      </c>
      <c r="AL130" s="739">
        <v>0.24665999999999999</v>
      </c>
      <c r="AM130" s="739">
        <v>0.32040000000000002</v>
      </c>
      <c r="AN130" s="739">
        <v>0.21448</v>
      </c>
      <c r="AO130" s="739">
        <f t="shared" si="18"/>
        <v>0</v>
      </c>
      <c r="AP130" s="739">
        <v>3.7440000000000001E-2</v>
      </c>
      <c r="AQ130" s="739">
        <v>7.92E-3</v>
      </c>
    </row>
    <row r="131" spans="33:43" x14ac:dyDescent="0.3">
      <c r="AG131" s="739">
        <v>2053</v>
      </c>
      <c r="AH131" s="740">
        <f t="shared" si="19"/>
        <v>0.22498940000000001</v>
      </c>
      <c r="AI131" s="739">
        <v>0.18387000000000001</v>
      </c>
      <c r="AJ131" s="739">
        <v>0.25679000000000002</v>
      </c>
      <c r="AK131" s="739">
        <v>0.26774999999999999</v>
      </c>
      <c r="AL131" s="739">
        <v>0.24665999999999999</v>
      </c>
      <c r="AM131" s="739">
        <v>0.32040000000000002</v>
      </c>
      <c r="AN131" s="739">
        <v>0.21448</v>
      </c>
      <c r="AO131" s="739">
        <f t="shared" si="18"/>
        <v>0</v>
      </c>
      <c r="AP131" s="739">
        <v>3.7440000000000001E-2</v>
      </c>
      <c r="AQ131" s="739">
        <v>7.92E-3</v>
      </c>
    </row>
    <row r="132" spans="33:43" x14ac:dyDescent="0.3">
      <c r="AG132" s="739">
        <v>2054</v>
      </c>
      <c r="AH132" s="740">
        <f t="shared" si="19"/>
        <v>0.22498940000000001</v>
      </c>
      <c r="AI132" s="739">
        <v>0.18387000000000001</v>
      </c>
      <c r="AJ132" s="739">
        <v>0.25679000000000002</v>
      </c>
      <c r="AK132" s="739">
        <v>0.26774999999999999</v>
      </c>
      <c r="AL132" s="739">
        <v>0.24665999999999999</v>
      </c>
      <c r="AM132" s="739">
        <v>0.32040000000000002</v>
      </c>
      <c r="AN132" s="739">
        <v>0.21448</v>
      </c>
      <c r="AO132" s="739">
        <f t="shared" si="18"/>
        <v>0</v>
      </c>
      <c r="AP132" s="739">
        <v>3.7440000000000001E-2</v>
      </c>
      <c r="AQ132" s="739">
        <v>7.92E-3</v>
      </c>
    </row>
    <row r="133" spans="33:43" x14ac:dyDescent="0.3">
      <c r="AG133" s="739">
        <v>2055</v>
      </c>
      <c r="AH133" s="740">
        <f t="shared" si="19"/>
        <v>0.22498940000000001</v>
      </c>
      <c r="AI133" s="739">
        <v>0.18387000000000001</v>
      </c>
      <c r="AJ133" s="739">
        <v>0.25679000000000002</v>
      </c>
      <c r="AK133" s="739">
        <v>0.26774999999999999</v>
      </c>
      <c r="AL133" s="739">
        <v>0.24665999999999999</v>
      </c>
      <c r="AM133" s="739">
        <v>0.32040000000000002</v>
      </c>
      <c r="AN133" s="739">
        <v>0.21448</v>
      </c>
      <c r="AO133" s="739">
        <f t="shared" si="18"/>
        <v>0</v>
      </c>
      <c r="AP133" s="739">
        <v>3.7440000000000001E-2</v>
      </c>
      <c r="AQ133" s="739">
        <v>7.92E-3</v>
      </c>
    </row>
    <row r="134" spans="33:43" x14ac:dyDescent="0.3">
      <c r="AG134" s="739">
        <v>2056</v>
      </c>
      <c r="AH134" s="740">
        <f t="shared" si="19"/>
        <v>0.22498940000000001</v>
      </c>
      <c r="AI134" s="739">
        <v>0.18387000000000001</v>
      </c>
      <c r="AJ134" s="739">
        <v>0.25679000000000002</v>
      </c>
      <c r="AK134" s="739">
        <v>0.26774999999999999</v>
      </c>
      <c r="AL134" s="739">
        <v>0.24665999999999999</v>
      </c>
      <c r="AM134" s="739">
        <v>0.32040000000000002</v>
      </c>
      <c r="AN134" s="739">
        <v>0.21448</v>
      </c>
      <c r="AO134" s="739">
        <f t="shared" si="18"/>
        <v>0</v>
      </c>
      <c r="AP134" s="739">
        <v>3.7440000000000001E-2</v>
      </c>
      <c r="AQ134" s="739">
        <v>7.92E-3</v>
      </c>
    </row>
    <row r="135" spans="33:43" x14ac:dyDescent="0.3">
      <c r="AG135" s="739">
        <v>2057</v>
      </c>
      <c r="AH135" s="740">
        <f t="shared" si="19"/>
        <v>0.22498940000000001</v>
      </c>
      <c r="AI135" s="739">
        <v>0.18387000000000001</v>
      </c>
      <c r="AJ135" s="739">
        <v>0.25679000000000002</v>
      </c>
      <c r="AK135" s="739">
        <v>0.26774999999999999</v>
      </c>
      <c r="AL135" s="739">
        <v>0.24665999999999999</v>
      </c>
      <c r="AM135" s="739">
        <v>0.32040000000000002</v>
      </c>
      <c r="AN135" s="739">
        <v>0.21448</v>
      </c>
      <c r="AO135" s="739">
        <f t="shared" si="18"/>
        <v>0</v>
      </c>
      <c r="AP135" s="739">
        <v>3.7440000000000001E-2</v>
      </c>
      <c r="AQ135" s="739">
        <v>7.92E-3</v>
      </c>
    </row>
    <row r="136" spans="33:43" x14ac:dyDescent="0.3">
      <c r="AG136" s="739">
        <v>2058</v>
      </c>
      <c r="AH136" s="740">
        <f t="shared" si="19"/>
        <v>0.22498940000000001</v>
      </c>
      <c r="AI136" s="739">
        <v>0.18387000000000001</v>
      </c>
      <c r="AJ136" s="739">
        <v>0.25679000000000002</v>
      </c>
      <c r="AK136" s="739">
        <v>0.26774999999999999</v>
      </c>
      <c r="AL136" s="739">
        <v>0.24665999999999999</v>
      </c>
      <c r="AM136" s="739">
        <v>0.32040000000000002</v>
      </c>
      <c r="AN136" s="739">
        <v>0.21448</v>
      </c>
      <c r="AO136" s="739">
        <f t="shared" si="18"/>
        <v>0</v>
      </c>
      <c r="AP136" s="739">
        <v>3.7440000000000001E-2</v>
      </c>
      <c r="AQ136" s="739">
        <v>7.92E-3</v>
      </c>
    </row>
    <row r="137" spans="33:43" x14ac:dyDescent="0.3">
      <c r="AG137" s="739">
        <v>2059</v>
      </c>
      <c r="AH137" s="740">
        <f t="shared" si="19"/>
        <v>0.22498940000000001</v>
      </c>
      <c r="AI137" s="739">
        <v>0.18387000000000001</v>
      </c>
      <c r="AJ137" s="739">
        <v>0.25679000000000002</v>
      </c>
      <c r="AK137" s="739">
        <v>0.26774999999999999</v>
      </c>
      <c r="AL137" s="739">
        <v>0.24665999999999999</v>
      </c>
      <c r="AM137" s="739">
        <v>0.32040000000000002</v>
      </c>
      <c r="AN137" s="739">
        <v>0.21448</v>
      </c>
      <c r="AO137" s="739">
        <f t="shared" si="18"/>
        <v>0</v>
      </c>
      <c r="AP137" s="739">
        <v>3.7440000000000001E-2</v>
      </c>
      <c r="AQ137" s="739">
        <v>7.92E-3</v>
      </c>
    </row>
    <row r="138" spans="33:43" x14ac:dyDescent="0.3">
      <c r="AG138" s="739">
        <v>2060</v>
      </c>
      <c r="AH138" s="740">
        <f t="shared" si="19"/>
        <v>0.22498940000000001</v>
      </c>
      <c r="AI138" s="739">
        <v>0.18387000000000001</v>
      </c>
      <c r="AJ138" s="739">
        <v>0.25679000000000002</v>
      </c>
      <c r="AK138" s="739">
        <v>0.26774999999999999</v>
      </c>
      <c r="AL138" s="739">
        <v>0.24665999999999999</v>
      </c>
      <c r="AM138" s="739">
        <v>0.32040000000000002</v>
      </c>
      <c r="AN138" s="739">
        <v>0.21448</v>
      </c>
      <c r="AO138" s="739">
        <f t="shared" si="18"/>
        <v>0</v>
      </c>
      <c r="AP138" s="739">
        <v>3.7440000000000001E-2</v>
      </c>
      <c r="AQ138" s="739">
        <v>7.92E-3</v>
      </c>
    </row>
    <row r="139" spans="33:43" x14ac:dyDescent="0.3">
      <c r="AG139" s="739">
        <v>2061</v>
      </c>
      <c r="AH139" s="740">
        <f t="shared" si="19"/>
        <v>0.22498940000000001</v>
      </c>
      <c r="AI139" s="739">
        <v>0.18387000000000001</v>
      </c>
      <c r="AJ139" s="739">
        <v>0.25679000000000002</v>
      </c>
      <c r="AK139" s="739">
        <v>0.26774999999999999</v>
      </c>
      <c r="AL139" s="739">
        <v>0.24665999999999999</v>
      </c>
      <c r="AM139" s="739">
        <v>0.32040000000000002</v>
      </c>
      <c r="AN139" s="739">
        <v>0.21448</v>
      </c>
      <c r="AO139" s="739">
        <f t="shared" si="18"/>
        <v>0</v>
      </c>
      <c r="AP139" s="739">
        <v>3.7440000000000001E-2</v>
      </c>
      <c r="AQ139" s="739">
        <v>7.92E-3</v>
      </c>
    </row>
    <row r="140" spans="33:43" x14ac:dyDescent="0.3">
      <c r="AG140" s="739">
        <v>2062</v>
      </c>
      <c r="AH140" s="740">
        <f t="shared" si="19"/>
        <v>0.22498940000000001</v>
      </c>
      <c r="AI140" s="739">
        <v>0.18387000000000001</v>
      </c>
      <c r="AJ140" s="739">
        <v>0.25679000000000002</v>
      </c>
      <c r="AK140" s="739">
        <v>0.26774999999999999</v>
      </c>
      <c r="AL140" s="739">
        <v>0.24665999999999999</v>
      </c>
      <c r="AM140" s="739">
        <v>0.32040000000000002</v>
      </c>
      <c r="AN140" s="739">
        <v>0.21448</v>
      </c>
      <c r="AO140" s="739">
        <f t="shared" si="18"/>
        <v>0</v>
      </c>
      <c r="AP140" s="739">
        <v>3.7440000000000001E-2</v>
      </c>
      <c r="AQ140" s="739">
        <v>7.92E-3</v>
      </c>
    </row>
  </sheetData>
  <sheetProtection algorithmName="SHA-512" hashValue="9DsdkN95DEzi2as/uSh51Mu3Aiphmy4U9pHZk2B2vAevj9Aox15Bx/HdQwHDoWiEkSq/6WlV6M4gzEufPKnLLw==" saltValue="DQ82gtR7V6Z9hhtsoZFl6w==" spinCount="100000" sheet="1" objects="1" scenarios="1"/>
  <dataConsolidate link="1"/>
  <mergeCells count="67">
    <mergeCell ref="A71:V71"/>
    <mergeCell ref="B68:V68"/>
    <mergeCell ref="G8:K8"/>
    <mergeCell ref="D3:G3"/>
    <mergeCell ref="I13:J13"/>
    <mergeCell ref="B3:C3"/>
    <mergeCell ref="B10:V10"/>
    <mergeCell ref="U3:V7"/>
    <mergeCell ref="G9:K9"/>
    <mergeCell ref="L9:M9"/>
    <mergeCell ref="L8:M8"/>
    <mergeCell ref="I61:J61"/>
    <mergeCell ref="I19:J19"/>
    <mergeCell ref="I20:J20"/>
    <mergeCell ref="I17:J17"/>
    <mergeCell ref="I15:J15"/>
    <mergeCell ref="B67:V67"/>
    <mergeCell ref="B69:V69"/>
    <mergeCell ref="I12:J12"/>
    <mergeCell ref="I18:J18"/>
    <mergeCell ref="I16:J16"/>
    <mergeCell ref="I25:J25"/>
    <mergeCell ref="I26:J26"/>
    <mergeCell ref="I27:J27"/>
    <mergeCell ref="I28:J28"/>
    <mergeCell ref="I29:J29"/>
    <mergeCell ref="I30:J30"/>
    <mergeCell ref="I31:J31"/>
    <mergeCell ref="I32:J32"/>
    <mergeCell ref="I33:J33"/>
    <mergeCell ref="I34:J34"/>
    <mergeCell ref="I23:J23"/>
    <mergeCell ref="N6:O7"/>
    <mergeCell ref="D4:G4"/>
    <mergeCell ref="H6:I6"/>
    <mergeCell ref="I21:J21"/>
    <mergeCell ref="I22:J22"/>
    <mergeCell ref="I14:J14"/>
    <mergeCell ref="I24:J24"/>
    <mergeCell ref="B4:C4"/>
    <mergeCell ref="I11:J11"/>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60:J60"/>
    <mergeCell ref="I55:J55"/>
    <mergeCell ref="I56:J56"/>
    <mergeCell ref="I57:J57"/>
    <mergeCell ref="I58:J58"/>
    <mergeCell ref="I59:J59"/>
  </mergeCells>
  <conditionalFormatting sqref="I12:I61">
    <cfRule type="expression" dxfId="111" priority="1" stopIfTrue="1">
      <formula>$V12="Check Work Type"</formula>
    </cfRule>
  </conditionalFormatting>
  <conditionalFormatting sqref="K12:L61">
    <cfRule type="expression" dxfId="110" priority="89" stopIfTrue="1">
      <formula>$V12="Check Work Type"</formula>
    </cfRule>
  </conditionalFormatting>
  <conditionalFormatting sqref="L9">
    <cfRule type="containsText" dxfId="109" priority="37" operator="containsText" text="Complete Salix Funding Requested">
      <formula>NOT(ISERROR(SEARCH("Complete Salix Funding Requested",L9)))</formula>
    </cfRule>
    <cfRule type="cellIs" dxfId="108" priority="38" operator="equal">
      <formula>"Enter site life"</formula>
    </cfRule>
    <cfRule type="cellIs" dxfId="107" priority="39" operator="equal">
      <formula>"Enter Total Project Cost"</formula>
    </cfRule>
    <cfRule type="cellIs" dxfId="106" priority="40" operator="equal">
      <formula>"Enter % of cost"</formula>
    </cfRule>
  </conditionalFormatting>
  <conditionalFormatting sqref="L9:M9">
    <cfRule type="containsText" dxfId="105" priority="35" operator="containsText" text="Funding Exceeds Total Value">
      <formula>NOT(ISERROR(SEARCH("Funding Exceeds Total Value",L9)))</formula>
    </cfRule>
    <cfRule type="containsText" dxfId="104" priority="36" operator="containsText" text="Complete Total Value of Projects">
      <formula>NOT(ISERROR(SEARCH("Complete Total Value of Projects",L9)))</formula>
    </cfRule>
  </conditionalFormatting>
  <conditionalFormatting sqref="M11 P11">
    <cfRule type="expression" dxfId="103" priority="373" stopIfTrue="1">
      <formula>#REF!="M"</formula>
    </cfRule>
  </conditionalFormatting>
  <conditionalFormatting sqref="Q3">
    <cfRule type="expression" dxfId="102" priority="51">
      <formula>$D$4="Recycling Fund"</formula>
    </cfRule>
  </conditionalFormatting>
  <conditionalFormatting sqref="V12:V61">
    <cfRule type="beginsWith" dxfId="99" priority="119" operator="beginsWith" text="Check">
      <formula>LEFT(V12,LEN("Check"))="Check"</formula>
    </cfRule>
    <cfRule type="beginsWith" dxfId="98" priority="304" operator="beginsWith" text="Enter">
      <formula>LEFT(V12,LEN("Enter"))="Enter"</formula>
    </cfRule>
  </conditionalFormatting>
  <conditionalFormatting sqref="V65">
    <cfRule type="beginsWith" dxfId="97" priority="108" operator="beginsWith" text="Complete">
      <formula>LEFT(V65,LEN("Complete"))="Complete"</formula>
    </cfRule>
    <cfRule type="beginsWith" dxfId="96" priority="109" operator="beginsWith" text="Check">
      <formula>LEFT(V65,LEN("Check"))="Check"</formula>
    </cfRule>
    <cfRule type="containsText" dxfId="95" priority="120" operator="containsText" text="Client additional only">
      <formula>NOT(ISERROR(SEARCH("Client additional only",V65)))</formula>
    </cfRule>
    <cfRule type="containsText" dxfId="94" priority="121" operator="containsText" text="Non-Compliant">
      <formula>NOT(ISERROR(SEARCH("Non-Compliant",V65)))</formula>
    </cfRule>
    <cfRule type="containsText" dxfId="93" priority="122" operator="containsText" text="Compliant with client additional">
      <formula>NOT(ISERROR(SEARCH("Compliant with client additional",V65)))</formula>
    </cfRule>
  </conditionalFormatting>
  <dataValidations xWindow="453" yWindow="461" count="19">
    <dataValidation type="list" allowBlank="1" showInputMessage="1" showErrorMessage="1" sqref="B66 D12:D61" xr:uid="{A445855C-A293-4AA5-89E3-C0EF8FA8C203}">
      <formula1>Energy_Types</formula1>
    </dataValidation>
    <dataValidation type="date" allowBlank="1" showInputMessage="1" showErrorMessage="1" sqref="C9" xr:uid="{5B9DBFE7-8CAC-4DBF-A421-78CD883E7BAF}">
      <formula1>40179</formula1>
      <formula2>46022</formula2>
    </dataValidation>
    <dataValidation type="decimal" allowBlank="1" showInputMessage="1" showErrorMessage="1" errorTitle="Please review" error="Please enter site life as a number only" sqref="F9" xr:uid="{FA5D2FAB-A92E-469D-BA24-6B37B9FA97CE}">
      <formula1>0.1</formula1>
      <formula2>100000</formula2>
    </dataValidation>
    <dataValidation type="decimal" allowBlank="1" showInputMessage="1" showErrorMessage="1" errorTitle="Invalid Value" error="Please enter a value between 1% and 100%" sqref="N9" xr:uid="{C89300F3-28E8-4D6B-9416-EDF58E59FBD9}">
      <formula1>0</formula1>
      <formula2>1</formula2>
    </dataValidation>
    <dataValidation type="date" allowBlank="1" showInputMessage="1" showErrorMessage="1" promptTitle="NODYN CANLLAW" prompt="Nodwch ddyddiad realistig ar gyfer cwblhau'r prosiect. Rhaid i brosiectau gael eu cwblhau o fewn 9 mis i'r dyddiad ymrwymo." sqref="D9" xr:uid="{E0577A49-2BC8-41E5-9F0C-C098F35B8E7F}">
      <formula1>40179</formula1>
      <formula2>49674</formula2>
    </dataValidation>
    <dataValidation allowBlank="1" showInputMessage="1" showErrorMessage="1" errorTitle="Please review" error="Please enter site life as a number only" sqref="G9:K9" xr:uid="{F3416746-9C76-4B7D-8518-44025D645667}"/>
    <dataValidation type="list" allowBlank="1" showInputMessage="1" showErrorMessage="1" sqref="H13:H61" xr:uid="{E3D42309-2BB1-42F4-9E33-DE0DAC4DE315}">
      <formula1>Project_type</formula1>
    </dataValidation>
    <dataValidation type="decimal" operator="lessThan" allowBlank="1" showInputMessage="1" showErrorMessage="1" errorTitle="Invalid Entry" error="Please enter your energy price in the box." sqref="E12:E61" xr:uid="{54DF54DD-1546-4CB0-8392-5D1EAB8B4C60}">
      <formula1>999</formula1>
    </dataValidation>
    <dataValidation type="decimal" operator="greaterThanOrEqual" allowBlank="1" showInputMessage="1" showErrorMessage="1" error="Please enter a numerical value in kWh." promptTitle="GUIDANCE NOTE" prompt="Enter energy currently consumed by the existing plant/equipment concerned." sqref="K61" xr:uid="{91BF7573-4FF7-4923-A310-1705F23D77C6}">
      <formula1>0</formula1>
    </dataValidation>
    <dataValidation type="decimal" operator="greaterThanOrEqual" allowBlank="1" showInputMessage="1" showErrorMessage="1" error="Please enter a numerical value in kWh." promptTitle="GUIDANCE NOTE" prompt="Enter estimated post-project energy consumption for the plant/equipment concerned." sqref="L61" xr:uid="{1D4CCDC2-9966-4D7B-9969-E9B2CBBAE35F}">
      <formula1>0</formula1>
    </dataValidation>
    <dataValidation type="decimal" operator="lessThan" allowBlank="1" showInputMessage="1" showErrorMessage="1" errorTitle="Invalid Entry" error="Please enter your energy price in the box." promptTitle="GUIDANCE NOTE:" prompt="To calculate forecast energy cost see 'Guidance Notes' tab" sqref="F61" xr:uid="{B8F7C740-9D81-4928-9AC7-38F3B108A6A4}">
      <formula1>999</formula1>
    </dataValidation>
    <dataValidation type="decimal" allowBlank="1" showInputMessage="1" showErrorMessage="1" errorTitle="Invalid Entry" error="Please enter value as a number" promptTitle="GUIDANCE NOTE" prompt="Please enter the total cost of this measure." sqref="O61" xr:uid="{A340F93B-3F03-4DCE-B733-8953B3E6813B}">
      <formula1>0</formula1>
      <formula2>9999999999999990000</formula2>
    </dataValidation>
    <dataValidation type="decimal" operator="lessThan" allowBlank="1" showInputMessage="1" errorTitle="Invalid Entry" error="Please enter your energy price in the box." sqref="G12:G61" xr:uid="{B6989F90-F684-4C22-AE14-50B816DFF9C3}">
      <formula1>999</formula1>
    </dataValidation>
    <dataValidation type="list" allowBlank="1" showInputMessage="1" showErrorMessage="1" sqref="I12:I61" xr:uid="{3B5BEB2D-0C00-421C-9BFB-C326C3D234CE}">
      <formula1>INDIRECT($Z12)</formula1>
    </dataValidation>
    <dataValidation allowBlank="1" showInputMessage="1" showErrorMessage="1" prompt="Nodwch fesurau ar wahân ar gyfer pob adeilad os yw eich cais yn ymwneud â sawl adeilad" sqref="B12" xr:uid="{18269017-B01B-4ECD-8F35-8706C3F58648}"/>
    <dataValidation type="decimal" operator="lessThan" allowBlank="1" showInputMessage="1" showErrorMessage="1" errorTitle="Invalid Entry" error="Please enter your energy price in the box." promptTitle="NODYN CANLLAW" prompt=" I gyfrifo'r gost ynni a ragwelir, gweler y tab 'nodiadau canllaw'" sqref="F12:F60" xr:uid="{780B3417-B3D8-4781-AD5B-877D5FEDCA9B}">
      <formula1>999</formula1>
    </dataValidation>
    <dataValidation type="decimal" operator="greaterThanOrEqual" allowBlank="1" showInputMessage="1" showErrorMessage="1" error="Please enter a numerical value in kWh." promptTitle="NODYN CANLLAW" prompt="Nodwch yr ynni y mae'r offer/cyfarpar dan sylw sy'n bodoli eisoes yn ei ddefnyddio ar hyn o bryd" sqref="K12:K60" xr:uid="{226457E9-8451-4BA5-B790-A0FEBED44A3F}">
      <formula1>0</formula1>
    </dataValidation>
    <dataValidation type="decimal" operator="greaterThanOrEqual" allowBlank="1" showInputMessage="1" showErrorMessage="1" error="Please enter a numerical value in kWh." promptTitle="NODYN CANLLAW" prompt="Nodwch amcangyfrif o'r ynni y bydd yr offer/cyfarpar dan sylw yn ei ddefnyddio ar ôl y prosiect " sqref="L12:L60" xr:uid="{8575B360-CCB9-40A5-ABCC-B26E8650E160}">
      <formula1>0</formula1>
    </dataValidation>
    <dataValidation type="decimal" allowBlank="1" showInputMessage="1" showErrorMessage="1" errorTitle="Invalid Entry" error="Please enter value as a number" promptTitle="NODYN CANLLAW" prompt="Nodwch gyfanswm cost y mesur hwn" sqref="O12:O60" xr:uid="{C71695AA-DED0-458B-8079-8287BBC63A2F}">
      <formula1>0</formula1>
      <formula2>9999999999999990000</formula2>
    </dataValidation>
  </dataValidations>
  <pageMargins left="0.23622047244094491" right="0.23622047244094491" top="0.35433070866141736" bottom="0.35433070866141736" header="0.31496062992125984" footer="0.31496062992125984"/>
  <pageSetup paperSize="9" scale="40" fitToHeight="0" orientation="landscape" horizontalDpi="525" verticalDpi="525" r:id="rId1"/>
  <customProperties>
    <customPr name="GUID" r:id="rId2"/>
  </customProperties>
  <drawing r:id="rId3"/>
  <extLst>
    <ext xmlns:x14="http://schemas.microsoft.com/office/spreadsheetml/2009/9/main" uri="{78C0D931-6437-407d-A8EE-F0AAD7539E65}">
      <x14:conditionalFormattings>
        <x14:conditionalFormatting xmlns:xm="http://schemas.microsoft.com/office/excel/2006/main">
          <x14:cfRule type="cellIs" priority="379" stopIfTrue="1" operator="greaterThan" id="{367CE04A-04FE-4261-B258-F8C50D58E349}">
            <xm:f>'Extra look-up'!$F$76</xm:f>
            <x14:dxf>
              <font>
                <color rgb="FFFF0000"/>
              </font>
              <fill>
                <patternFill>
                  <bgColor theme="5" tint="0.79998168889431442"/>
                </patternFill>
              </fill>
            </x14:dxf>
          </x14:cfRule>
          <xm:sqref>Q65</xm:sqref>
        </x14:conditionalFormatting>
        <x14:conditionalFormatting xmlns:xm="http://schemas.microsoft.com/office/excel/2006/main">
          <x14:cfRule type="cellIs" priority="384" stopIfTrue="1" operator="greaterThan" id="{AEB13788-B7CD-44E4-8F7A-C9D6A802DD28}">
            <xm:f>'Extra look-up'!$G$76</xm:f>
            <x14:dxf>
              <font>
                <color rgb="FFFF0000"/>
              </font>
              <fill>
                <patternFill>
                  <fgColor theme="0"/>
                  <bgColor theme="5" tint="0.79998168889431442"/>
                </patternFill>
              </fill>
            </x14:dxf>
          </x14:cfRule>
          <xm:sqref>U65</xm:sqref>
        </x14:conditionalFormatting>
      </x14:conditionalFormattings>
    </ext>
    <ext xmlns:x14="http://schemas.microsoft.com/office/spreadsheetml/2009/9/main" uri="{CCE6A557-97BC-4b89-ADB6-D9C93CAAB3DF}">
      <x14:dataValidations xmlns:xm="http://schemas.microsoft.com/office/excel/2006/main" xWindow="453" yWindow="461" count="2">
        <x14:dataValidation type="list" allowBlank="1" showInputMessage="1" showErrorMessage="1" xr:uid="{ADEA02F4-F232-40EA-BBA9-0D6C26D2B81E}">
          <x14:formula1>
            <xm:f>'Extra look-up'!$D$80:$D$81</xm:f>
          </x14:formula1>
          <xm:sqref>D4:G4</xm:sqref>
        </x14:dataValidation>
        <x14:dataValidation type="list" allowBlank="1" showInputMessage="1" showErrorMessage="1" xr:uid="{98861A49-FEBC-4F30-86E5-572B0E422996}">
          <x14:formula1>
            <xm:f>'Extra look-up'!$A$3:$A$20</xm:f>
          </x14:formula1>
          <xm:sqref>H12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562C7-FD81-4BAE-B22B-AC27136CFB35}">
  <sheetPr codeName="Sheet11">
    <tabColor rgb="FF2DAE76"/>
    <pageSetUpPr fitToPage="1"/>
  </sheetPr>
  <dimension ref="B2:S102"/>
  <sheetViews>
    <sheetView showGridLines="0" zoomScale="74" zoomScaleNormal="74" workbookViewId="0">
      <selection activeCell="D11" sqref="D11:I11"/>
    </sheetView>
  </sheetViews>
  <sheetFormatPr defaultColWidth="9.1796875" defaultRowHeight="15.5" x14ac:dyDescent="0.25"/>
  <cols>
    <col min="1" max="2" width="3.54296875" style="654" customWidth="1"/>
    <col min="3" max="3" width="47.81640625" style="655" customWidth="1"/>
    <col min="4" max="4" width="41.81640625" style="654" customWidth="1"/>
    <col min="5" max="9" width="20.54296875" style="654" customWidth="1"/>
    <col min="10" max="10" width="5.54296875" style="654" customWidth="1"/>
    <col min="11" max="29" width="9.1796875" style="654" customWidth="1"/>
    <col min="30" max="16384" width="9.1796875" style="654"/>
  </cols>
  <sheetData>
    <row r="2" spans="2:19" x14ac:dyDescent="0.3">
      <c r="B2" s="29"/>
      <c r="C2" s="657"/>
      <c r="D2" s="657"/>
      <c r="E2" s="657"/>
      <c r="F2" s="657"/>
      <c r="G2" s="657"/>
      <c r="H2" s="657"/>
      <c r="I2" s="657"/>
      <c r="J2" s="29"/>
    </row>
    <row r="3" spans="2:19" x14ac:dyDescent="0.3">
      <c r="B3" s="29"/>
      <c r="C3" s="883" t="s">
        <v>144</v>
      </c>
      <c r="D3" s="883"/>
      <c r="E3" s="883"/>
      <c r="F3" s="883"/>
      <c r="G3" s="883"/>
      <c r="H3" s="657"/>
      <c r="I3" s="657"/>
      <c r="J3" s="29"/>
    </row>
    <row r="4" spans="2:19" x14ac:dyDescent="0.3">
      <c r="B4" s="29"/>
      <c r="C4" s="883"/>
      <c r="D4" s="883"/>
      <c r="E4" s="883"/>
      <c r="F4" s="883"/>
      <c r="G4" s="883"/>
      <c r="H4" s="657"/>
      <c r="I4" s="657"/>
      <c r="J4" s="29"/>
    </row>
    <row r="5" spans="2:19" ht="5.5" customHeight="1" x14ac:dyDescent="0.25">
      <c r="B5" s="29"/>
      <c r="C5" s="755"/>
      <c r="D5" s="756"/>
      <c r="E5" s="756"/>
      <c r="F5" s="756"/>
      <c r="G5" s="756"/>
      <c r="H5" s="756"/>
      <c r="I5" s="658"/>
      <c r="J5" s="29"/>
    </row>
    <row r="6" spans="2:19" ht="16" customHeight="1" x14ac:dyDescent="0.25">
      <c r="B6" s="29"/>
      <c r="C6" s="926"/>
      <c r="D6" s="926"/>
      <c r="E6" s="926"/>
      <c r="F6" s="926"/>
      <c r="G6" s="926"/>
      <c r="H6" s="926"/>
      <c r="I6" s="926"/>
      <c r="J6" s="29"/>
    </row>
    <row r="7" spans="2:19" ht="23" x14ac:dyDescent="0.25">
      <c r="B7" s="29"/>
      <c r="C7" s="698" t="s">
        <v>145</v>
      </c>
      <c r="D7" s="660"/>
      <c r="E7" s="660"/>
      <c r="F7" s="660"/>
      <c r="G7" s="660"/>
      <c r="H7" s="660"/>
      <c r="I7" s="660"/>
      <c r="J7" s="29"/>
    </row>
    <row r="8" spans="2:19" x14ac:dyDescent="0.25">
      <c r="B8" s="29"/>
      <c r="C8" s="661"/>
      <c r="D8" s="658"/>
      <c r="E8" s="658"/>
      <c r="F8" s="658"/>
      <c r="G8" s="658"/>
      <c r="H8" s="658"/>
      <c r="I8" s="658"/>
      <c r="J8" s="29"/>
    </row>
    <row r="9" spans="2:19" ht="19.5" x14ac:dyDescent="0.25">
      <c r="B9" s="29"/>
      <c r="C9" s="683" t="s">
        <v>146</v>
      </c>
      <c r="D9" s="927"/>
      <c r="E9" s="928"/>
      <c r="F9" s="928"/>
      <c r="G9" s="928"/>
      <c r="H9" s="928"/>
      <c r="I9" s="929"/>
      <c r="J9" s="29"/>
    </row>
    <row r="10" spans="2:19" x14ac:dyDescent="0.25">
      <c r="B10" s="29"/>
      <c r="C10" s="659"/>
      <c r="D10" s="658"/>
      <c r="E10" s="658"/>
      <c r="F10" s="658"/>
      <c r="G10" s="658"/>
      <c r="H10" s="658"/>
      <c r="I10" s="658"/>
      <c r="J10" s="29"/>
      <c r="K10" s="655"/>
      <c r="L10" s="655"/>
      <c r="M10" s="655"/>
      <c r="N10" s="655"/>
      <c r="O10" s="655"/>
      <c r="P10" s="655"/>
      <c r="Q10" s="655"/>
      <c r="R10" s="655"/>
      <c r="S10" s="655"/>
    </row>
    <row r="11" spans="2:19" ht="19.5" x14ac:dyDescent="0.25">
      <c r="B11" s="29"/>
      <c r="C11" s="683" t="s">
        <v>147</v>
      </c>
      <c r="D11" s="930" t="str">
        <f>IF('Project Compliance Tool'!D3="","",'Project Compliance Tool'!D3)</f>
        <v/>
      </c>
      <c r="E11" s="931"/>
      <c r="F11" s="931"/>
      <c r="G11" s="931"/>
      <c r="H11" s="931"/>
      <c r="I11" s="932"/>
      <c r="J11" s="29"/>
    </row>
    <row r="12" spans="2:19" x14ac:dyDescent="0.25">
      <c r="B12" s="29"/>
      <c r="C12" s="659"/>
      <c r="D12" s="658"/>
      <c r="E12" s="658"/>
      <c r="F12" s="658"/>
      <c r="G12" s="658"/>
      <c r="H12" s="658"/>
      <c r="I12" s="658"/>
      <c r="J12" s="29"/>
    </row>
    <row r="13" spans="2:19" ht="19.5" x14ac:dyDescent="0.35">
      <c r="B13" s="29"/>
      <c r="C13" s="683" t="s">
        <v>148</v>
      </c>
      <c r="D13" s="796"/>
      <c r="E13" s="658"/>
      <c r="F13" s="663"/>
      <c r="G13" s="658"/>
      <c r="H13" s="658"/>
      <c r="I13" s="658"/>
      <c r="J13" s="29"/>
    </row>
    <row r="14" spans="2:19" ht="19.5" x14ac:dyDescent="0.35">
      <c r="B14" s="29"/>
      <c r="C14" s="683"/>
      <c r="D14" s="662"/>
      <c r="E14" s="658"/>
      <c r="F14" s="663"/>
      <c r="G14" s="658"/>
      <c r="H14" s="658"/>
      <c r="I14" s="658"/>
      <c r="J14" s="29"/>
    </row>
    <row r="15" spans="2:19" ht="16" customHeight="1" x14ac:dyDescent="0.35">
      <c r="B15" s="29"/>
      <c r="C15" s="683" t="s">
        <v>149</v>
      </c>
      <c r="D15" s="817"/>
      <c r="E15" s="658"/>
      <c r="F15" s="663"/>
      <c r="G15" s="658"/>
      <c r="H15" s="658"/>
      <c r="I15" s="658"/>
      <c r="J15" s="29"/>
    </row>
    <row r="16" spans="2:19" hidden="1" x14ac:dyDescent="0.25">
      <c r="B16" s="29"/>
      <c r="C16" s="659"/>
      <c r="D16" s="658"/>
      <c r="E16" s="658"/>
      <c r="F16" s="658"/>
      <c r="G16" s="895"/>
      <c r="H16" s="895"/>
      <c r="I16" s="658"/>
      <c r="J16" s="29"/>
    </row>
    <row r="17" spans="2:11" ht="32.15" customHeight="1" x14ac:dyDescent="0.25">
      <c r="B17" s="29"/>
      <c r="C17" s="698" t="s">
        <v>150</v>
      </c>
      <c r="D17" s="658"/>
      <c r="E17" s="658"/>
      <c r="F17" s="664"/>
      <c r="G17" s="896" t="s">
        <v>151</v>
      </c>
      <c r="H17" s="896"/>
      <c r="I17" s="658"/>
      <c r="J17" s="29"/>
    </row>
    <row r="18" spans="2:11" ht="15.75" customHeight="1" x14ac:dyDescent="0.25">
      <c r="B18" s="29"/>
      <c r="C18" s="684" t="s">
        <v>152</v>
      </c>
      <c r="D18" s="925"/>
      <c r="E18" s="925"/>
      <c r="F18" s="164"/>
      <c r="G18" s="891" t="s">
        <v>153</v>
      </c>
      <c r="H18" s="891"/>
      <c r="I18" s="757"/>
      <c r="J18" s="29"/>
    </row>
    <row r="19" spans="2:11" x14ac:dyDescent="0.25">
      <c r="B19" s="29"/>
      <c r="C19" s="684" t="s">
        <v>154</v>
      </c>
      <c r="D19" s="925"/>
      <c r="E19" s="925"/>
      <c r="F19" s="658"/>
      <c r="G19" s="667"/>
      <c r="H19" s="668"/>
      <c r="I19" s="669"/>
      <c r="J19" s="29"/>
    </row>
    <row r="20" spans="2:11" ht="15.75" customHeight="1" x14ac:dyDescent="0.25">
      <c r="B20" s="29"/>
      <c r="C20" s="684" t="s">
        <v>155</v>
      </c>
      <c r="D20" s="933"/>
      <c r="E20" s="933"/>
      <c r="F20" s="658"/>
      <c r="G20" s="891" t="s">
        <v>156</v>
      </c>
      <c r="H20" s="891"/>
      <c r="I20" s="757"/>
      <c r="J20" s="29"/>
    </row>
    <row r="21" spans="2:11" x14ac:dyDescent="0.25">
      <c r="B21" s="29"/>
      <c r="C21" s="684" t="s">
        <v>157</v>
      </c>
      <c r="D21" s="925"/>
      <c r="E21" s="925"/>
      <c r="F21" s="658"/>
      <c r="G21" s="667"/>
      <c r="H21" s="670"/>
      <c r="I21" s="669"/>
      <c r="J21" s="29"/>
    </row>
    <row r="22" spans="2:11" ht="15.75" customHeight="1" x14ac:dyDescent="0.25">
      <c r="B22" s="29"/>
      <c r="C22" s="684" t="s">
        <v>158</v>
      </c>
      <c r="D22" s="921"/>
      <c r="E22" s="921"/>
      <c r="F22" s="164"/>
      <c r="G22" s="891" t="s">
        <v>159</v>
      </c>
      <c r="H22" s="891"/>
      <c r="I22" s="757"/>
      <c r="J22" s="29"/>
    </row>
    <row r="23" spans="2:11" x14ac:dyDescent="0.25">
      <c r="B23" s="29"/>
      <c r="C23" s="684" t="s">
        <v>160</v>
      </c>
      <c r="D23" s="925"/>
      <c r="E23" s="925"/>
      <c r="F23" s="658"/>
      <c r="G23" s="671"/>
      <c r="H23" s="670"/>
      <c r="I23" s="669"/>
      <c r="J23" s="30"/>
      <c r="K23" s="679"/>
    </row>
    <row r="24" spans="2:11" ht="15.75" customHeight="1" x14ac:dyDescent="0.25">
      <c r="B24" s="29"/>
      <c r="C24" s="684" t="s">
        <v>161</v>
      </c>
      <c r="D24" s="921"/>
      <c r="E24" s="921"/>
      <c r="F24" s="164"/>
      <c r="G24" s="891" t="s">
        <v>162</v>
      </c>
      <c r="H24" s="891"/>
      <c r="I24" s="757"/>
      <c r="J24" s="29"/>
    </row>
    <row r="25" spans="2:11" x14ac:dyDescent="0.25">
      <c r="B25" s="29"/>
      <c r="C25" s="684" t="s">
        <v>163</v>
      </c>
      <c r="D25" s="922"/>
      <c r="E25" s="923"/>
      <c r="F25" s="672"/>
      <c r="G25" s="671"/>
      <c r="H25" s="673"/>
      <c r="I25" s="674"/>
      <c r="J25" s="29"/>
    </row>
    <row r="26" spans="2:11" ht="15.75" customHeight="1" x14ac:dyDescent="0.25">
      <c r="B26" s="29"/>
      <c r="C26" s="665"/>
      <c r="D26" s="675"/>
      <c r="E26" s="675"/>
      <c r="F26" s="666"/>
      <c r="G26" s="891" t="s">
        <v>164</v>
      </c>
      <c r="H26" s="891"/>
      <c r="I26" s="757"/>
      <c r="J26" s="29"/>
    </row>
    <row r="27" spans="2:11" ht="15.75" customHeight="1" x14ac:dyDescent="0.25">
      <c r="B27" s="29"/>
      <c r="C27" s="659"/>
      <c r="D27" s="675"/>
      <c r="E27" s="675"/>
      <c r="F27" s="666"/>
      <c r="G27" s="667"/>
      <c r="H27" s="667"/>
      <c r="I27" s="674"/>
      <c r="J27" s="29"/>
    </row>
    <row r="28" spans="2:11" ht="15.75" customHeight="1" x14ac:dyDescent="0.25">
      <c r="B28" s="29"/>
      <c r="C28" s="659"/>
      <c r="D28" s="675"/>
      <c r="E28" s="675"/>
      <c r="F28" s="666"/>
      <c r="G28" s="891" t="s">
        <v>165</v>
      </c>
      <c r="H28" s="891"/>
      <c r="I28" s="758">
        <f>I18+I20+I22+I24+I26</f>
        <v>0</v>
      </c>
      <c r="J28" s="29"/>
    </row>
    <row r="29" spans="2:11" ht="17.5" x14ac:dyDescent="0.25">
      <c r="B29" s="29"/>
      <c r="C29" s="698" t="s">
        <v>166</v>
      </c>
      <c r="D29" s="686"/>
      <c r="E29" s="686"/>
      <c r="F29" s="687"/>
      <c r="G29" s="685"/>
      <c r="H29" s="685"/>
      <c r="I29" s="687"/>
      <c r="J29" s="29"/>
    </row>
    <row r="30" spans="2:11" ht="15.75" customHeight="1" x14ac:dyDescent="0.25">
      <c r="B30" s="29"/>
      <c r="C30" s="890" t="s">
        <v>167</v>
      </c>
      <c r="D30" s="890"/>
      <c r="E30" s="890"/>
      <c r="F30" s="890"/>
      <c r="G30" s="890"/>
      <c r="H30" s="890"/>
      <c r="I30" s="890"/>
      <c r="J30" s="29"/>
    </row>
    <row r="31" spans="2:11" ht="15.75" customHeight="1" x14ac:dyDescent="0.25">
      <c r="B31" s="29"/>
      <c r="C31" s="892" t="s">
        <v>168</v>
      </c>
      <c r="D31" s="892"/>
      <c r="E31" s="892"/>
      <c r="F31" s="892"/>
      <c r="G31" s="892"/>
      <c r="H31" s="892"/>
      <c r="I31" s="892"/>
      <c r="J31" s="29"/>
    </row>
    <row r="32" spans="2:11" ht="14.25" customHeight="1" x14ac:dyDescent="0.25">
      <c r="B32" s="29"/>
      <c r="C32" s="892"/>
      <c r="D32" s="892"/>
      <c r="E32" s="892"/>
      <c r="F32" s="892"/>
      <c r="G32" s="892"/>
      <c r="H32" s="892"/>
      <c r="I32" s="892"/>
      <c r="J32" s="29"/>
    </row>
    <row r="33" spans="2:10" ht="115.5" customHeight="1" x14ac:dyDescent="0.25">
      <c r="B33" s="29"/>
      <c r="C33" s="887"/>
      <c r="D33" s="888"/>
      <c r="E33" s="888"/>
      <c r="F33" s="888"/>
      <c r="G33" s="888"/>
      <c r="H33" s="888"/>
      <c r="I33" s="889"/>
      <c r="J33" s="29"/>
    </row>
    <row r="34" spans="2:10" ht="7.5" customHeight="1" x14ac:dyDescent="0.25">
      <c r="B34" s="29"/>
      <c r="C34" s="659"/>
      <c r="D34" s="675"/>
      <c r="E34" s="675"/>
      <c r="F34" s="666"/>
      <c r="G34" s="667"/>
      <c r="H34" s="667"/>
      <c r="I34" s="674"/>
      <c r="J34" s="29"/>
    </row>
    <row r="35" spans="2:10" ht="17.5" x14ac:dyDescent="0.25">
      <c r="B35" s="29"/>
      <c r="C35" s="698" t="s">
        <v>169</v>
      </c>
      <c r="D35" s="686"/>
      <c r="E35" s="686"/>
      <c r="F35" s="688"/>
      <c r="G35" s="891"/>
      <c r="H35" s="891"/>
      <c r="I35" s="689"/>
      <c r="J35" s="29"/>
    </row>
    <row r="36" spans="2:10" x14ac:dyDescent="0.25">
      <c r="B36" s="29"/>
      <c r="C36" s="890" t="s">
        <v>170</v>
      </c>
      <c r="D36" s="890"/>
      <c r="E36" s="890"/>
      <c r="F36" s="690"/>
      <c r="G36" s="897"/>
      <c r="H36" s="897"/>
      <c r="I36" s="684"/>
      <c r="J36" s="29"/>
    </row>
    <row r="37" spans="2:10" ht="15.75" customHeight="1" x14ac:dyDescent="0.25">
      <c r="B37" s="29"/>
      <c r="C37" s="892" t="s">
        <v>171</v>
      </c>
      <c r="D37" s="892"/>
      <c r="E37" s="892"/>
      <c r="F37" s="892"/>
      <c r="G37" s="892"/>
      <c r="H37" s="892"/>
      <c r="I37" s="892"/>
      <c r="J37" s="29"/>
    </row>
    <row r="38" spans="2:10" ht="15.75" customHeight="1" x14ac:dyDescent="0.25">
      <c r="B38" s="29"/>
      <c r="C38" s="892"/>
      <c r="D38" s="892"/>
      <c r="E38" s="892"/>
      <c r="F38" s="892"/>
      <c r="G38" s="892"/>
      <c r="H38" s="892"/>
      <c r="I38" s="892"/>
      <c r="J38" s="29"/>
    </row>
    <row r="39" spans="2:10" ht="15.75" customHeight="1" x14ac:dyDescent="0.25">
      <c r="B39" s="29"/>
      <c r="C39" s="892"/>
      <c r="D39" s="892"/>
      <c r="E39" s="892"/>
      <c r="F39" s="892"/>
      <c r="G39" s="892"/>
      <c r="H39" s="892"/>
      <c r="I39" s="892"/>
      <c r="J39" s="29"/>
    </row>
    <row r="40" spans="2:10" ht="10" customHeight="1" x14ac:dyDescent="0.25">
      <c r="B40" s="29"/>
      <c r="C40" s="892"/>
      <c r="D40" s="892"/>
      <c r="E40" s="892"/>
      <c r="F40" s="892"/>
      <c r="G40" s="892"/>
      <c r="H40" s="892"/>
      <c r="I40" s="892"/>
      <c r="J40" s="29"/>
    </row>
    <row r="41" spans="2:10" ht="115.5" customHeight="1" x14ac:dyDescent="0.25">
      <c r="B41" s="29"/>
      <c r="C41" s="893"/>
      <c r="D41" s="893"/>
      <c r="E41" s="893"/>
      <c r="F41" s="893"/>
      <c r="G41" s="893"/>
      <c r="H41" s="893"/>
      <c r="I41" s="893"/>
      <c r="J41" s="29"/>
    </row>
    <row r="42" spans="2:10" ht="23.5" customHeight="1" x14ac:dyDescent="0.35">
      <c r="B42" s="29"/>
      <c r="C42" s="699" t="s">
        <v>172</v>
      </c>
      <c r="D42" s="692"/>
      <c r="E42" s="692"/>
      <c r="F42" s="692"/>
      <c r="G42" s="692"/>
      <c r="H42" s="692"/>
      <c r="I42" s="676"/>
      <c r="J42" s="29"/>
    </row>
    <row r="43" spans="2:10" ht="24.65" customHeight="1" x14ac:dyDescent="0.25">
      <c r="B43" s="29"/>
      <c r="C43" s="924" t="s">
        <v>173</v>
      </c>
      <c r="D43" s="924"/>
      <c r="E43" s="924"/>
      <c r="F43" s="924"/>
      <c r="G43" s="924"/>
      <c r="H43" s="924"/>
      <c r="I43" s="676"/>
      <c r="J43" s="29"/>
    </row>
    <row r="44" spans="2:10" ht="21.65" customHeight="1" x14ac:dyDescent="0.25">
      <c r="B44" s="29"/>
      <c r="C44" s="924"/>
      <c r="D44" s="924"/>
      <c r="E44" s="924"/>
      <c r="F44" s="924"/>
      <c r="G44" s="924"/>
      <c r="H44" s="924"/>
      <c r="I44" s="676"/>
      <c r="J44" s="29"/>
    </row>
    <row r="45" spans="2:10" ht="115.5" customHeight="1" x14ac:dyDescent="0.25">
      <c r="B45" s="29"/>
      <c r="C45" s="893"/>
      <c r="D45" s="893"/>
      <c r="E45" s="893"/>
      <c r="F45" s="893"/>
      <c r="G45" s="893"/>
      <c r="H45" s="893"/>
      <c r="I45" s="893"/>
      <c r="J45" s="29"/>
    </row>
    <row r="46" spans="2:10" ht="26.5" customHeight="1" x14ac:dyDescent="0.35">
      <c r="B46" s="29"/>
      <c r="C46" s="699" t="s">
        <v>174</v>
      </c>
      <c r="D46" s="692"/>
      <c r="E46" s="692"/>
      <c r="F46" s="692"/>
      <c r="G46" s="692"/>
      <c r="H46" s="692"/>
      <c r="I46" s="676"/>
      <c r="J46" s="29"/>
    </row>
    <row r="47" spans="2:10" ht="51.65" customHeight="1" x14ac:dyDescent="0.25">
      <c r="B47" s="29"/>
      <c r="C47" s="924" t="s">
        <v>175</v>
      </c>
      <c r="D47" s="924"/>
      <c r="E47" s="924"/>
      <c r="F47" s="924"/>
      <c r="G47" s="924"/>
      <c r="H47" s="924"/>
      <c r="I47" s="676"/>
      <c r="J47" s="29"/>
    </row>
    <row r="48" spans="2:10" ht="93" customHeight="1" x14ac:dyDescent="0.25">
      <c r="B48" s="29"/>
      <c r="C48" s="893"/>
      <c r="D48" s="893"/>
      <c r="E48" s="893"/>
      <c r="F48" s="893"/>
      <c r="G48" s="893"/>
      <c r="H48" s="893"/>
      <c r="I48" s="893"/>
      <c r="J48" s="29"/>
    </row>
    <row r="49" spans="2:10" ht="28" customHeight="1" x14ac:dyDescent="0.35">
      <c r="B49" s="29"/>
      <c r="C49" s="699" t="s">
        <v>176</v>
      </c>
      <c r="D49" s="683"/>
      <c r="E49" s="683"/>
      <c r="F49" s="683"/>
      <c r="G49" s="683"/>
      <c r="H49" s="683"/>
      <c r="I49" s="683"/>
      <c r="J49" s="29"/>
    </row>
    <row r="50" spans="2:10" ht="46.5" customHeight="1" x14ac:dyDescent="0.25">
      <c r="B50" s="29"/>
      <c r="C50" s="892" t="s">
        <v>177</v>
      </c>
      <c r="D50" s="892"/>
      <c r="E50" s="892"/>
      <c r="F50" s="892"/>
      <c r="G50" s="892"/>
      <c r="H50" s="892"/>
      <c r="I50" s="892"/>
      <c r="J50" s="29"/>
    </row>
    <row r="51" spans="2:10" ht="94" customHeight="1" x14ac:dyDescent="0.25">
      <c r="B51" s="29"/>
      <c r="C51" s="893"/>
      <c r="D51" s="893"/>
      <c r="E51" s="893"/>
      <c r="F51" s="893"/>
      <c r="G51" s="893"/>
      <c r="H51" s="893"/>
      <c r="I51" s="893"/>
      <c r="J51" s="29"/>
    </row>
    <row r="52" spans="2:10" ht="25.5" customHeight="1" x14ac:dyDescent="0.35">
      <c r="B52" s="29"/>
      <c r="C52" s="894" t="s">
        <v>178</v>
      </c>
      <c r="D52" s="894"/>
      <c r="E52" s="693"/>
      <c r="F52" s="693"/>
      <c r="G52" s="693"/>
      <c r="H52" s="683"/>
      <c r="I52" s="683"/>
      <c r="J52" s="29"/>
    </row>
    <row r="53" spans="2:10" ht="69" customHeight="1" x14ac:dyDescent="0.25">
      <c r="B53" s="29"/>
      <c r="C53" s="915" t="s">
        <v>179</v>
      </c>
      <c r="D53" s="915"/>
      <c r="E53" s="915"/>
      <c r="F53" s="915"/>
      <c r="G53" s="915"/>
      <c r="H53" s="915"/>
      <c r="I53" s="915"/>
      <c r="J53" s="29"/>
    </row>
    <row r="54" spans="2:10" ht="88" customHeight="1" x14ac:dyDescent="0.25">
      <c r="B54" s="29"/>
      <c r="C54" s="884"/>
      <c r="D54" s="885"/>
      <c r="E54" s="885"/>
      <c r="F54" s="885"/>
      <c r="G54" s="885"/>
      <c r="H54" s="885"/>
      <c r="I54" s="886"/>
      <c r="J54" s="29"/>
    </row>
    <row r="55" spans="2:10" s="656" customFormat="1" ht="25.5" customHeight="1" x14ac:dyDescent="0.35">
      <c r="B55" s="546"/>
      <c r="C55" s="699" t="s">
        <v>180</v>
      </c>
      <c r="D55" s="694"/>
      <c r="E55" s="694"/>
      <c r="F55" s="694"/>
      <c r="G55" s="694"/>
      <c r="H55" s="694"/>
      <c r="I55" s="694"/>
      <c r="J55" s="546"/>
    </row>
    <row r="56" spans="2:10" ht="31.5" customHeight="1" x14ac:dyDescent="0.25">
      <c r="B56" s="29"/>
      <c r="C56" s="915" t="s">
        <v>181</v>
      </c>
      <c r="D56" s="915"/>
      <c r="E56" s="915"/>
      <c r="F56" s="915"/>
      <c r="G56" s="915"/>
      <c r="H56" s="915"/>
      <c r="I56" s="915"/>
      <c r="J56" s="29"/>
    </row>
    <row r="57" spans="2:10" ht="85" customHeight="1" x14ac:dyDescent="0.25">
      <c r="B57" s="29"/>
      <c r="C57" s="909"/>
      <c r="D57" s="910"/>
      <c r="E57" s="910"/>
      <c r="F57" s="910"/>
      <c r="G57" s="910"/>
      <c r="H57" s="910"/>
      <c r="I57" s="911"/>
      <c r="J57" s="29"/>
    </row>
    <row r="58" spans="2:10" ht="28.5" customHeight="1" x14ac:dyDescent="0.35">
      <c r="B58" s="29"/>
      <c r="C58" s="699" t="s">
        <v>182</v>
      </c>
      <c r="D58" s="683"/>
      <c r="E58" s="683"/>
      <c r="F58" s="683"/>
      <c r="G58" s="683"/>
      <c r="H58" s="683"/>
      <c r="I58" s="683"/>
      <c r="J58" s="29"/>
    </row>
    <row r="59" spans="2:10" ht="92.5" customHeight="1" thickBot="1" x14ac:dyDescent="0.3">
      <c r="B59" s="29"/>
      <c r="C59" s="892" t="s">
        <v>183</v>
      </c>
      <c r="D59" s="892"/>
      <c r="E59" s="892"/>
      <c r="F59" s="892"/>
      <c r="G59" s="892"/>
      <c r="H59" s="892"/>
      <c r="I59" s="892"/>
      <c r="J59" s="29"/>
    </row>
    <row r="60" spans="2:10" ht="40" customHeight="1" thickBot="1" x14ac:dyDescent="0.3">
      <c r="B60" s="29"/>
      <c r="C60" s="702" t="s">
        <v>184</v>
      </c>
      <c r="D60" s="703" t="s">
        <v>185</v>
      </c>
      <c r="E60" s="916" t="s">
        <v>186</v>
      </c>
      <c r="F60" s="916"/>
      <c r="G60" s="916"/>
      <c r="H60" s="916"/>
      <c r="I60" s="917"/>
      <c r="J60" s="29"/>
    </row>
    <row r="61" spans="2:10" ht="40" customHeight="1" x14ac:dyDescent="0.25">
      <c r="B61" s="29"/>
      <c r="C61" s="547"/>
      <c r="D61" s="548"/>
      <c r="E61" s="919"/>
      <c r="F61" s="919"/>
      <c r="G61" s="919"/>
      <c r="H61" s="919"/>
      <c r="I61" s="920"/>
      <c r="J61" s="29"/>
    </row>
    <row r="62" spans="2:10" ht="40" customHeight="1" x14ac:dyDescent="0.25">
      <c r="B62" s="29"/>
      <c r="C62" s="549"/>
      <c r="D62" s="704"/>
      <c r="E62" s="893"/>
      <c r="F62" s="893"/>
      <c r="G62" s="893"/>
      <c r="H62" s="893"/>
      <c r="I62" s="918"/>
      <c r="J62" s="29"/>
    </row>
    <row r="63" spans="2:10" ht="40" customHeight="1" x14ac:dyDescent="0.25">
      <c r="B63" s="29"/>
      <c r="C63" s="549"/>
      <c r="D63" s="704"/>
      <c r="E63" s="893"/>
      <c r="F63" s="893"/>
      <c r="G63" s="893"/>
      <c r="H63" s="893"/>
      <c r="I63" s="918"/>
      <c r="J63" s="29"/>
    </row>
    <row r="64" spans="2:10" ht="40" customHeight="1" x14ac:dyDescent="0.25">
      <c r="B64" s="29"/>
      <c r="C64" s="549"/>
      <c r="D64" s="704"/>
      <c r="E64" s="893"/>
      <c r="F64" s="893"/>
      <c r="G64" s="893"/>
      <c r="H64" s="893"/>
      <c r="I64" s="918"/>
      <c r="J64" s="29"/>
    </row>
    <row r="65" spans="2:10" ht="40" customHeight="1" x14ac:dyDescent="0.25">
      <c r="B65" s="29"/>
      <c r="C65" s="549"/>
      <c r="D65" s="704"/>
      <c r="E65" s="893"/>
      <c r="F65" s="893"/>
      <c r="G65" s="893"/>
      <c r="H65" s="893"/>
      <c r="I65" s="918"/>
      <c r="J65" s="29"/>
    </row>
    <row r="66" spans="2:10" ht="40" customHeight="1" x14ac:dyDescent="0.25">
      <c r="B66" s="29"/>
      <c r="C66" s="549"/>
      <c r="D66" s="704"/>
      <c r="E66" s="893"/>
      <c r="F66" s="893"/>
      <c r="G66" s="893"/>
      <c r="H66" s="893"/>
      <c r="I66" s="918"/>
      <c r="J66" s="29"/>
    </row>
    <row r="67" spans="2:10" ht="40" customHeight="1" x14ac:dyDescent="0.25">
      <c r="B67" s="29"/>
      <c r="C67" s="549"/>
      <c r="D67" s="704"/>
      <c r="E67" s="893"/>
      <c r="F67" s="893"/>
      <c r="G67" s="893"/>
      <c r="H67" s="893"/>
      <c r="I67" s="918"/>
      <c r="J67" s="29"/>
    </row>
    <row r="68" spans="2:10" ht="39.65" customHeight="1" thickBot="1" x14ac:dyDescent="0.3">
      <c r="B68" s="29"/>
      <c r="C68" s="550"/>
      <c r="D68" s="705"/>
      <c r="E68" s="913"/>
      <c r="F68" s="913"/>
      <c r="G68" s="913"/>
      <c r="H68" s="913"/>
      <c r="I68" s="914"/>
      <c r="J68" s="29"/>
    </row>
    <row r="69" spans="2:10" ht="29.15" customHeight="1" x14ac:dyDescent="0.3">
      <c r="B69" s="29"/>
      <c r="C69" s="691" t="s">
        <v>187</v>
      </c>
      <c r="D69" s="683"/>
      <c r="E69" s="683"/>
      <c r="F69" s="683"/>
      <c r="G69" s="683"/>
      <c r="H69" s="683"/>
      <c r="I69" s="683"/>
      <c r="J69" s="29"/>
    </row>
    <row r="70" spans="2:10" ht="95.15" customHeight="1" x14ac:dyDescent="0.25">
      <c r="B70" s="29"/>
      <c r="C70" s="892" t="s">
        <v>188</v>
      </c>
      <c r="D70" s="892"/>
      <c r="E70" s="892"/>
      <c r="F70" s="892"/>
      <c r="G70" s="892"/>
      <c r="H70" s="892"/>
      <c r="I70" s="892"/>
      <c r="J70" s="29"/>
    </row>
    <row r="71" spans="2:10" ht="112.5" customHeight="1" x14ac:dyDescent="0.25">
      <c r="B71" s="29"/>
      <c r="C71" s="899"/>
      <c r="D71" s="900"/>
      <c r="E71" s="900"/>
      <c r="F71" s="900"/>
      <c r="G71" s="900"/>
      <c r="H71" s="900"/>
      <c r="I71" s="901"/>
      <c r="J71" s="29"/>
    </row>
    <row r="72" spans="2:10" x14ac:dyDescent="0.25">
      <c r="B72" s="29"/>
      <c r="C72" s="659"/>
      <c r="D72" s="658"/>
      <c r="E72" s="658"/>
      <c r="F72" s="658"/>
      <c r="G72" s="658"/>
      <c r="H72" s="658"/>
      <c r="I72" s="658"/>
      <c r="J72" s="29"/>
    </row>
    <row r="73" spans="2:10" ht="16" thickBot="1" x14ac:dyDescent="0.3">
      <c r="B73" s="29"/>
      <c r="C73" s="682" t="s">
        <v>189</v>
      </c>
      <c r="D73" s="658"/>
      <c r="E73" s="658"/>
      <c r="F73" s="658"/>
      <c r="G73" s="658"/>
      <c r="H73" s="658"/>
      <c r="I73" s="658"/>
      <c r="J73" s="29"/>
    </row>
    <row r="74" spans="2:10" ht="41" thickBot="1" x14ac:dyDescent="0.3">
      <c r="B74" s="29"/>
      <c r="C74" s="700" t="s">
        <v>190</v>
      </c>
      <c r="D74" s="706" t="s">
        <v>191</v>
      </c>
      <c r="E74" s="707" t="s">
        <v>192</v>
      </c>
      <c r="F74" s="701" t="s">
        <v>193</v>
      </c>
      <c r="G74" s="706" t="s">
        <v>194</v>
      </c>
      <c r="H74" s="706" t="s">
        <v>195</v>
      </c>
      <c r="I74" s="658"/>
      <c r="J74" s="29"/>
    </row>
    <row r="75" spans="2:10" x14ac:dyDescent="0.25">
      <c r="B75" s="29"/>
      <c r="C75" s="902" t="s">
        <v>196</v>
      </c>
      <c r="D75" s="710" t="s">
        <v>197</v>
      </c>
      <c r="E75" s="161"/>
      <c r="F75" s="161"/>
      <c r="G75" s="162"/>
      <c r="H75" s="162"/>
      <c r="I75" s="658"/>
      <c r="J75" s="29"/>
    </row>
    <row r="76" spans="2:10" x14ac:dyDescent="0.25">
      <c r="B76" s="29"/>
      <c r="C76" s="903"/>
      <c r="D76" s="711" t="s">
        <v>198</v>
      </c>
      <c r="E76" s="163"/>
      <c r="F76" s="163"/>
      <c r="G76" s="162"/>
      <c r="H76" s="162"/>
      <c r="I76" s="658"/>
      <c r="J76" s="29"/>
    </row>
    <row r="77" spans="2:10" x14ac:dyDescent="0.25">
      <c r="B77" s="29"/>
      <c r="C77" s="904" t="s">
        <v>199</v>
      </c>
      <c r="D77" s="711" t="s">
        <v>200</v>
      </c>
      <c r="E77" s="161"/>
      <c r="F77" s="161"/>
      <c r="G77" s="162"/>
      <c r="H77" s="162"/>
      <c r="I77" s="658"/>
      <c r="J77" s="29"/>
    </row>
    <row r="78" spans="2:10" x14ac:dyDescent="0.25">
      <c r="B78" s="29"/>
      <c r="C78" s="902"/>
      <c r="D78" s="711" t="s">
        <v>201</v>
      </c>
      <c r="E78" s="163"/>
      <c r="F78" s="163"/>
      <c r="G78" s="162"/>
      <c r="H78" s="162"/>
      <c r="I78" s="658"/>
      <c r="J78" s="29"/>
    </row>
    <row r="79" spans="2:10" x14ac:dyDescent="0.25">
      <c r="B79" s="29"/>
      <c r="C79" s="902"/>
      <c r="D79" s="711" t="s">
        <v>202</v>
      </c>
      <c r="E79" s="161"/>
      <c r="F79" s="161"/>
      <c r="G79" s="162"/>
      <c r="H79" s="162"/>
      <c r="I79" s="658"/>
      <c r="J79" s="29"/>
    </row>
    <row r="80" spans="2:10" x14ac:dyDescent="0.25">
      <c r="B80" s="29"/>
      <c r="C80" s="903"/>
      <c r="D80" s="711" t="s">
        <v>203</v>
      </c>
      <c r="E80" s="163"/>
      <c r="F80" s="163"/>
      <c r="G80" s="162"/>
      <c r="H80" s="162"/>
      <c r="I80" s="658"/>
      <c r="J80" s="29"/>
    </row>
    <row r="81" spans="2:10" ht="22.5" customHeight="1" thickBot="1" x14ac:dyDescent="0.3">
      <c r="B81" s="29"/>
      <c r="C81" s="720" t="s">
        <v>204</v>
      </c>
      <c r="D81" s="721" t="s">
        <v>205</v>
      </c>
      <c r="E81" s="161"/>
      <c r="F81" s="161"/>
      <c r="G81" s="162"/>
      <c r="H81" s="162"/>
      <c r="I81" s="658"/>
      <c r="J81" s="29"/>
    </row>
    <row r="82" spans="2:10" ht="16" thickBot="1" x14ac:dyDescent="0.3">
      <c r="B82" s="29"/>
      <c r="C82" s="718"/>
      <c r="D82" s="719"/>
      <c r="E82" s="708"/>
      <c r="F82" s="708"/>
      <c r="G82" s="709"/>
      <c r="H82" s="709"/>
      <c r="I82" s="658"/>
      <c r="J82" s="29"/>
    </row>
    <row r="83" spans="2:10" x14ac:dyDescent="0.25">
      <c r="B83" s="29"/>
      <c r="C83" s="713" t="s">
        <v>206</v>
      </c>
      <c r="D83" s="714" t="s">
        <v>207</v>
      </c>
      <c r="E83" s="161"/>
      <c r="F83" s="161"/>
      <c r="G83" s="162"/>
      <c r="H83" s="658"/>
      <c r="I83" s="658"/>
      <c r="J83" s="29"/>
    </row>
    <row r="84" spans="2:10" x14ac:dyDescent="0.25">
      <c r="B84" s="29"/>
      <c r="C84" s="715" t="s">
        <v>208</v>
      </c>
      <c r="D84" s="711" t="s">
        <v>209</v>
      </c>
      <c r="E84" s="163"/>
      <c r="F84" s="163"/>
      <c r="G84" s="162"/>
      <c r="H84" s="658"/>
      <c r="I84" s="658"/>
      <c r="J84" s="29"/>
    </row>
    <row r="85" spans="2:10" x14ac:dyDescent="0.25">
      <c r="B85" s="29"/>
      <c r="C85" s="715" t="s">
        <v>210</v>
      </c>
      <c r="D85" s="712" t="s">
        <v>211</v>
      </c>
      <c r="E85" s="165"/>
      <c r="F85" s="165"/>
      <c r="G85" s="166"/>
      <c r="H85" s="658"/>
      <c r="I85" s="658"/>
      <c r="J85" s="29"/>
    </row>
    <row r="86" spans="2:10" x14ac:dyDescent="0.25">
      <c r="B86" s="29"/>
      <c r="C86" s="905" t="s">
        <v>212</v>
      </c>
      <c r="D86" s="716" t="s">
        <v>213</v>
      </c>
      <c r="E86" s="248"/>
      <c r="F86" s="249"/>
      <c r="G86" s="250"/>
      <c r="H86" s="658"/>
      <c r="I86" s="658"/>
      <c r="J86" s="29"/>
    </row>
    <row r="87" spans="2:10" x14ac:dyDescent="0.25">
      <c r="B87" s="29"/>
      <c r="C87" s="906"/>
      <c r="D87" s="716" t="s">
        <v>214</v>
      </c>
      <c r="E87" s="243"/>
      <c r="F87" s="167"/>
      <c r="G87" s="244"/>
      <c r="H87" s="658"/>
      <c r="I87" s="658"/>
      <c r="J87" s="29"/>
    </row>
    <row r="88" spans="2:10" x14ac:dyDescent="0.25">
      <c r="B88" s="29"/>
      <c r="C88" s="906"/>
      <c r="D88" s="716" t="s">
        <v>215</v>
      </c>
      <c r="E88" s="243"/>
      <c r="F88" s="167"/>
      <c r="G88" s="244"/>
      <c r="H88" s="658"/>
      <c r="I88" s="658"/>
      <c r="J88" s="29"/>
    </row>
    <row r="89" spans="2:10" x14ac:dyDescent="0.25">
      <c r="B89" s="29"/>
      <c r="C89" s="906"/>
      <c r="D89" s="716" t="s">
        <v>216</v>
      </c>
      <c r="E89" s="243"/>
      <c r="F89" s="167"/>
      <c r="G89" s="244"/>
      <c r="H89" s="658"/>
      <c r="I89" s="658"/>
      <c r="J89" s="29"/>
    </row>
    <row r="90" spans="2:10" ht="16" thickBot="1" x14ac:dyDescent="0.3">
      <c r="B90" s="29"/>
      <c r="C90" s="907"/>
      <c r="D90" s="717" t="s">
        <v>217</v>
      </c>
      <c r="E90" s="245"/>
      <c r="F90" s="246"/>
      <c r="G90" s="247"/>
      <c r="H90" s="658"/>
      <c r="I90" s="658"/>
      <c r="J90" s="29"/>
    </row>
    <row r="91" spans="2:10" ht="7.5" customHeight="1" x14ac:dyDescent="0.25">
      <c r="B91" s="29"/>
      <c r="C91" s="659"/>
      <c r="D91" s="658"/>
      <c r="E91" s="658"/>
      <c r="F91" s="658"/>
      <c r="G91" s="677">
        <f>SUM(G75:G90)</f>
        <v>0</v>
      </c>
      <c r="H91" s="658"/>
      <c r="I91" s="658"/>
      <c r="J91" s="29"/>
    </row>
    <row r="92" spans="2:10" ht="28" customHeight="1" x14ac:dyDescent="0.3">
      <c r="B92" s="29"/>
      <c r="C92" s="691" t="s">
        <v>218</v>
      </c>
      <c r="D92" s="683"/>
      <c r="E92" s="683"/>
      <c r="F92" s="683"/>
      <c r="G92" s="695"/>
      <c r="H92" s="683"/>
      <c r="I92" s="658"/>
      <c r="J92" s="29"/>
    </row>
    <row r="93" spans="2:10" ht="44.15" customHeight="1" x14ac:dyDescent="0.25">
      <c r="B93" s="29"/>
      <c r="C93" s="892" t="s">
        <v>219</v>
      </c>
      <c r="D93" s="892"/>
      <c r="E93" s="892"/>
      <c r="F93" s="892"/>
      <c r="G93" s="892"/>
      <c r="H93" s="892"/>
      <c r="I93" s="658"/>
      <c r="J93" s="29"/>
    </row>
    <row r="94" spans="2:10" ht="96" customHeight="1" x14ac:dyDescent="0.25">
      <c r="B94" s="29"/>
      <c r="C94" s="909"/>
      <c r="D94" s="910"/>
      <c r="E94" s="910"/>
      <c r="F94" s="910"/>
      <c r="G94" s="910"/>
      <c r="H94" s="910"/>
      <c r="I94" s="911"/>
      <c r="J94" s="29"/>
    </row>
    <row r="95" spans="2:10" x14ac:dyDescent="0.3">
      <c r="B95" s="29"/>
      <c r="C95" s="657"/>
      <c r="D95" s="657"/>
      <c r="E95" s="657"/>
      <c r="F95" s="657"/>
      <c r="G95" s="657"/>
      <c r="H95" s="657"/>
      <c r="I95" s="657"/>
      <c r="J95" s="29"/>
    </row>
    <row r="96" spans="2:10" ht="15.75" customHeight="1" x14ac:dyDescent="0.25">
      <c r="B96" s="29"/>
      <c r="C96" s="682" t="s">
        <v>220</v>
      </c>
      <c r="D96" s="683"/>
      <c r="E96" s="683"/>
      <c r="F96" s="683"/>
      <c r="G96" s="683"/>
      <c r="H96" s="683"/>
      <c r="I96" s="683"/>
      <c r="J96" s="29"/>
    </row>
    <row r="97" spans="2:10" ht="15.75" customHeight="1" x14ac:dyDescent="0.3">
      <c r="B97" s="29"/>
      <c r="C97" s="908" t="s">
        <v>221</v>
      </c>
      <c r="D97" s="908"/>
      <c r="E97" s="908"/>
      <c r="F97" s="908"/>
      <c r="G97" s="908"/>
      <c r="H97" s="908"/>
      <c r="I97" s="908"/>
      <c r="J97" s="29"/>
    </row>
    <row r="98" spans="2:10" ht="12.65" customHeight="1" x14ac:dyDescent="0.3">
      <c r="B98" s="29"/>
      <c r="C98" s="696"/>
      <c r="D98" s="697"/>
      <c r="E98" s="697"/>
      <c r="F98" s="697"/>
      <c r="G98" s="697"/>
      <c r="H98" s="697"/>
      <c r="I98" s="697"/>
      <c r="J98" s="29"/>
    </row>
    <row r="99" spans="2:10" ht="29.15" customHeight="1" x14ac:dyDescent="0.3">
      <c r="B99" s="29"/>
      <c r="C99" s="912" t="s">
        <v>222</v>
      </c>
      <c r="D99" s="912"/>
      <c r="E99" s="912"/>
      <c r="F99" s="912"/>
      <c r="G99" s="912"/>
      <c r="H99" s="912"/>
      <c r="I99" s="912"/>
      <c r="J99" s="29"/>
    </row>
    <row r="100" spans="2:10" x14ac:dyDescent="0.25">
      <c r="B100" s="29"/>
      <c r="C100" s="661"/>
      <c r="D100" s="665"/>
      <c r="E100" s="678"/>
      <c r="F100" s="168"/>
      <c r="G100" s="665"/>
      <c r="H100" s="898" t="str">
        <f ca="1">"© Salix "&amp;YEAR(NOW())</f>
        <v>© Salix 2024</v>
      </c>
      <c r="I100" s="898"/>
      <c r="J100" s="29"/>
    </row>
    <row r="101" spans="2:10" x14ac:dyDescent="0.3">
      <c r="B101" s="29"/>
      <c r="C101" s="722"/>
      <c r="D101" s="722"/>
      <c r="E101" s="722"/>
      <c r="F101" s="722"/>
      <c r="G101" s="722"/>
      <c r="H101" s="722"/>
      <c r="I101" s="722"/>
      <c r="J101" s="29"/>
    </row>
    <row r="102" spans="2:10" x14ac:dyDescent="0.25">
      <c r="B102" s="680"/>
      <c r="C102" s="681"/>
      <c r="D102" s="680"/>
      <c r="E102" s="680"/>
      <c r="F102" s="680"/>
      <c r="G102" s="680"/>
      <c r="H102" s="680"/>
      <c r="I102" s="680"/>
      <c r="J102" s="680"/>
    </row>
  </sheetData>
  <sheetProtection algorithmName="SHA-512" hashValue="rMzciw9FOqaMQVzvp+/tFJB8x17ueYvaMZ/p0u7BU0tFLkP/gzZnVQPbvRaEsLQwxu+dcoSX6JjqrH4o8K+nug==" saltValue="HIUrUDyOB8NhmeiS4Olt7w==" spinCount="100000" sheet="1" objects="1" scenarios="1"/>
  <mergeCells count="59">
    <mergeCell ref="D23:E23"/>
    <mergeCell ref="C6:I6"/>
    <mergeCell ref="D9:I9"/>
    <mergeCell ref="D11:I11"/>
    <mergeCell ref="D18:E18"/>
    <mergeCell ref="D19:E19"/>
    <mergeCell ref="D20:E20"/>
    <mergeCell ref="G18:H18"/>
    <mergeCell ref="G20:H20"/>
    <mergeCell ref="D21:E21"/>
    <mergeCell ref="D22:E22"/>
    <mergeCell ref="C53:I53"/>
    <mergeCell ref="D24:E24"/>
    <mergeCell ref="D25:E25"/>
    <mergeCell ref="C43:H44"/>
    <mergeCell ref="C45:I45"/>
    <mergeCell ref="C47:H47"/>
    <mergeCell ref="C48:I48"/>
    <mergeCell ref="G28:H28"/>
    <mergeCell ref="C37:I40"/>
    <mergeCell ref="C41:I41"/>
    <mergeCell ref="E68:I68"/>
    <mergeCell ref="C56:I56"/>
    <mergeCell ref="C57:I57"/>
    <mergeCell ref="C59:I59"/>
    <mergeCell ref="E60:I60"/>
    <mergeCell ref="E62:I62"/>
    <mergeCell ref="E63:I63"/>
    <mergeCell ref="E64:I64"/>
    <mergeCell ref="E65:I65"/>
    <mergeCell ref="E61:I61"/>
    <mergeCell ref="E67:I67"/>
    <mergeCell ref="E66:I66"/>
    <mergeCell ref="H100:I100"/>
    <mergeCell ref="C70:I70"/>
    <mergeCell ref="C71:I71"/>
    <mergeCell ref="C75:C76"/>
    <mergeCell ref="C77:C80"/>
    <mergeCell ref="C86:C90"/>
    <mergeCell ref="C97:I97"/>
    <mergeCell ref="C93:H93"/>
    <mergeCell ref="C94:I94"/>
    <mergeCell ref="C99:I99"/>
    <mergeCell ref="C3:G4"/>
    <mergeCell ref="C54:I54"/>
    <mergeCell ref="C33:I33"/>
    <mergeCell ref="C30:I30"/>
    <mergeCell ref="G22:H22"/>
    <mergeCell ref="C31:I32"/>
    <mergeCell ref="C51:I51"/>
    <mergeCell ref="C52:D52"/>
    <mergeCell ref="G16:H16"/>
    <mergeCell ref="G17:H17"/>
    <mergeCell ref="G24:H24"/>
    <mergeCell ref="G26:H26"/>
    <mergeCell ref="G36:H36"/>
    <mergeCell ref="G35:H35"/>
    <mergeCell ref="C50:I50"/>
    <mergeCell ref="C36:E36"/>
  </mergeCells>
  <conditionalFormatting sqref="D61:D68">
    <cfRule type="containsText" dxfId="92" priority="1" operator="containsText" text="High">
      <formula>NOT(ISERROR(SEARCH("High",D61)))</formula>
    </cfRule>
    <cfRule type="containsText" dxfId="91" priority="2" operator="containsText" text="Minor">
      <formula>NOT(ISERROR(SEARCH("Minor",D61)))</formula>
    </cfRule>
    <cfRule type="containsText" dxfId="90" priority="3" operator="containsText" text="Moderate">
      <formula>NOT(ISERROR(SEARCH("Moderate",D61)))</formula>
    </cfRule>
    <cfRule type="containsText" dxfId="89" priority="4" operator="containsText" text="Critical">
      <formula>NOT(ISERROR(SEARCH("Critical",D61)))</formula>
    </cfRule>
  </conditionalFormatting>
  <dataValidations count="3">
    <dataValidation allowBlank="1" showInputMessage="1" showErrorMessage="1" prompt="Atodwch dystiolaeth a dadansoddiad pellach o'r costau hyn" sqref="I18" xr:uid="{466D7E5E-989A-445B-AD45-A958420C6C3E}"/>
    <dataValidation type="list" allowBlank="1" showInputMessage="1" showErrorMessage="1" sqref="D61:D68" xr:uid="{6FB139D3-3A2E-453F-8A4B-031CAA0203C7}">
      <formula1>"Isel, Cymedrol, Uchel, Critigol"</formula1>
    </dataValidation>
    <dataValidation type="list" allowBlank="1" showInputMessage="1" showErrorMessage="1" sqref="H75:H81" xr:uid="{6C93BE15-08A4-4AB6-9A7B-9BCE6CB5E308}">
      <formula1>"Ydy, Nac ydy, Amherthnasol"</formula1>
    </dataValidation>
  </dataValidations>
  <pageMargins left="0.7" right="0.7" top="0.75" bottom="0.75" header="0.3" footer="0.3"/>
  <pageSetup paperSize="8" scale="75" fitToHeight="0" orientation="portrait" horizontalDpi="4294967294" r:id="rId1"/>
  <colBreaks count="1" manualBreakCount="1">
    <brk id="9" min="1" max="48" man="1"/>
  </colBreaks>
  <customProperties>
    <customPr name="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AA227-7E06-4581-95A7-8DC5C9EB479A}">
  <sheetPr>
    <tabColor rgb="FF2DAE76"/>
  </sheetPr>
  <dimension ref="B2:AS96"/>
  <sheetViews>
    <sheetView topLeftCell="C1" zoomScale="80" zoomScaleNormal="80" workbookViewId="0">
      <selection activeCell="Q30" sqref="Q30"/>
    </sheetView>
  </sheetViews>
  <sheetFormatPr defaultColWidth="9.1796875" defaultRowHeight="13.5" x14ac:dyDescent="0.25"/>
  <cols>
    <col min="1" max="1" width="2.1796875" style="753" customWidth="1"/>
    <col min="2" max="2" width="6.1796875" style="753" customWidth="1"/>
    <col min="3" max="3" width="43.26953125" style="753" customWidth="1"/>
    <col min="4" max="4" width="20.453125" style="753" customWidth="1"/>
    <col min="5" max="5" width="17.54296875" style="753" customWidth="1"/>
    <col min="6" max="6" width="22.1796875" style="753" customWidth="1"/>
    <col min="7" max="7" width="15.54296875" style="753" customWidth="1"/>
    <col min="8" max="8" width="11.453125" style="753" hidden="1" customWidth="1"/>
    <col min="9" max="9" width="14.7265625" style="753" hidden="1" customWidth="1"/>
    <col min="10" max="10" width="26.26953125" style="753" hidden="1" customWidth="1"/>
    <col min="11" max="11" width="35" style="753" hidden="1" customWidth="1"/>
    <col min="12" max="12" width="42.1796875" style="753" customWidth="1"/>
    <col min="13" max="13" width="48.7265625" style="753" customWidth="1"/>
    <col min="14" max="14" width="52.26953125" style="753" customWidth="1"/>
    <col min="15" max="15" width="28.7265625" style="753" bestFit="1" customWidth="1"/>
    <col min="16" max="16" width="16.81640625" style="753" hidden="1" customWidth="1"/>
    <col min="17" max="17" width="21.54296875" style="753" customWidth="1"/>
    <col min="18" max="18" width="28.36328125" style="753" bestFit="1" customWidth="1"/>
    <col min="19" max="19" width="11.453125" style="753" hidden="1" customWidth="1"/>
    <col min="20" max="20" width="21.453125" style="753" customWidth="1"/>
    <col min="21" max="21" width="19.81640625" style="753" bestFit="1" customWidth="1"/>
    <col min="22" max="22" width="23.81640625" style="753" customWidth="1"/>
    <col min="23" max="23" width="29.1796875" style="753" hidden="1" customWidth="1"/>
    <col min="24" max="24" width="11.453125" style="753" hidden="1" customWidth="1"/>
    <col min="25" max="25" width="16.81640625" style="753" hidden="1" customWidth="1"/>
    <col min="26" max="26" width="16.54296875" style="753" customWidth="1"/>
    <col min="27" max="27" width="16.54296875" style="753" hidden="1" customWidth="1"/>
    <col min="28" max="28" width="33.453125" style="753" customWidth="1"/>
    <col min="29" max="29" width="30.81640625" style="753" hidden="1" customWidth="1"/>
    <col min="30" max="30" width="12.1796875" style="753" hidden="1" customWidth="1"/>
    <col min="31" max="31" width="3.453125" style="753" customWidth="1"/>
    <col min="32" max="32" width="9.1796875" style="753"/>
    <col min="33" max="39" width="9.1796875" style="753" hidden="1" customWidth="1"/>
    <col min="40" max="40" width="54.54296875" style="753" hidden="1" customWidth="1"/>
    <col min="41" max="41" width="14.81640625" style="753" hidden="1" customWidth="1"/>
    <col min="42" max="42" width="15.54296875" style="753" hidden="1" customWidth="1"/>
    <col min="43" max="43" width="21" style="753" hidden="1" customWidth="1"/>
    <col min="44" max="44" width="17.1796875" style="753" hidden="1" customWidth="1"/>
    <col min="45" max="45" width="20.1796875" style="753" hidden="1" customWidth="1"/>
    <col min="46" max="16384" width="9.1796875" style="753"/>
  </cols>
  <sheetData>
    <row r="2" spans="2:45" ht="6.75" customHeight="1" x14ac:dyDescent="0.25">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row>
    <row r="3" spans="2:45" s="754" customFormat="1" ht="34.5" customHeight="1" x14ac:dyDescent="0.25">
      <c r="B3" s="594"/>
      <c r="C3" s="883" t="s">
        <v>223</v>
      </c>
      <c r="D3" s="883"/>
      <c r="E3" s="883"/>
      <c r="F3" s="883"/>
      <c r="G3" s="883"/>
      <c r="H3" s="593"/>
      <c r="I3" s="593"/>
      <c r="J3" s="593"/>
      <c r="K3" s="593"/>
      <c r="L3" s="594"/>
      <c r="M3" s="594"/>
      <c r="N3" s="594"/>
      <c r="O3" s="594"/>
      <c r="P3" s="594"/>
      <c r="Q3" s="594"/>
      <c r="R3" s="594"/>
      <c r="S3" s="594"/>
      <c r="T3" s="594"/>
      <c r="U3" s="594"/>
      <c r="V3" s="594"/>
      <c r="W3" s="594"/>
      <c r="X3" s="594"/>
      <c r="Y3" s="594"/>
      <c r="Z3" s="594"/>
      <c r="AA3" s="594"/>
      <c r="AB3" s="594"/>
      <c r="AC3" s="594"/>
      <c r="AD3" s="594"/>
      <c r="AE3" s="594"/>
      <c r="AF3" s="594"/>
    </row>
    <row r="4" spans="2:45" ht="16.5" hidden="1" customHeight="1" x14ac:dyDescent="0.6">
      <c r="B4" s="596"/>
      <c r="C4" s="883"/>
      <c r="D4" s="883"/>
      <c r="E4" s="883"/>
      <c r="F4" s="883"/>
      <c r="G4" s="883"/>
      <c r="H4" s="595"/>
      <c r="I4" s="595"/>
      <c r="J4" s="595"/>
      <c r="K4" s="595"/>
      <c r="L4" s="595"/>
      <c r="M4" s="595"/>
      <c r="N4" s="595"/>
      <c r="O4" s="595"/>
      <c r="P4" s="595"/>
      <c r="Q4" s="595"/>
      <c r="R4" s="595"/>
      <c r="S4" s="595"/>
      <c r="T4" s="595"/>
      <c r="U4" s="595"/>
      <c r="V4" s="595"/>
      <c r="W4" s="595"/>
      <c r="X4" s="595"/>
      <c r="Y4" s="595"/>
      <c r="Z4" s="595"/>
      <c r="AA4" s="595"/>
      <c r="AB4" s="596"/>
      <c r="AC4" s="596"/>
      <c r="AD4" s="596"/>
      <c r="AE4" s="596"/>
      <c r="AF4" s="596"/>
    </row>
    <row r="5" spans="2:45" ht="7.5" customHeight="1" x14ac:dyDescent="0.6">
      <c r="B5" s="596"/>
      <c r="C5" s="653"/>
      <c r="D5" s="653"/>
      <c r="E5" s="653"/>
      <c r="F5" s="653"/>
      <c r="G5" s="653"/>
      <c r="H5" s="653"/>
      <c r="I5" s="653"/>
      <c r="J5" s="653"/>
      <c r="K5" s="653"/>
      <c r="L5" s="653"/>
      <c r="M5" s="653"/>
      <c r="N5" s="653"/>
      <c r="O5" s="653"/>
      <c r="P5" s="653"/>
      <c r="Q5" s="653"/>
      <c r="R5" s="653"/>
      <c r="S5" s="653"/>
      <c r="T5" s="653"/>
      <c r="U5" s="653"/>
      <c r="V5" s="653"/>
      <c r="W5" s="559"/>
      <c r="X5" s="559"/>
      <c r="Y5" s="559"/>
      <c r="Z5" s="595"/>
      <c r="AA5" s="595"/>
      <c r="AB5" s="596"/>
      <c r="AC5" s="596"/>
      <c r="AD5" s="596"/>
      <c r="AE5" s="596"/>
      <c r="AF5" s="596"/>
    </row>
    <row r="6" spans="2:45" ht="199.5" customHeight="1" x14ac:dyDescent="0.25">
      <c r="B6" s="596"/>
      <c r="C6" s="948" t="s">
        <v>224</v>
      </c>
      <c r="D6" s="948"/>
      <c r="E6" s="948"/>
      <c r="F6" s="948"/>
      <c r="G6" s="948"/>
      <c r="H6" s="948"/>
      <c r="I6" s="948"/>
      <c r="J6" s="948"/>
      <c r="K6" s="948"/>
      <c r="L6" s="948"/>
      <c r="M6" s="948"/>
      <c r="N6" s="948"/>
      <c r="O6" s="596"/>
      <c r="P6" s="596"/>
      <c r="Q6" s="596"/>
      <c r="R6" s="596"/>
      <c r="S6" s="596"/>
      <c r="T6" s="596"/>
      <c r="U6" s="596"/>
      <c r="V6" s="596"/>
      <c r="W6" s="596"/>
      <c r="X6" s="596"/>
      <c r="Y6" s="596"/>
      <c r="Z6" s="596"/>
      <c r="AA6" s="596"/>
      <c r="AB6" s="596"/>
      <c r="AC6" s="596"/>
      <c r="AD6" s="596"/>
      <c r="AE6" s="596"/>
      <c r="AF6" s="596"/>
    </row>
    <row r="7" spans="2:45" x14ac:dyDescent="0.25">
      <c r="B7" s="596"/>
      <c r="C7" s="948"/>
      <c r="D7" s="948"/>
      <c r="E7" s="948"/>
      <c r="F7" s="948"/>
      <c r="G7" s="948"/>
      <c r="H7" s="948"/>
      <c r="I7" s="948"/>
      <c r="J7" s="948"/>
      <c r="K7" s="948"/>
      <c r="L7" s="948"/>
      <c r="M7" s="948"/>
      <c r="N7" s="948"/>
      <c r="O7" s="596"/>
      <c r="P7" s="596"/>
      <c r="Q7" s="596"/>
      <c r="R7" s="596"/>
      <c r="S7" s="596"/>
      <c r="T7" s="596"/>
      <c r="U7" s="596"/>
      <c r="V7" s="596"/>
      <c r="W7" s="596"/>
      <c r="X7" s="596"/>
      <c r="Y7" s="596"/>
      <c r="Z7" s="596"/>
      <c r="AA7" s="596"/>
      <c r="AB7" s="596"/>
      <c r="AC7" s="596"/>
      <c r="AD7" s="596"/>
      <c r="AE7" s="596"/>
      <c r="AF7" s="596"/>
      <c r="AN7" s="753" t="s">
        <v>225</v>
      </c>
      <c r="AO7" s="801">
        <f ca="1">TODAY()</f>
        <v>45490</v>
      </c>
    </row>
    <row r="8" spans="2:45" ht="57" customHeight="1" x14ac:dyDescent="0.25">
      <c r="B8" s="596"/>
      <c r="C8" s="948"/>
      <c r="D8" s="948"/>
      <c r="E8" s="948"/>
      <c r="F8" s="948"/>
      <c r="G8" s="948"/>
      <c r="H8" s="948"/>
      <c r="I8" s="948"/>
      <c r="J8" s="948"/>
      <c r="K8" s="948"/>
      <c r="L8" s="948"/>
      <c r="M8" s="948"/>
      <c r="N8" s="948"/>
      <c r="O8" s="596"/>
      <c r="P8" s="596"/>
      <c r="Q8" s="596"/>
      <c r="R8" s="596"/>
      <c r="S8" s="596"/>
      <c r="T8" s="596"/>
      <c r="U8" s="596"/>
      <c r="V8" s="596"/>
      <c r="W8" s="596"/>
      <c r="X8" s="596"/>
      <c r="Y8" s="596"/>
      <c r="Z8" s="596"/>
      <c r="AA8" s="596"/>
      <c r="AB8" s="596"/>
      <c r="AC8" s="596"/>
      <c r="AD8" s="596"/>
      <c r="AE8" s="596"/>
      <c r="AF8" s="596"/>
      <c r="AN8" s="753" t="s">
        <v>226</v>
      </c>
      <c r="AO8" s="753">
        <f ca="1">YEAR(TODAY())</f>
        <v>2024</v>
      </c>
    </row>
    <row r="9" spans="2:45" ht="24" customHeight="1" x14ac:dyDescent="0.25">
      <c r="B9" s="596"/>
      <c r="C9" s="761" t="s">
        <v>227</v>
      </c>
      <c r="D9" s="759"/>
      <c r="E9" s="759"/>
      <c r="F9" s="759"/>
      <c r="G9" s="759"/>
      <c r="H9" s="759"/>
      <c r="I9" s="759"/>
      <c r="J9" s="759"/>
      <c r="K9" s="759"/>
      <c r="L9" s="759"/>
      <c r="M9" s="759"/>
      <c r="N9" s="759"/>
      <c r="O9" s="596"/>
      <c r="P9" s="596"/>
      <c r="Q9" s="596"/>
      <c r="R9" s="596"/>
      <c r="S9" s="596"/>
      <c r="T9" s="596"/>
      <c r="U9" s="596"/>
      <c r="V9" s="596"/>
      <c r="W9" s="596"/>
      <c r="X9" s="596"/>
      <c r="Y9" s="596"/>
      <c r="Z9" s="596"/>
      <c r="AA9" s="596"/>
      <c r="AB9" s="596"/>
      <c r="AC9" s="596"/>
      <c r="AD9" s="596"/>
      <c r="AE9" s="596"/>
      <c r="AF9" s="596"/>
    </row>
    <row r="10" spans="2:45" ht="18" customHeight="1" x14ac:dyDescent="0.25">
      <c r="B10" s="596"/>
      <c r="C10" s="598"/>
      <c r="D10" s="599"/>
      <c r="E10" s="599"/>
      <c r="F10" s="599"/>
      <c r="G10" s="599"/>
      <c r="H10" s="599"/>
      <c r="I10" s="599"/>
      <c r="J10" s="599"/>
      <c r="K10" s="599"/>
      <c r="L10" s="599"/>
      <c r="M10" s="599"/>
      <c r="N10" s="599"/>
      <c r="O10" s="596"/>
      <c r="P10" s="596"/>
      <c r="Q10" s="596"/>
      <c r="R10" s="596"/>
      <c r="S10" s="596"/>
      <c r="T10" s="596"/>
      <c r="U10" s="596"/>
      <c r="V10" s="596"/>
      <c r="W10" s="596"/>
      <c r="X10" s="596"/>
      <c r="Y10" s="596"/>
      <c r="Z10" s="596"/>
      <c r="AA10" s="596"/>
      <c r="AB10" s="596"/>
      <c r="AC10" s="596"/>
      <c r="AD10" s="596"/>
      <c r="AE10" s="596"/>
      <c r="AF10" s="596"/>
      <c r="AN10" s="614" t="s">
        <v>228</v>
      </c>
      <c r="AO10" s="797">
        <f>'Business Case'!D13</f>
        <v>0</v>
      </c>
    </row>
    <row r="11" spans="2:45" ht="18" customHeight="1" x14ac:dyDescent="0.25">
      <c r="B11" s="596"/>
      <c r="C11" s="806" t="s">
        <v>229</v>
      </c>
      <c r="D11" s="602"/>
      <c r="E11" s="602"/>
      <c r="F11" s="602"/>
      <c r="G11" s="609"/>
      <c r="H11" s="607"/>
      <c r="I11" s="607"/>
      <c r="J11" s="607"/>
      <c r="K11" s="609"/>
      <c r="L11" s="596"/>
      <c r="M11" s="610"/>
      <c r="N11" s="743" t="str">
        <f>'Project Compliance Tool'!$P$65</f>
        <v/>
      </c>
      <c r="O11" s="601"/>
      <c r="P11" s="601"/>
      <c r="Q11" s="596"/>
      <c r="R11" s="596"/>
      <c r="S11" s="596"/>
      <c r="T11" s="596"/>
      <c r="U11" s="596"/>
      <c r="V11" s="596"/>
      <c r="W11" s="596"/>
      <c r="X11" s="596"/>
      <c r="Y11" s="596"/>
      <c r="Z11" s="596"/>
      <c r="AA11" s="596"/>
      <c r="AB11" s="596"/>
      <c r="AC11" s="596"/>
      <c r="AD11" s="596"/>
      <c r="AE11" s="596"/>
      <c r="AF11" s="596"/>
      <c r="AN11" s="791" t="s">
        <v>230</v>
      </c>
      <c r="AO11" s="780">
        <f>IF(N18="","",(SUMIF(Table145242[Hide],"&gt;0",Table145242[Hide])))</f>
        <v>0</v>
      </c>
    </row>
    <row r="12" spans="2:45" ht="18" customHeight="1" x14ac:dyDescent="0.25">
      <c r="B12" s="596"/>
      <c r="C12" s="806" t="s">
        <v>231</v>
      </c>
      <c r="D12" s="806"/>
      <c r="E12" s="811"/>
      <c r="F12" s="811"/>
      <c r="G12" s="811"/>
      <c r="H12" s="811"/>
      <c r="I12" s="811"/>
      <c r="J12" s="811"/>
      <c r="K12" s="811"/>
      <c r="L12" s="596"/>
      <c r="M12" s="599"/>
      <c r="N12" s="816" t="e">
        <f>ROUNDUP('Project Compliance Tool'!Q65,0)</f>
        <v>#VALUE!</v>
      </c>
      <c r="O12" s="596"/>
      <c r="P12" s="596"/>
      <c r="Q12" s="596"/>
      <c r="R12" s="596"/>
      <c r="S12" s="596"/>
      <c r="T12" s="596"/>
      <c r="U12" s="596"/>
      <c r="V12" s="596"/>
      <c r="W12" s="596"/>
      <c r="X12" s="596"/>
      <c r="Y12" s="596"/>
      <c r="Z12" s="596"/>
      <c r="AA12" s="596"/>
      <c r="AB12" s="596"/>
      <c r="AC12" s="596"/>
      <c r="AD12" s="596"/>
      <c r="AE12" s="596"/>
      <c r="AF12" s="596"/>
      <c r="AN12" s="787" t="s">
        <v>232</v>
      </c>
      <c r="AO12" s="779">
        <v>10</v>
      </c>
    </row>
    <row r="13" spans="2:45" ht="18" customHeight="1" x14ac:dyDescent="0.25">
      <c r="B13" s="596"/>
      <c r="C13" s="783"/>
      <c r="D13" s="599"/>
      <c r="E13" s="599"/>
      <c r="F13" s="599"/>
      <c r="G13" s="599"/>
      <c r="H13" s="599"/>
      <c r="I13" s="599"/>
      <c r="J13" s="599"/>
      <c r="K13" s="599"/>
      <c r="L13" s="596"/>
      <c r="M13" s="599"/>
      <c r="N13" s="599"/>
      <c r="O13" s="596"/>
      <c r="P13" s="596"/>
      <c r="Q13" s="596"/>
      <c r="R13" s="596"/>
      <c r="S13" s="596"/>
      <c r="T13" s="596"/>
      <c r="U13" s="596"/>
      <c r="V13" s="596"/>
      <c r="W13" s="596"/>
      <c r="X13" s="596"/>
      <c r="Y13" s="596"/>
      <c r="Z13" s="596"/>
      <c r="AA13" s="596"/>
      <c r="AB13" s="596"/>
      <c r="AC13" s="596"/>
      <c r="AD13" s="596"/>
      <c r="AE13" s="596"/>
      <c r="AF13" s="596"/>
      <c r="AN13" s="787" t="s">
        <v>233</v>
      </c>
      <c r="AO13" s="779">
        <v>2024</v>
      </c>
      <c r="AP13" s="805"/>
      <c r="AQ13" s="805"/>
      <c r="AR13" s="805"/>
      <c r="AS13" s="805"/>
    </row>
    <row r="14" spans="2:45" ht="18" customHeight="1" x14ac:dyDescent="0.25">
      <c r="B14" s="596"/>
      <c r="C14" s="650"/>
      <c r="D14" s="650"/>
      <c r="E14" s="650"/>
      <c r="F14" s="650"/>
      <c r="G14" s="650"/>
      <c r="H14" s="599"/>
      <c r="I14" s="599"/>
      <c r="J14" s="599"/>
      <c r="K14" s="599"/>
      <c r="L14" s="596"/>
      <c r="M14" s="599"/>
      <c r="N14" s="811">
        <v>4</v>
      </c>
      <c r="O14" s="596"/>
      <c r="P14" s="596"/>
      <c r="Q14" s="596"/>
      <c r="R14" s="596"/>
      <c r="S14" s="596"/>
      <c r="T14" s="596"/>
      <c r="U14" s="596"/>
      <c r="V14" s="596"/>
      <c r="W14" s="596"/>
      <c r="X14" s="596"/>
      <c r="Y14" s="596"/>
      <c r="Z14" s="596"/>
      <c r="AA14" s="596"/>
      <c r="AB14" s="596"/>
      <c r="AC14" s="596"/>
      <c r="AD14" s="596"/>
      <c r="AE14" s="596"/>
      <c r="AF14" s="596"/>
      <c r="AN14" s="788" t="s">
        <v>234</v>
      </c>
      <c r="AO14" s="784" t="str">
        <f>IF(N18="","",(IF(OR(AO28=3,AO28=4,AO28=5,AO28=6,AO28=7,AO28=8,AO28=9,AO28=10,AO28=11,AO28=12),AO32&amp;AO33&amp;AO35,AO32&amp;AO33&amp;AN27)))</f>
        <v>28/02/1900</v>
      </c>
      <c r="AP14" s="788" t="s">
        <v>235</v>
      </c>
      <c r="AQ14" s="804">
        <f>EDATE(AO14,12)</f>
        <v>425</v>
      </c>
      <c r="AR14" s="788" t="s">
        <v>236</v>
      </c>
      <c r="AS14" s="804">
        <f>EDATE(AQ14,12)</f>
        <v>790</v>
      </c>
    </row>
    <row r="15" spans="2:45" ht="18" customHeight="1" x14ac:dyDescent="0.25">
      <c r="B15" s="596"/>
      <c r="C15" s="602" t="s">
        <v>237</v>
      </c>
      <c r="D15" s="806"/>
      <c r="E15" s="806"/>
      <c r="F15" s="806"/>
      <c r="G15" s="651"/>
      <c r="H15" s="600"/>
      <c r="I15" s="600"/>
      <c r="J15" s="600"/>
      <c r="K15" s="560"/>
      <c r="L15" s="596"/>
      <c r="M15" s="596"/>
      <c r="N15" s="814"/>
      <c r="O15" s="812" t="str">
        <f>IF('Business Case'!D13="","Nodwch ddyddiad cyflwyno i'r tab achos busnes","")</f>
        <v>Nodwch ddyddiad cyflwyno i'r tab achos busnes</v>
      </c>
      <c r="P15" s="601"/>
      <c r="Q15" s="596"/>
      <c r="R15" s="596"/>
      <c r="S15" s="596"/>
      <c r="T15" s="596"/>
      <c r="U15" s="596"/>
      <c r="V15" s="596"/>
      <c r="W15" s="596"/>
      <c r="X15" s="596"/>
      <c r="Y15" s="596"/>
      <c r="Z15" s="596"/>
      <c r="AA15" s="596"/>
      <c r="AB15" s="596"/>
      <c r="AC15" s="596"/>
      <c r="AD15" s="596"/>
      <c r="AE15" s="596"/>
      <c r="AF15" s="596"/>
      <c r="AN15" s="788" t="s">
        <v>238</v>
      </c>
      <c r="AO15" s="784" t="str">
        <f>TEXT(D51,"DD/MM/YYYY")</f>
        <v>11/02/1900</v>
      </c>
      <c r="AP15" s="788" t="s">
        <v>239</v>
      </c>
      <c r="AQ15" s="804" t="str">
        <f ca="1">D52</f>
        <v>N/A</v>
      </c>
      <c r="AR15" s="788" t="s">
        <v>240</v>
      </c>
      <c r="AS15" s="804" t="str">
        <f ca="1">D53</f>
        <v>N/A</v>
      </c>
    </row>
    <row r="16" spans="2:45" ht="18" customHeight="1" x14ac:dyDescent="0.25">
      <c r="B16" s="596"/>
      <c r="C16" s="953" t="s">
        <v>241</v>
      </c>
      <c r="D16" s="953"/>
      <c r="E16" s="953"/>
      <c r="F16" s="953"/>
      <c r="G16" s="953"/>
      <c r="H16" s="953"/>
      <c r="I16" s="953"/>
      <c r="J16" s="953"/>
      <c r="K16" s="953"/>
      <c r="L16" s="953"/>
      <c r="M16" s="953"/>
      <c r="N16" s="561"/>
      <c r="O16" s="601"/>
      <c r="P16" s="601"/>
      <c r="Q16" s="596"/>
      <c r="R16" s="596"/>
      <c r="S16" s="596"/>
      <c r="T16" s="596"/>
      <c r="U16" s="596"/>
      <c r="V16" s="596"/>
      <c r="W16" s="596"/>
      <c r="X16" s="596"/>
      <c r="Y16" s="596"/>
      <c r="Z16" s="596"/>
      <c r="AA16" s="596"/>
      <c r="AB16" s="596"/>
      <c r="AC16" s="596"/>
      <c r="AD16" s="596"/>
      <c r="AE16" s="596"/>
      <c r="AF16" s="596"/>
      <c r="AN16" s="788" t="s">
        <v>242</v>
      </c>
      <c r="AO16" s="779">
        <f>IF(N18="","",(IF(OR(AO28=3,AO28=4,AO28=5,AO28=6,AO28=7,AO28=8,AO28=9,AO28=10,AO28=11,AO28=12),AN27,SUM(AN27-1))))</f>
        <v>1899</v>
      </c>
      <c r="AP16" s="788" t="s">
        <v>243</v>
      </c>
      <c r="AQ16" s="779" t="e">
        <f ca="1">12-AQ17</f>
        <v>#VALUE!</v>
      </c>
      <c r="AR16" s="788" t="s">
        <v>243</v>
      </c>
      <c r="AS16" s="779" t="e">
        <f ca="1">12-AS17</f>
        <v>#VALUE!</v>
      </c>
    </row>
    <row r="17" spans="2:45" ht="18" customHeight="1" x14ac:dyDescent="0.25">
      <c r="B17" s="596"/>
      <c r="C17" s="953"/>
      <c r="D17" s="953"/>
      <c r="E17" s="953"/>
      <c r="F17" s="953"/>
      <c r="G17" s="953"/>
      <c r="H17" s="953"/>
      <c r="I17" s="953"/>
      <c r="J17" s="953"/>
      <c r="K17" s="953"/>
      <c r="L17" s="953"/>
      <c r="M17" s="953"/>
      <c r="N17" s="562"/>
      <c r="O17" s="596"/>
      <c r="P17" s="596"/>
      <c r="Q17" s="596"/>
      <c r="R17" s="596"/>
      <c r="S17" s="596"/>
      <c r="T17" s="596"/>
      <c r="U17" s="596"/>
      <c r="V17" s="596"/>
      <c r="W17" s="596"/>
      <c r="X17" s="596"/>
      <c r="Y17" s="596"/>
      <c r="Z17" s="596"/>
      <c r="AA17" s="596"/>
      <c r="AB17" s="596"/>
      <c r="AC17" s="596"/>
      <c r="AD17" s="596"/>
      <c r="AE17" s="596"/>
      <c r="AF17" s="596"/>
      <c r="AN17" s="631"/>
      <c r="AO17" s="781"/>
      <c r="AP17" s="788" t="s">
        <v>244</v>
      </c>
      <c r="AQ17" s="779" t="e">
        <f ca="1">DATEDIF(AQ15,AQ14,"m")</f>
        <v>#VALUE!</v>
      </c>
      <c r="AR17" s="788" t="s">
        <v>244</v>
      </c>
      <c r="AS17" s="779" t="e">
        <f ca="1">DATEDIF(AS15,AS14,"m")</f>
        <v>#VALUE!</v>
      </c>
    </row>
    <row r="18" spans="2:45" ht="18" customHeight="1" x14ac:dyDescent="0.25">
      <c r="B18" s="596"/>
      <c r="C18" s="806" t="s">
        <v>245</v>
      </c>
      <c r="D18" s="806"/>
      <c r="E18" s="806"/>
      <c r="F18" s="806"/>
      <c r="G18" s="806"/>
      <c r="H18" s="600"/>
      <c r="I18" s="600"/>
      <c r="J18" s="600"/>
      <c r="K18" s="605"/>
      <c r="L18" s="596"/>
      <c r="M18" s="606"/>
      <c r="N18" s="743" t="str">
        <f>IFERROR(IF(N15=1,D49,(-PMT(D50,N15,D49,0,0))),"Nodwch hyd talu'r benthyciad yn ôl yn 1a.")</f>
        <v>Nodwch hyd talu'r benthyciad yn ôl yn 1a.</v>
      </c>
      <c r="O18" s="601"/>
      <c r="P18" s="601"/>
      <c r="Q18" s="596"/>
      <c r="R18" s="596"/>
      <c r="S18" s="596"/>
      <c r="T18" s="596"/>
      <c r="U18" s="596"/>
      <c r="V18" s="596"/>
      <c r="W18" s="596"/>
      <c r="X18" s="596"/>
      <c r="Y18" s="596"/>
      <c r="Z18" s="596"/>
      <c r="AA18" s="596"/>
      <c r="AB18" s="596"/>
      <c r="AC18" s="596"/>
      <c r="AD18" s="596"/>
      <c r="AE18" s="596"/>
      <c r="AF18" s="596"/>
      <c r="AN18" s="789" t="s">
        <v>246</v>
      </c>
      <c r="AO18" s="780" t="e">
        <f>IF(N18="","",((SUM(D49/12)*G50)*D50))</f>
        <v>#VALUE!</v>
      </c>
      <c r="AP18" s="753" t="s">
        <v>247</v>
      </c>
      <c r="AQ18" s="805" t="e">
        <f ca="1">(($N$31/12)*AQ16)*$D$50</f>
        <v>#VALUE!</v>
      </c>
      <c r="AR18" s="801" t="s">
        <v>247</v>
      </c>
      <c r="AS18" s="805" t="e">
        <f ca="1">((N31+N32)/12)*AS16*$D$50</f>
        <v>#VALUE!</v>
      </c>
    </row>
    <row r="19" spans="2:45" ht="18" customHeight="1" x14ac:dyDescent="0.25">
      <c r="B19" s="596"/>
      <c r="C19" s="807" t="s">
        <v>248</v>
      </c>
      <c r="D19" s="807"/>
      <c r="E19" s="807"/>
      <c r="F19" s="807"/>
      <c r="G19" s="806"/>
      <c r="H19" s="600"/>
      <c r="I19" s="600"/>
      <c r="J19" s="600"/>
      <c r="K19" s="605"/>
      <c r="L19" s="596"/>
      <c r="M19" s="606"/>
      <c r="N19" s="607"/>
      <c r="O19" s="601"/>
      <c r="P19" s="601"/>
      <c r="Q19" s="596"/>
      <c r="R19" s="596"/>
      <c r="S19" s="596"/>
      <c r="T19" s="596"/>
      <c r="U19" s="596"/>
      <c r="V19" s="596"/>
      <c r="W19" s="596"/>
      <c r="X19" s="596"/>
      <c r="Y19" s="596"/>
      <c r="Z19" s="596"/>
      <c r="AA19" s="596"/>
      <c r="AB19" s="596"/>
      <c r="AC19" s="596"/>
      <c r="AD19" s="596"/>
      <c r="AE19" s="596"/>
      <c r="AF19" s="596"/>
      <c r="AN19" s="789" t="s">
        <v>249</v>
      </c>
      <c r="AO19" s="780" t="e">
        <f>IF(N18="","",(SUM(AO20-AO18)))</f>
        <v>#VALUE!</v>
      </c>
      <c r="AP19" s="753" t="s">
        <v>250</v>
      </c>
      <c r="AQ19" s="805" t="e">
        <f ca="1">(($N$31+$N$32)/12)*AQ17*$D$50</f>
        <v>#VALUE!</v>
      </c>
      <c r="AR19" s="753" t="s">
        <v>250</v>
      </c>
      <c r="AS19" s="805" t="e">
        <f ca="1">((N31+N32+N33)/12)*AS17*$D$50</f>
        <v>#VALUE!</v>
      </c>
    </row>
    <row r="20" spans="2:45" ht="18" customHeight="1" x14ac:dyDescent="0.35">
      <c r="B20" s="596"/>
      <c r="C20" s="602"/>
      <c r="D20" s="602"/>
      <c r="E20" s="602"/>
      <c r="F20" s="602"/>
      <c r="G20" s="603"/>
      <c r="H20" s="607"/>
      <c r="I20" s="607"/>
      <c r="J20" s="607"/>
      <c r="K20" s="608"/>
      <c r="L20" s="596"/>
      <c r="M20" s="562"/>
      <c r="N20" s="607"/>
      <c r="O20" s="601"/>
      <c r="P20" s="601"/>
      <c r="Q20" s="596"/>
      <c r="R20" s="596"/>
      <c r="S20" s="596"/>
      <c r="T20" s="596"/>
      <c r="U20" s="596"/>
      <c r="V20" s="596"/>
      <c r="W20" s="596"/>
      <c r="X20" s="596"/>
      <c r="Y20" s="596"/>
      <c r="Z20" s="596"/>
      <c r="AA20" s="596"/>
      <c r="AB20" s="596"/>
      <c r="AC20" s="596"/>
      <c r="AD20" s="596"/>
      <c r="AE20" s="596"/>
      <c r="AF20" s="596"/>
      <c r="AN20" s="790" t="s">
        <v>251</v>
      </c>
      <c r="AO20" s="785">
        <f>IF(N18="","",(SUM(AC70:AC93)))</f>
        <v>0</v>
      </c>
      <c r="AP20" s="753" t="s">
        <v>252</v>
      </c>
      <c r="AQ20" s="805" t="e">
        <f ca="1">SUM(AQ18:AQ19)</f>
        <v>#VALUE!</v>
      </c>
      <c r="AR20" s="753" t="s">
        <v>252</v>
      </c>
      <c r="AS20" s="805" t="e">
        <f ca="1">SUM(AS18:AS19)</f>
        <v>#VALUE!</v>
      </c>
    </row>
    <row r="21" spans="2:45" ht="18" customHeight="1" x14ac:dyDescent="0.25">
      <c r="B21" s="752"/>
      <c r="C21" s="602"/>
      <c r="D21" s="602"/>
      <c r="E21" s="602"/>
      <c r="F21" s="602"/>
      <c r="G21" s="602"/>
      <c r="H21" s="607"/>
      <c r="I21" s="607"/>
      <c r="J21" s="607"/>
      <c r="K21" s="608"/>
      <c r="L21" s="596"/>
      <c r="M21" s="562"/>
      <c r="N21" s="601"/>
      <c r="O21" s="601"/>
      <c r="P21" s="601"/>
      <c r="Q21" s="596"/>
      <c r="R21" s="596"/>
      <c r="S21" s="596"/>
      <c r="T21" s="596"/>
      <c r="U21" s="596"/>
      <c r="V21" s="596"/>
      <c r="W21" s="596"/>
      <c r="X21" s="596"/>
      <c r="Y21" s="596"/>
      <c r="Z21" s="596"/>
      <c r="AA21" s="596"/>
      <c r="AB21" s="596"/>
      <c r="AC21" s="596"/>
      <c r="AD21" s="596"/>
      <c r="AE21" s="596"/>
      <c r="AF21" s="596"/>
      <c r="AN21" s="792" t="s">
        <v>253</v>
      </c>
      <c r="AO21" s="786">
        <f ca="1">IF(N18="","",(SUM(M60-AO11)))</f>
        <v>0</v>
      </c>
    </row>
    <row r="22" spans="2:45" ht="18" customHeight="1" x14ac:dyDescent="0.25">
      <c r="B22" s="752"/>
      <c r="C22" s="806" t="s">
        <v>254</v>
      </c>
      <c r="D22" s="806"/>
      <c r="E22" s="806"/>
      <c r="F22" s="806"/>
      <c r="G22" s="806"/>
      <c r="H22" s="600"/>
      <c r="I22" s="600"/>
      <c r="J22" s="600"/>
      <c r="K22" s="600"/>
      <c r="L22" s="596"/>
      <c r="M22" s="565"/>
      <c r="N22" s="564"/>
      <c r="O22" s="601"/>
      <c r="P22" s="601"/>
      <c r="Q22" s="596"/>
      <c r="R22" s="596"/>
      <c r="S22" s="596"/>
      <c r="T22" s="596"/>
      <c r="U22" s="596"/>
      <c r="V22" s="596"/>
      <c r="W22" s="596"/>
      <c r="X22" s="596"/>
      <c r="Y22" s="596"/>
      <c r="Z22" s="596"/>
      <c r="AA22" s="596"/>
      <c r="AB22" s="596"/>
      <c r="AC22" s="596"/>
      <c r="AD22" s="596"/>
      <c r="AE22" s="596"/>
      <c r="AF22" s="596"/>
      <c r="AN22" s="752" t="s">
        <v>256</v>
      </c>
      <c r="AO22" s="773" t="str">
        <f>IF(MONTH(D54)&lt;4,YEAR(D54)-1 &amp; "-" &amp; RIGHT(YEAR(D54),2),YEAR(D54) &amp; "-" &amp; RIGHT(YEAR(D54)+1,2))</f>
        <v>1899-00</v>
      </c>
    </row>
    <row r="23" spans="2:45" ht="18" customHeight="1" x14ac:dyDescent="0.25">
      <c r="B23" s="752"/>
      <c r="C23" s="953" t="s">
        <v>257</v>
      </c>
      <c r="D23" s="953"/>
      <c r="E23" s="953"/>
      <c r="F23" s="953"/>
      <c r="G23" s="652"/>
      <c r="H23" s="600"/>
      <c r="I23" s="600"/>
      <c r="J23" s="600"/>
      <c r="K23" s="600"/>
      <c r="L23" s="596"/>
      <c r="M23" s="563"/>
      <c r="N23" s="949" t="s">
        <v>258</v>
      </c>
      <c r="O23" s="601"/>
      <c r="P23" s="601"/>
      <c r="Q23" s="596"/>
      <c r="R23" s="596"/>
      <c r="S23" s="596"/>
      <c r="T23" s="596"/>
      <c r="U23" s="596"/>
      <c r="V23" s="596"/>
      <c r="W23" s="596"/>
      <c r="X23" s="596"/>
      <c r="Y23" s="596"/>
      <c r="Z23" s="596"/>
      <c r="AA23" s="596"/>
      <c r="AB23" s="596"/>
      <c r="AC23" s="596"/>
      <c r="AD23" s="596"/>
      <c r="AE23" s="596"/>
      <c r="AF23" s="596"/>
      <c r="AN23" s="752" t="s">
        <v>259</v>
      </c>
      <c r="AO23" s="772" t="str">
        <f>IF(AO22="2024-25","10",IF(AO22="2025-26","9",IF(AO22="2026-27","8",IF(AO22="2027-28","7","Input Project Complete Date"))))</f>
        <v>Input Project Complete Date</v>
      </c>
    </row>
    <row r="24" spans="2:45" ht="18" customHeight="1" x14ac:dyDescent="0.25">
      <c r="B24" s="752"/>
      <c r="C24" s="953"/>
      <c r="D24" s="953"/>
      <c r="E24" s="953"/>
      <c r="F24" s="953"/>
      <c r="G24" s="602"/>
      <c r="H24" s="607"/>
      <c r="I24" s="607"/>
      <c r="J24" s="607"/>
      <c r="K24" s="607"/>
      <c r="L24" s="596"/>
      <c r="M24" s="563"/>
      <c r="N24" s="950"/>
      <c r="O24" s="601"/>
      <c r="P24" s="601"/>
      <c r="Q24" s="596"/>
      <c r="R24" s="596"/>
      <c r="S24" s="596"/>
      <c r="T24" s="596"/>
      <c r="U24" s="596"/>
      <c r="V24" s="596"/>
      <c r="W24" s="596"/>
      <c r="X24" s="596"/>
      <c r="Y24" s="596"/>
      <c r="Z24" s="596"/>
      <c r="AA24" s="596"/>
      <c r="AB24" s="596"/>
      <c r="AC24" s="596"/>
      <c r="AD24" s="596"/>
      <c r="AE24" s="596"/>
      <c r="AF24" s="596"/>
      <c r="AN24" s="774" t="s">
        <v>259</v>
      </c>
      <c r="AO24" s="778" t="e">
        <f>VALUE(AO23)</f>
        <v>#VALUE!</v>
      </c>
    </row>
    <row r="25" spans="2:45" ht="18" customHeight="1" x14ac:dyDescent="0.25">
      <c r="B25" s="752"/>
      <c r="C25" s="602"/>
      <c r="D25" s="602"/>
      <c r="E25" s="602"/>
      <c r="F25" s="602"/>
      <c r="G25" s="602"/>
      <c r="H25" s="607"/>
      <c r="I25" s="607"/>
      <c r="J25" s="607"/>
      <c r="K25" s="607"/>
      <c r="L25" s="596"/>
      <c r="M25" s="563"/>
      <c r="N25" s="950"/>
      <c r="O25" s="601"/>
      <c r="P25" s="601"/>
      <c r="Q25" s="596"/>
      <c r="R25" s="596"/>
      <c r="S25" s="596"/>
      <c r="T25" s="596"/>
      <c r="U25" s="596"/>
      <c r="V25" s="596"/>
      <c r="W25" s="596"/>
      <c r="X25" s="596"/>
      <c r="Y25" s="596"/>
      <c r="Z25" s="596"/>
      <c r="AA25" s="596"/>
      <c r="AB25" s="596"/>
      <c r="AC25" s="596"/>
      <c r="AD25" s="596"/>
      <c r="AE25" s="596"/>
      <c r="AF25" s="596"/>
      <c r="AN25" s="774" t="s">
        <v>260</v>
      </c>
      <c r="AO25" s="778">
        <f>YEAR(D54)</f>
        <v>1900</v>
      </c>
    </row>
    <row r="26" spans="2:45" ht="18" customHeight="1" x14ac:dyDescent="0.25">
      <c r="B26" s="752"/>
      <c r="C26" s="602"/>
      <c r="D26" s="602"/>
      <c r="E26" s="602"/>
      <c r="F26" s="602"/>
      <c r="G26" s="602"/>
      <c r="H26" s="607"/>
      <c r="I26" s="607"/>
      <c r="J26" s="607"/>
      <c r="K26" s="607"/>
      <c r="L26" s="596"/>
      <c r="M26" s="563"/>
      <c r="N26" s="951"/>
      <c r="O26" s="601"/>
      <c r="P26" s="601"/>
      <c r="Q26" s="596"/>
      <c r="R26" s="596"/>
      <c r="S26" s="596"/>
      <c r="T26" s="596"/>
      <c r="U26" s="596"/>
      <c r="V26" s="596"/>
      <c r="W26" s="596"/>
      <c r="X26" s="596"/>
      <c r="Y26" s="596"/>
      <c r="Z26" s="596"/>
      <c r="AA26" s="596"/>
      <c r="AB26" s="596"/>
      <c r="AC26" s="596"/>
      <c r="AD26" s="596"/>
      <c r="AE26" s="596"/>
      <c r="AF26" s="596"/>
      <c r="AN26" s="775" t="s">
        <v>261</v>
      </c>
      <c r="AO26" s="778" t="str">
        <f>TRIM(AO25)</f>
        <v>1900</v>
      </c>
    </row>
    <row r="27" spans="2:45" ht="18" customHeight="1" x14ac:dyDescent="0.25">
      <c r="B27" s="752"/>
      <c r="C27" s="602"/>
      <c r="D27" s="602"/>
      <c r="E27" s="602"/>
      <c r="F27" s="602"/>
      <c r="G27" s="602"/>
      <c r="H27" s="607"/>
      <c r="I27" s="607"/>
      <c r="J27" s="607"/>
      <c r="K27" s="607"/>
      <c r="L27" s="596"/>
      <c r="M27" s="563"/>
      <c r="N27" s="799"/>
      <c r="O27" s="601"/>
      <c r="P27" s="601"/>
      <c r="Q27" s="596"/>
      <c r="R27" s="596"/>
      <c r="S27" s="596"/>
      <c r="T27" s="596"/>
      <c r="U27" s="596"/>
      <c r="V27" s="596"/>
      <c r="W27" s="596"/>
      <c r="X27" s="596"/>
      <c r="Y27" s="596"/>
      <c r="Z27" s="596"/>
      <c r="AA27" s="596"/>
      <c r="AB27" s="596"/>
      <c r="AC27" s="596"/>
      <c r="AD27" s="596"/>
      <c r="AE27" s="596"/>
      <c r="AF27" s="596"/>
      <c r="AN27" s="776" t="str">
        <f>TRIM(AO27)</f>
        <v>1900</v>
      </c>
      <c r="AO27" s="778" t="str">
        <f>RIGHT(AO15,4)</f>
        <v>1900</v>
      </c>
    </row>
    <row r="28" spans="2:45" ht="18" customHeight="1" x14ac:dyDescent="0.25">
      <c r="B28" s="752"/>
      <c r="C28" s="946" t="s">
        <v>262</v>
      </c>
      <c r="D28" s="946"/>
      <c r="E28" s="946"/>
      <c r="F28" s="946"/>
      <c r="G28" s="652"/>
      <c r="H28" s="607"/>
      <c r="I28" s="607"/>
      <c r="J28" s="607"/>
      <c r="K28" s="607"/>
      <c r="L28" s="596"/>
      <c r="M28" s="563"/>
      <c r="N28" s="564"/>
      <c r="O28" s="601"/>
      <c r="P28" s="601"/>
      <c r="Q28" s="596"/>
      <c r="R28" s="596"/>
      <c r="S28" s="596"/>
      <c r="T28" s="596"/>
      <c r="U28" s="596"/>
      <c r="V28" s="596"/>
      <c r="W28" s="596"/>
      <c r="X28" s="596"/>
      <c r="Y28" s="596"/>
      <c r="Z28" s="596"/>
      <c r="AA28" s="596"/>
      <c r="AB28" s="596"/>
      <c r="AC28" s="596"/>
      <c r="AD28" s="596"/>
      <c r="AE28" s="596"/>
      <c r="AF28" s="596"/>
      <c r="AN28" s="775" t="s">
        <v>263</v>
      </c>
      <c r="AO28" s="778">
        <f>MONTH(D51)</f>
        <v>2</v>
      </c>
    </row>
    <row r="29" spans="2:45" ht="18" customHeight="1" x14ac:dyDescent="0.25">
      <c r="B29" s="752"/>
      <c r="C29" s="946" t="s">
        <v>264</v>
      </c>
      <c r="D29" s="946"/>
      <c r="E29" s="946"/>
      <c r="F29" s="946"/>
      <c r="G29" s="946"/>
      <c r="H29" s="607"/>
      <c r="I29" s="607"/>
      <c r="J29" s="607"/>
      <c r="K29" s="607"/>
      <c r="L29" s="596"/>
      <c r="M29" s="563"/>
      <c r="N29" s="799"/>
      <c r="O29" s="601"/>
      <c r="P29" s="601"/>
      <c r="Q29" s="596"/>
      <c r="R29" s="596"/>
      <c r="S29" s="596"/>
      <c r="T29" s="596"/>
      <c r="U29" s="596"/>
      <c r="V29" s="596"/>
      <c r="W29" s="596"/>
      <c r="X29" s="596"/>
      <c r="Y29" s="596"/>
      <c r="Z29" s="596"/>
      <c r="AA29" s="596"/>
      <c r="AB29" s="596"/>
      <c r="AC29" s="596"/>
      <c r="AD29" s="596"/>
      <c r="AE29" s="596"/>
      <c r="AF29" s="596"/>
      <c r="AN29" s="775" t="s">
        <v>265</v>
      </c>
      <c r="AO29" s="778" t="str">
        <f>IFERROR(IF(OR(N66=11,N66=12),AO26+1,AO26),"")</f>
        <v>1900</v>
      </c>
    </row>
    <row r="30" spans="2:45" ht="25" customHeight="1" x14ac:dyDescent="0.25">
      <c r="B30" s="752"/>
      <c r="C30" s="602"/>
      <c r="D30" s="602"/>
      <c r="E30" s="607"/>
      <c r="F30" s="596"/>
      <c r="G30" s="596"/>
      <c r="H30" s="607"/>
      <c r="I30" s="596"/>
      <c r="J30" s="596"/>
      <c r="K30" s="596"/>
      <c r="L30" s="809" t="s">
        <v>266</v>
      </c>
      <c r="M30" s="809" t="s">
        <v>267</v>
      </c>
      <c r="N30" s="809" t="s">
        <v>268</v>
      </c>
      <c r="O30" s="601"/>
      <c r="P30" s="601"/>
      <c r="Q30" s="596"/>
      <c r="R30" s="596"/>
      <c r="S30" s="596"/>
      <c r="T30" s="596"/>
      <c r="U30" s="596"/>
      <c r="V30" s="596"/>
      <c r="W30" s="596"/>
      <c r="X30" s="596"/>
      <c r="Y30" s="596"/>
      <c r="Z30" s="596"/>
      <c r="AA30" s="596"/>
      <c r="AB30" s="596"/>
      <c r="AC30" s="596"/>
      <c r="AD30" s="596"/>
      <c r="AE30" s="596"/>
      <c r="AF30" s="596"/>
      <c r="AN30" s="775" t="s">
        <v>269</v>
      </c>
      <c r="AO30" s="778" t="str">
        <f>IFERROR(IF(OR(N66=5,N66=6,N66=7,N66=8,N66=9,N66=10),N61,N60),"")</f>
        <v>April</v>
      </c>
    </row>
    <row r="31" spans="2:45" ht="30.65" customHeight="1" x14ac:dyDescent="0.25">
      <c r="B31" s="752"/>
      <c r="C31" s="602"/>
      <c r="D31" s="602"/>
      <c r="E31" s="596"/>
      <c r="F31" s="596"/>
      <c r="G31" s="810" t="s">
        <v>270</v>
      </c>
      <c r="H31" s="607"/>
      <c r="I31" s="596"/>
      <c r="J31" s="596"/>
      <c r="K31" s="596"/>
      <c r="L31" s="821" t="s">
        <v>255</v>
      </c>
      <c r="M31" s="813">
        <f>IFERROR(D51,"")</f>
        <v>42</v>
      </c>
      <c r="N31" s="800"/>
      <c r="O31" s="601"/>
      <c r="P31" s="601"/>
      <c r="Q31" s="596"/>
      <c r="R31" s="596"/>
      <c r="S31" s="596"/>
      <c r="T31" s="596"/>
      <c r="U31" s="596"/>
      <c r="V31" s="596"/>
      <c r="W31" s="596"/>
      <c r="X31" s="596"/>
      <c r="Y31" s="596"/>
      <c r="Z31" s="596"/>
      <c r="AA31" s="596"/>
      <c r="AB31" s="596"/>
      <c r="AC31" s="596"/>
      <c r="AD31" s="596"/>
      <c r="AE31" s="596"/>
      <c r="AF31" s="596"/>
      <c r="AN31" s="775" t="s">
        <v>271</v>
      </c>
      <c r="AO31" s="779" t="s">
        <v>272</v>
      </c>
    </row>
    <row r="32" spans="2:45" ht="33" customHeight="1" x14ac:dyDescent="0.25">
      <c r="B32" s="752"/>
      <c r="C32" s="602"/>
      <c r="D32" s="602"/>
      <c r="E32" s="596"/>
      <c r="F32" s="596"/>
      <c r="G32" s="810" t="s">
        <v>273</v>
      </c>
      <c r="H32" s="607"/>
      <c r="I32" s="596"/>
      <c r="J32" s="596"/>
      <c r="K32" s="596"/>
      <c r="L32" s="564"/>
      <c r="M32" s="564"/>
      <c r="N32" s="800"/>
      <c r="O32" s="601"/>
      <c r="P32" s="601"/>
      <c r="Q32" s="596"/>
      <c r="R32" s="596"/>
      <c r="S32" s="596"/>
      <c r="T32" s="596"/>
      <c r="U32" s="596"/>
      <c r="V32" s="596"/>
      <c r="W32" s="596"/>
      <c r="X32" s="596"/>
      <c r="Y32" s="596"/>
      <c r="Z32" s="596"/>
      <c r="AA32" s="596"/>
      <c r="AB32" s="596"/>
      <c r="AC32" s="596"/>
      <c r="AD32" s="596"/>
      <c r="AE32" s="596"/>
      <c r="AF32" s="596"/>
      <c r="AN32" s="775" t="s">
        <v>271</v>
      </c>
      <c r="AO32" s="780" t="s">
        <v>272</v>
      </c>
    </row>
    <row r="33" spans="2:42" ht="30.65" customHeight="1" x14ac:dyDescent="0.25">
      <c r="B33" s="752"/>
      <c r="C33" s="602"/>
      <c r="D33" s="602"/>
      <c r="E33" s="596"/>
      <c r="F33" s="596"/>
      <c r="G33" s="810" t="s">
        <v>274</v>
      </c>
      <c r="H33" s="607"/>
      <c r="I33" s="596"/>
      <c r="J33" s="596"/>
      <c r="K33" s="596"/>
      <c r="L33" s="564"/>
      <c r="M33" s="564"/>
      <c r="N33" s="800"/>
      <c r="O33" s="601"/>
      <c r="P33" s="601"/>
      <c r="Q33" s="596"/>
      <c r="R33" s="596"/>
      <c r="S33" s="596"/>
      <c r="T33" s="596"/>
      <c r="U33" s="596"/>
      <c r="V33" s="596"/>
      <c r="W33" s="596"/>
      <c r="X33" s="596"/>
      <c r="Y33" s="596"/>
      <c r="Z33" s="596"/>
      <c r="AA33" s="596"/>
      <c r="AB33" s="596"/>
      <c r="AC33" s="596"/>
      <c r="AD33" s="596"/>
      <c r="AE33" s="596"/>
      <c r="AF33" s="596"/>
      <c r="AN33" s="775" t="s">
        <v>271</v>
      </c>
      <c r="AO33" s="781" t="s">
        <v>275</v>
      </c>
    </row>
    <row r="34" spans="2:42" ht="25" customHeight="1" x14ac:dyDescent="0.25">
      <c r="B34" s="752"/>
      <c r="C34" s="602"/>
      <c r="D34" s="602"/>
      <c r="E34" s="602"/>
      <c r="F34" s="602"/>
      <c r="G34" s="602"/>
      <c r="H34" s="607"/>
      <c r="I34" s="607"/>
      <c r="J34" s="607"/>
      <c r="K34" s="607"/>
      <c r="L34" s="596"/>
      <c r="M34" s="563"/>
      <c r="N34" s="803" t="str">
        <f>D49</f>
        <v/>
      </c>
      <c r="O34" s="812" t="str">
        <f>IFERROR(IF(AND(N34&lt;&gt;SUM(N31:N33),N28="Nac ydy"),"Rhowch symiau tynnu i lawr sy'n adio i gyfanswm gwerth y benthyciad y gofynnwyd amdano",""),"")</f>
        <v/>
      </c>
      <c r="P34" s="601"/>
      <c r="Q34" s="596"/>
      <c r="R34" s="596"/>
      <c r="S34" s="596"/>
      <c r="T34" s="596"/>
      <c r="U34" s="596"/>
      <c r="V34" s="596"/>
      <c r="W34" s="596"/>
      <c r="X34" s="596"/>
      <c r="Y34" s="596"/>
      <c r="Z34" s="596"/>
      <c r="AA34" s="596"/>
      <c r="AB34" s="596"/>
      <c r="AC34" s="596"/>
      <c r="AD34" s="596"/>
      <c r="AE34" s="596"/>
      <c r="AF34" s="596"/>
      <c r="AN34" s="775" t="s">
        <v>276</v>
      </c>
      <c r="AO34" s="782">
        <f>SUM(AN27-1)</f>
        <v>1899</v>
      </c>
    </row>
    <row r="35" spans="2:42" ht="18" customHeight="1" x14ac:dyDescent="0.25">
      <c r="B35" s="752"/>
      <c r="C35" s="946" t="s">
        <v>277</v>
      </c>
      <c r="D35" s="946"/>
      <c r="E35" s="946"/>
      <c r="F35" s="946"/>
      <c r="G35" s="946"/>
      <c r="H35" s="600"/>
      <c r="I35" s="600"/>
      <c r="J35" s="600"/>
      <c r="K35" s="600"/>
      <c r="L35" s="611"/>
      <c r="M35" s="563"/>
      <c r="N35" s="563"/>
      <c r="O35" s="601"/>
      <c r="P35" s="601"/>
      <c r="Q35" s="596"/>
      <c r="R35" s="596"/>
      <c r="S35" s="596"/>
      <c r="T35" s="596"/>
      <c r="U35" s="596"/>
      <c r="V35" s="596"/>
      <c r="W35" s="596"/>
      <c r="X35" s="596"/>
      <c r="Y35" s="596"/>
      <c r="Z35" s="596"/>
      <c r="AA35" s="596"/>
      <c r="AB35" s="596"/>
      <c r="AC35" s="596"/>
      <c r="AD35" s="596"/>
      <c r="AE35" s="596"/>
      <c r="AF35" s="596"/>
      <c r="AN35" s="775" t="s">
        <v>278</v>
      </c>
      <c r="AO35" s="782">
        <f>AN27+1</f>
        <v>1901</v>
      </c>
    </row>
    <row r="36" spans="2:42" ht="14.25" customHeight="1" x14ac:dyDescent="0.25">
      <c r="B36" s="596"/>
      <c r="C36" s="952" t="s">
        <v>279</v>
      </c>
      <c r="D36" s="952"/>
      <c r="E36" s="952"/>
      <c r="F36" s="952"/>
      <c r="G36" s="952"/>
      <c r="H36" s="952"/>
      <c r="I36" s="952"/>
      <c r="J36" s="952"/>
      <c r="K36" s="952"/>
      <c r="L36" s="952"/>
      <c r="M36" s="612"/>
      <c r="N36" s="612"/>
      <c r="O36" s="596"/>
      <c r="P36" s="596"/>
      <c r="Q36" s="596"/>
      <c r="R36" s="596"/>
      <c r="S36" s="596"/>
      <c r="T36" s="596"/>
      <c r="U36" s="596"/>
      <c r="V36" s="596"/>
      <c r="W36" s="596"/>
      <c r="X36" s="596"/>
      <c r="Y36" s="596"/>
      <c r="Z36" s="596"/>
      <c r="AA36" s="596"/>
      <c r="AB36" s="596"/>
      <c r="AC36" s="596"/>
      <c r="AD36" s="596"/>
      <c r="AE36" s="596"/>
      <c r="AF36" s="596"/>
      <c r="AN36" s="777" t="s">
        <v>271</v>
      </c>
      <c r="AO36" s="773" t="s">
        <v>280</v>
      </c>
    </row>
    <row r="37" spans="2:42" ht="60.75" customHeight="1" x14ac:dyDescent="0.25">
      <c r="B37" s="596"/>
      <c r="C37" s="952"/>
      <c r="D37" s="952"/>
      <c r="E37" s="952"/>
      <c r="F37" s="952"/>
      <c r="G37" s="952"/>
      <c r="H37" s="952"/>
      <c r="I37" s="952"/>
      <c r="J37" s="952"/>
      <c r="K37" s="952"/>
      <c r="L37" s="952"/>
      <c r="M37" s="612"/>
      <c r="N37" s="612"/>
      <c r="O37" s="596"/>
      <c r="P37" s="596"/>
      <c r="Q37" s="596"/>
      <c r="R37" s="596"/>
      <c r="S37" s="596"/>
      <c r="T37" s="596"/>
      <c r="U37" s="596"/>
      <c r="V37" s="596"/>
      <c r="W37" s="596"/>
      <c r="X37" s="596"/>
      <c r="Y37" s="596"/>
      <c r="Z37" s="596"/>
      <c r="AA37" s="596"/>
      <c r="AB37" s="596"/>
      <c r="AC37" s="596"/>
      <c r="AD37" s="596"/>
      <c r="AE37" s="596"/>
      <c r="AF37" s="596"/>
      <c r="AN37" s="789" t="s">
        <v>251</v>
      </c>
      <c r="AO37" s="795" t="str">
        <f>IF(N15="","",(SUM(AC70:AC93)))</f>
        <v/>
      </c>
    </row>
    <row r="38" spans="2:42" ht="15" customHeight="1" x14ac:dyDescent="0.25">
      <c r="B38" s="596"/>
      <c r="C38" s="613"/>
      <c r="D38" s="613"/>
      <c r="E38" s="613"/>
      <c r="F38" s="613"/>
      <c r="G38" s="613"/>
      <c r="H38" s="614"/>
      <c r="I38" s="614"/>
      <c r="J38" s="614"/>
      <c r="K38" s="614"/>
      <c r="L38" s="614"/>
      <c r="M38" s="604"/>
      <c r="N38" s="604"/>
      <c r="O38" s="596"/>
      <c r="P38" s="596"/>
      <c r="Q38" s="596"/>
      <c r="R38" s="596"/>
      <c r="S38" s="596"/>
      <c r="T38" s="596"/>
      <c r="U38" s="596"/>
      <c r="V38" s="596"/>
      <c r="W38" s="596"/>
      <c r="X38" s="596"/>
      <c r="Y38" s="596"/>
      <c r="Z38" s="596"/>
      <c r="AA38" s="596"/>
      <c r="AB38" s="596"/>
      <c r="AC38" s="596"/>
      <c r="AD38" s="596"/>
      <c r="AE38" s="596"/>
      <c r="AF38" s="596"/>
    </row>
    <row r="39" spans="2:42" x14ac:dyDescent="0.25">
      <c r="B39" s="597"/>
      <c r="C39" s="940"/>
      <c r="D39" s="940"/>
      <c r="E39" s="940"/>
      <c r="F39" s="940"/>
      <c r="G39" s="940"/>
      <c r="H39" s="940"/>
      <c r="I39" s="940"/>
      <c r="J39" s="940"/>
      <c r="K39" s="940"/>
      <c r="L39" s="941"/>
      <c r="M39" s="617"/>
      <c r="N39" s="615"/>
      <c r="O39" s="616"/>
      <c r="P39" s="616"/>
      <c r="Q39" s="616"/>
      <c r="R39" s="616"/>
      <c r="S39" s="596"/>
      <c r="T39" s="596"/>
      <c r="U39" s="596"/>
      <c r="V39" s="596"/>
      <c r="W39" s="596"/>
      <c r="X39" s="596"/>
      <c r="Y39" s="596"/>
      <c r="Z39" s="596"/>
      <c r="AA39" s="596"/>
      <c r="AB39" s="596"/>
      <c r="AC39" s="596"/>
      <c r="AD39" s="596"/>
      <c r="AE39" s="596"/>
      <c r="AF39" s="596"/>
    </row>
    <row r="40" spans="2:42" x14ac:dyDescent="0.25">
      <c r="B40" s="597"/>
      <c r="C40" s="942"/>
      <c r="D40" s="942"/>
      <c r="E40" s="942"/>
      <c r="F40" s="942"/>
      <c r="G40" s="942"/>
      <c r="H40" s="942"/>
      <c r="I40" s="942"/>
      <c r="J40" s="942"/>
      <c r="K40" s="942"/>
      <c r="L40" s="943"/>
      <c r="M40" s="617"/>
      <c r="N40" s="615"/>
      <c r="O40" s="616"/>
      <c r="P40" s="616"/>
      <c r="Q40" s="616"/>
      <c r="R40" s="616"/>
      <c r="S40" s="596"/>
      <c r="T40" s="596"/>
      <c r="U40" s="596"/>
      <c r="V40" s="596"/>
      <c r="W40" s="596"/>
      <c r="X40" s="596"/>
      <c r="Y40" s="596"/>
      <c r="Z40" s="596"/>
      <c r="AA40" s="596"/>
      <c r="AB40" s="596"/>
      <c r="AC40" s="596"/>
      <c r="AD40" s="596"/>
      <c r="AE40" s="596"/>
      <c r="AF40" s="596"/>
      <c r="AN40" s="753" t="s">
        <v>281</v>
      </c>
      <c r="AP40" s="802">
        <v>45748</v>
      </c>
    </row>
    <row r="41" spans="2:42" x14ac:dyDescent="0.25">
      <c r="B41" s="597"/>
      <c r="C41" s="942"/>
      <c r="D41" s="942"/>
      <c r="E41" s="942"/>
      <c r="F41" s="942"/>
      <c r="G41" s="942"/>
      <c r="H41" s="942"/>
      <c r="I41" s="942"/>
      <c r="J41" s="942"/>
      <c r="K41" s="942"/>
      <c r="L41" s="943"/>
      <c r="M41" s="617"/>
      <c r="N41" s="615"/>
      <c r="O41" s="616"/>
      <c r="P41" s="616"/>
      <c r="Q41" s="616"/>
      <c r="R41" s="616"/>
      <c r="S41" s="596"/>
      <c r="T41" s="596"/>
      <c r="U41" s="596"/>
      <c r="V41" s="596"/>
      <c r="W41" s="596"/>
      <c r="X41" s="596"/>
      <c r="Y41" s="596"/>
      <c r="Z41" s="596"/>
      <c r="AA41" s="596"/>
      <c r="AB41" s="596"/>
      <c r="AC41" s="596"/>
      <c r="AD41" s="596"/>
      <c r="AE41" s="596"/>
      <c r="AF41" s="596"/>
      <c r="AN41" s="753" t="s">
        <v>239</v>
      </c>
      <c r="AO41" s="753" t="str">
        <f ca="1">("Mawrth "&amp;($AO$8+1))</f>
        <v>Mawrth 2025</v>
      </c>
      <c r="AP41" s="801">
        <f>EOMONTH($AP$40,-1)</f>
        <v>45747</v>
      </c>
    </row>
    <row r="42" spans="2:42" x14ac:dyDescent="0.25">
      <c r="B42" s="597"/>
      <c r="C42" s="942"/>
      <c r="D42" s="942"/>
      <c r="E42" s="942"/>
      <c r="F42" s="942"/>
      <c r="G42" s="942"/>
      <c r="H42" s="942"/>
      <c r="I42" s="942"/>
      <c r="J42" s="942"/>
      <c r="K42" s="942"/>
      <c r="L42" s="943"/>
      <c r="M42" s="617"/>
      <c r="N42" s="596"/>
      <c r="O42" s="596"/>
      <c r="P42" s="616"/>
      <c r="Q42" s="616"/>
      <c r="R42" s="616"/>
      <c r="S42" s="596"/>
      <c r="T42" s="596"/>
      <c r="U42" s="596"/>
      <c r="V42" s="596"/>
      <c r="W42" s="596"/>
      <c r="X42" s="596"/>
      <c r="Y42" s="596"/>
      <c r="Z42" s="596"/>
      <c r="AA42" s="596"/>
      <c r="AB42" s="596"/>
      <c r="AC42" s="596"/>
      <c r="AD42" s="596"/>
      <c r="AE42" s="596"/>
      <c r="AF42" s="596"/>
      <c r="AN42" s="753" t="s">
        <v>239</v>
      </c>
      <c r="AO42" s="753" t="str">
        <f ca="1">("Mehefin "&amp;($AO$8+1))</f>
        <v>Mehefin 2025</v>
      </c>
      <c r="AP42" s="801">
        <f>EOMONTH($AP$40,2)</f>
        <v>45838</v>
      </c>
    </row>
    <row r="43" spans="2:42" ht="27" customHeight="1" x14ac:dyDescent="0.25">
      <c r="B43" s="597"/>
      <c r="C43" s="944"/>
      <c r="D43" s="944"/>
      <c r="E43" s="944"/>
      <c r="F43" s="944"/>
      <c r="G43" s="944"/>
      <c r="H43" s="944"/>
      <c r="I43" s="944"/>
      <c r="J43" s="944"/>
      <c r="K43" s="944"/>
      <c r="L43" s="945"/>
      <c r="M43" s="617"/>
      <c r="N43" s="596"/>
      <c r="O43" s="596"/>
      <c r="P43" s="616"/>
      <c r="Q43" s="616"/>
      <c r="R43" s="616"/>
      <c r="S43" s="596"/>
      <c r="T43" s="596"/>
      <c r="U43" s="596"/>
      <c r="V43" s="596"/>
      <c r="W43" s="596"/>
      <c r="X43" s="596"/>
      <c r="Y43" s="596"/>
      <c r="Z43" s="596"/>
      <c r="AA43" s="596"/>
      <c r="AB43" s="596"/>
      <c r="AC43" s="596"/>
      <c r="AD43" s="596"/>
      <c r="AE43" s="596"/>
      <c r="AF43" s="596"/>
      <c r="AN43" s="753" t="s">
        <v>239</v>
      </c>
      <c r="AO43" s="753" t="str">
        <f ca="1">("Medi "&amp;($AO$8+1))</f>
        <v>Medi 2025</v>
      </c>
      <c r="AP43" s="801">
        <f>EOMONTH(AP40,5)</f>
        <v>45930</v>
      </c>
    </row>
    <row r="44" spans="2:42" ht="25.5" customHeight="1" x14ac:dyDescent="0.25">
      <c r="B44" s="596"/>
      <c r="C44" s="613"/>
      <c r="D44" s="613"/>
      <c r="E44" s="613"/>
      <c r="F44" s="613"/>
      <c r="G44" s="613"/>
      <c r="H44" s="614"/>
      <c r="I44" s="614"/>
      <c r="J44" s="614"/>
      <c r="K44" s="614"/>
      <c r="L44" s="618"/>
      <c r="M44" s="619"/>
      <c r="N44" s="596"/>
      <c r="O44" s="596"/>
      <c r="P44" s="616"/>
      <c r="Q44" s="616"/>
      <c r="R44" s="616"/>
      <c r="S44" s="596"/>
      <c r="T44" s="596"/>
      <c r="U44" s="596"/>
      <c r="V44" s="596"/>
      <c r="W44" s="596"/>
      <c r="X44" s="596"/>
      <c r="Y44" s="596"/>
      <c r="Z44" s="596"/>
      <c r="AA44" s="596"/>
      <c r="AB44" s="596"/>
      <c r="AC44" s="596"/>
      <c r="AD44" s="596"/>
      <c r="AE44" s="596"/>
      <c r="AF44" s="596"/>
      <c r="AN44" s="753" t="s">
        <v>239</v>
      </c>
      <c r="AO44" s="753" t="str">
        <f ca="1">("Rhagfyr "&amp;($AO$8+1))</f>
        <v>Rhagfyr 2025</v>
      </c>
      <c r="AP44" s="801">
        <f>EOMONTH(AP40,8)</f>
        <v>46022</v>
      </c>
    </row>
    <row r="45" spans="2:42" ht="20.5" customHeight="1" x14ac:dyDescent="0.25">
      <c r="B45" s="596"/>
      <c r="C45" s="947" t="s">
        <v>282</v>
      </c>
      <c r="D45" s="947"/>
      <c r="E45" s="947"/>
      <c r="F45" s="947"/>
      <c r="G45" s="947"/>
      <c r="H45" s="947"/>
      <c r="I45" s="947"/>
      <c r="J45" s="947"/>
      <c r="K45" s="947"/>
      <c r="L45" s="947"/>
      <c r="M45" s="947"/>
      <c r="N45" s="947"/>
      <c r="O45" s="620"/>
      <c r="P45" s="616"/>
      <c r="Q45" s="934"/>
      <c r="R45" s="934"/>
      <c r="S45" s="621"/>
      <c r="T45" s="622"/>
      <c r="U45" s="622"/>
      <c r="V45" s="622"/>
      <c r="W45" s="622"/>
      <c r="X45" s="622"/>
      <c r="Y45" s="622"/>
      <c r="Z45" s="622"/>
      <c r="AA45" s="622"/>
      <c r="AB45" s="622"/>
      <c r="AC45" s="596"/>
      <c r="AD45" s="596"/>
      <c r="AE45" s="596"/>
      <c r="AF45" s="596"/>
      <c r="AN45" s="753" t="s">
        <v>240</v>
      </c>
      <c r="AO45" s="753" t="str">
        <f ca="1">("Mawrth "&amp;($AO$8+2))</f>
        <v>Mawrth 2026</v>
      </c>
      <c r="AP45" s="801">
        <f>EOMONTH(AP40,11)</f>
        <v>46112</v>
      </c>
    </row>
    <row r="46" spans="2:42" ht="15" customHeight="1" x14ac:dyDescent="0.25">
      <c r="B46" s="596"/>
      <c r="C46" s="613"/>
      <c r="D46" s="613"/>
      <c r="E46" s="613"/>
      <c r="F46" s="613"/>
      <c r="G46" s="613"/>
      <c r="H46" s="614"/>
      <c r="I46" s="614"/>
      <c r="J46" s="614"/>
      <c r="K46" s="623"/>
      <c r="L46" s="596"/>
      <c r="M46" s="596"/>
      <c r="N46" s="596"/>
      <c r="O46" s="596"/>
      <c r="P46" s="616"/>
      <c r="Q46" s="624"/>
      <c r="R46" s="625"/>
      <c r="S46" s="610"/>
      <c r="T46" s="622"/>
      <c r="U46" s="622"/>
      <c r="V46" s="622"/>
      <c r="W46" s="622"/>
      <c r="X46" s="622"/>
      <c r="Y46" s="622"/>
      <c r="Z46" s="622"/>
      <c r="AA46" s="622"/>
      <c r="AB46" s="622"/>
      <c r="AC46" s="596"/>
      <c r="AD46" s="596"/>
      <c r="AE46" s="596"/>
      <c r="AF46" s="596"/>
      <c r="AN46" s="753" t="s">
        <v>240</v>
      </c>
      <c r="AO46" s="753" t="str">
        <f ca="1">("Mehefin "&amp;($AO$8+2))</f>
        <v>Mehefin 2026</v>
      </c>
      <c r="AP46" s="801">
        <f>EOMONTH($AP$40,14)</f>
        <v>46203</v>
      </c>
    </row>
    <row r="47" spans="2:42" ht="20.149999999999999" customHeight="1" x14ac:dyDescent="0.25">
      <c r="B47" s="596"/>
      <c r="C47" s="935" t="s">
        <v>283</v>
      </c>
      <c r="D47" s="936"/>
      <c r="E47" s="613"/>
      <c r="F47" s="937" t="s">
        <v>284</v>
      </c>
      <c r="G47" s="938"/>
      <c r="H47" s="614"/>
      <c r="I47" s="614"/>
      <c r="J47" s="623"/>
      <c r="K47" s="623"/>
      <c r="L47" s="596"/>
      <c r="M47" s="596"/>
      <c r="N47" s="596"/>
      <c r="O47" s="596"/>
      <c r="P47" s="626"/>
      <c r="Q47" s="793"/>
      <c r="R47" s="625"/>
      <c r="S47" s="610"/>
      <c r="T47" s="622"/>
      <c r="U47" s="622"/>
      <c r="V47" s="622"/>
      <c r="W47" s="622"/>
      <c r="X47" s="622"/>
      <c r="Y47" s="622"/>
      <c r="Z47" s="622"/>
      <c r="AA47" s="622"/>
      <c r="AB47" s="622"/>
      <c r="AC47" s="596"/>
      <c r="AD47" s="596"/>
      <c r="AE47" s="596"/>
      <c r="AF47" s="596"/>
      <c r="AN47" s="753" t="s">
        <v>240</v>
      </c>
      <c r="AO47" s="753" t="str">
        <f ca="1">("Medi "&amp;($AO$8+2))</f>
        <v>Medi 2026</v>
      </c>
      <c r="AP47" s="801">
        <f>EOMONTH($AP$40,17)</f>
        <v>46295</v>
      </c>
    </row>
    <row r="48" spans="2:42" ht="25" customHeight="1" x14ac:dyDescent="0.25">
      <c r="B48" s="596"/>
      <c r="C48" s="566" t="s">
        <v>285</v>
      </c>
      <c r="D48" s="762" t="str">
        <f>IF('Project Compliance Tool'!$O$65="","",'Project Compliance Tool'!$O$65)</f>
        <v/>
      </c>
      <c r="E48" s="613"/>
      <c r="F48" s="566" t="s">
        <v>286</v>
      </c>
      <c r="G48" s="767" t="str">
        <f>IFERROR(AO14,"Nodwch hyd talu'r benthyciad yn ôl yn 1a.")</f>
        <v>28/02/1900</v>
      </c>
      <c r="H48" s="614"/>
      <c r="I48" s="614"/>
      <c r="J48" s="623"/>
      <c r="K48" s="623"/>
      <c r="L48" s="596"/>
      <c r="M48" s="596"/>
      <c r="N48" s="596"/>
      <c r="O48" s="596"/>
      <c r="P48" s="627"/>
      <c r="Q48" s="794"/>
      <c r="R48" s="625"/>
      <c r="S48" s="610"/>
      <c r="T48" s="622"/>
      <c r="U48" s="622"/>
      <c r="V48" s="622"/>
      <c r="W48" s="622"/>
      <c r="X48" s="622"/>
      <c r="Y48" s="622"/>
      <c r="Z48" s="622"/>
      <c r="AA48" s="622"/>
      <c r="AB48" s="622"/>
      <c r="AC48" s="596"/>
      <c r="AD48" s="596"/>
      <c r="AE48" s="596"/>
      <c r="AF48" s="596"/>
      <c r="AN48" s="753" t="s">
        <v>240</v>
      </c>
      <c r="AO48" s="753" t="str">
        <f ca="1">("Rhagfyr "&amp;($AO$8+2))</f>
        <v>Rhagfyr 2026</v>
      </c>
      <c r="AP48" s="801">
        <f>EOMONTH($AP$40,20)</f>
        <v>46387</v>
      </c>
    </row>
    <row r="49" spans="2:42" ht="25" customHeight="1" x14ac:dyDescent="0.25">
      <c r="B49" s="596"/>
      <c r="C49" s="567" t="s">
        <v>287</v>
      </c>
      <c r="D49" s="763" t="str">
        <f>IF('Project Compliance Tool'!$N$65="","",'Project Compliance Tool'!$N$65)</f>
        <v/>
      </c>
      <c r="E49" s="613"/>
      <c r="F49" s="567" t="s">
        <v>288</v>
      </c>
      <c r="G49" s="763" t="str">
        <f>IFERROR(IF(N18="","",((SUM(D49/12)*G50)*D50)),"Nodwch hyd talu'r benthyciad yn ôl yn 1a.")</f>
        <v>Nodwch hyd talu'r benthyciad yn ôl yn 1a.</v>
      </c>
      <c r="H49" s="614"/>
      <c r="I49" s="614"/>
      <c r="J49" s="623"/>
      <c r="K49" s="623"/>
      <c r="L49" s="596"/>
      <c r="M49" s="596"/>
      <c r="N49" s="596"/>
      <c r="O49" s="596"/>
      <c r="P49" s="628"/>
      <c r="Q49" s="629"/>
      <c r="R49" s="610"/>
      <c r="S49" s="610"/>
      <c r="T49" s="622"/>
      <c r="U49" s="622"/>
      <c r="V49" s="622"/>
      <c r="W49" s="622"/>
      <c r="X49" s="622"/>
      <c r="Y49" s="622"/>
      <c r="Z49" s="622"/>
      <c r="AA49" s="622"/>
      <c r="AB49" s="622"/>
      <c r="AC49" s="596"/>
      <c r="AD49" s="596"/>
      <c r="AE49" s="596"/>
      <c r="AF49" s="596"/>
      <c r="AN49" s="808" t="s">
        <v>289</v>
      </c>
      <c r="AO49" s="808" t="str">
        <f ca="1">("Mawrth "&amp;($AO$8+3))</f>
        <v>Mawrth 2027</v>
      </c>
      <c r="AP49" s="802">
        <f>EOMONTH($AP$40,23)</f>
        <v>46477</v>
      </c>
    </row>
    <row r="50" spans="2:42" ht="25" customHeight="1" x14ac:dyDescent="0.25">
      <c r="B50" s="596"/>
      <c r="C50" s="567" t="s">
        <v>290</v>
      </c>
      <c r="D50" s="764">
        <v>2.0500000000000001E-2</v>
      </c>
      <c r="E50" s="613"/>
      <c r="F50" s="567" t="s">
        <v>291</v>
      </c>
      <c r="G50" s="768">
        <f>IFERROR(IF(N18="","",(DATEDIF(AO15,AO14,"m"))),"Nodwch hyd talu'r benthyciad yn ôl yn 1a.")</f>
        <v>0</v>
      </c>
      <c r="H50" s="630"/>
      <c r="I50" s="614"/>
      <c r="J50" s="623"/>
      <c r="K50" s="623"/>
      <c r="L50" s="596"/>
      <c r="M50" s="596"/>
      <c r="N50" s="596"/>
      <c r="O50" s="596"/>
      <c r="P50" s="628"/>
      <c r="Q50" s="629"/>
      <c r="R50" s="610"/>
      <c r="S50" s="610"/>
      <c r="T50" s="622"/>
      <c r="U50" s="622"/>
      <c r="V50" s="622"/>
      <c r="W50" s="622"/>
      <c r="X50" s="622"/>
      <c r="Y50" s="622"/>
      <c r="Z50" s="622"/>
      <c r="AA50" s="622"/>
      <c r="AB50" s="622"/>
      <c r="AC50" s="596"/>
      <c r="AD50" s="596"/>
      <c r="AE50" s="596"/>
      <c r="AF50" s="596"/>
    </row>
    <row r="51" spans="2:42" ht="25" customHeight="1" x14ac:dyDescent="0.25">
      <c r="B51" s="596"/>
      <c r="C51" s="567" t="s">
        <v>292</v>
      </c>
      <c r="D51" s="765">
        <f>('Business Case'!D13)+42</f>
        <v>42</v>
      </c>
      <c r="E51" s="613"/>
      <c r="F51" s="567" t="s">
        <v>293</v>
      </c>
      <c r="G51" s="769">
        <f>IF(N15=1,SUM(Table145242[Os yw''r cyfalaf ar y diwedd yn fenthyciad]),IF(N18="","",(SUM(AC70:AC93))))</f>
        <v>0</v>
      </c>
      <c r="H51" s="614"/>
      <c r="I51" s="614"/>
      <c r="J51" s="623"/>
      <c r="K51" s="623"/>
      <c r="L51" s="596"/>
      <c r="M51" s="596"/>
      <c r="N51" s="596"/>
      <c r="O51" s="596"/>
      <c r="P51" s="628"/>
      <c r="Q51" s="629"/>
      <c r="R51" s="610"/>
      <c r="S51" s="610"/>
      <c r="T51" s="622"/>
      <c r="U51" s="622"/>
      <c r="V51" s="622"/>
      <c r="W51" s="622"/>
      <c r="X51" s="622"/>
      <c r="Y51" s="622"/>
      <c r="Z51" s="622"/>
      <c r="AA51" s="622"/>
      <c r="AB51" s="622"/>
      <c r="AC51" s="596"/>
      <c r="AD51" s="596"/>
      <c r="AE51" s="596"/>
      <c r="AF51" s="596"/>
    </row>
    <row r="52" spans="2:42" ht="25" customHeight="1" x14ac:dyDescent="0.25">
      <c r="B52" s="596"/>
      <c r="C52" s="760" t="s">
        <v>294</v>
      </c>
      <c r="D52" s="765" t="str">
        <f ca="1">_xlfn.XLOOKUP(M32,AO41:AO44,AP41:AP44,"N/A",0,1)</f>
        <v>N/A</v>
      </c>
      <c r="E52" s="613"/>
      <c r="F52" s="631"/>
      <c r="G52" s="798"/>
      <c r="H52" s="614"/>
      <c r="I52" s="614"/>
      <c r="J52" s="623"/>
      <c r="K52" s="623"/>
      <c r="L52" s="596"/>
      <c r="M52" s="596"/>
      <c r="N52" s="596"/>
      <c r="O52" s="596"/>
      <c r="P52" s="628"/>
      <c r="Q52" s="629"/>
      <c r="R52" s="610"/>
      <c r="S52" s="610"/>
      <c r="T52" s="622"/>
      <c r="U52" s="622"/>
      <c r="V52" s="622"/>
      <c r="W52" s="622"/>
      <c r="X52" s="622"/>
      <c r="Y52" s="622"/>
      <c r="Z52" s="622"/>
      <c r="AA52" s="622"/>
      <c r="AB52" s="622"/>
      <c r="AC52" s="596"/>
      <c r="AD52" s="596"/>
      <c r="AE52" s="596"/>
      <c r="AF52" s="596"/>
    </row>
    <row r="53" spans="2:42" ht="25" customHeight="1" x14ac:dyDescent="0.25">
      <c r="B53" s="596"/>
      <c r="C53" s="760" t="s">
        <v>295</v>
      </c>
      <c r="D53" s="765" t="str">
        <f ca="1">_xlfn.XLOOKUP(M33,AO45:AO48,AP45:AP48,"N/A",0,1)</f>
        <v>N/A</v>
      </c>
      <c r="E53" s="613"/>
      <c r="F53" s="631"/>
      <c r="G53" s="798"/>
      <c r="H53" s="614"/>
      <c r="I53" s="614"/>
      <c r="J53" s="623"/>
      <c r="K53" s="623"/>
      <c r="L53" s="596"/>
      <c r="M53" s="596"/>
      <c r="N53" s="596"/>
      <c r="O53" s="596"/>
      <c r="P53" s="628"/>
      <c r="Q53" s="629"/>
      <c r="R53" s="610"/>
      <c r="S53" s="610"/>
      <c r="T53" s="622"/>
      <c r="U53" s="622"/>
      <c r="V53" s="622"/>
      <c r="W53" s="622"/>
      <c r="X53" s="622"/>
      <c r="Y53" s="622"/>
      <c r="Z53" s="622"/>
      <c r="AA53" s="622"/>
      <c r="AB53" s="622"/>
      <c r="AC53" s="596"/>
      <c r="AD53" s="596"/>
      <c r="AE53" s="596"/>
      <c r="AF53" s="596"/>
    </row>
    <row r="54" spans="2:42" ht="25" customHeight="1" x14ac:dyDescent="0.25">
      <c r="B54" s="596"/>
      <c r="C54" s="760" t="s">
        <v>296</v>
      </c>
      <c r="D54" s="766">
        <f>'Business Case'!$D$15</f>
        <v>0</v>
      </c>
      <c r="E54" s="613"/>
      <c r="F54" s="613"/>
      <c r="G54" s="613"/>
      <c r="H54" s="614"/>
      <c r="I54" s="614"/>
      <c r="J54" s="623"/>
      <c r="K54" s="623"/>
      <c r="L54" s="596"/>
      <c r="M54" s="596"/>
      <c r="N54" s="596"/>
      <c r="O54" s="596"/>
      <c r="P54" s="628"/>
      <c r="Q54" s="629"/>
      <c r="R54" s="610"/>
      <c r="S54" s="610"/>
      <c r="T54" s="622"/>
      <c r="U54" s="622"/>
      <c r="V54" s="622"/>
      <c r="W54" s="622"/>
      <c r="X54" s="622"/>
      <c r="Y54" s="622"/>
      <c r="Z54" s="622"/>
      <c r="AA54" s="622"/>
      <c r="AB54" s="622"/>
      <c r="AC54" s="596"/>
      <c r="AD54" s="596"/>
      <c r="AE54" s="596"/>
      <c r="AF54" s="596"/>
    </row>
    <row r="55" spans="2:42" ht="20.149999999999999" customHeight="1" x14ac:dyDescent="0.25">
      <c r="B55" s="596"/>
      <c r="C55" s="568" t="s">
        <v>297</v>
      </c>
      <c r="D55" s="569" t="str">
        <f>IF(N15="","",(SUM(AD70:AD93)))</f>
        <v/>
      </c>
      <c r="E55" s="613"/>
      <c r="F55" s="939" t="s">
        <v>298</v>
      </c>
      <c r="G55" s="939"/>
      <c r="H55" s="614"/>
      <c r="I55" s="614"/>
      <c r="J55" s="623"/>
      <c r="K55" s="623"/>
      <c r="L55" s="596"/>
      <c r="M55" s="596"/>
      <c r="N55" s="596"/>
      <c r="O55" s="596"/>
      <c r="P55" s="628"/>
      <c r="Q55" s="629"/>
      <c r="R55" s="610"/>
      <c r="S55" s="610"/>
      <c r="T55" s="622"/>
      <c r="U55" s="622"/>
      <c r="V55" s="622"/>
      <c r="W55" s="622"/>
      <c r="X55" s="622"/>
      <c r="Y55" s="622"/>
      <c r="Z55" s="622"/>
      <c r="AA55" s="622"/>
      <c r="AB55" s="622"/>
      <c r="AC55" s="596"/>
      <c r="AD55" s="596"/>
      <c r="AE55" s="596"/>
      <c r="AF55" s="596"/>
    </row>
    <row r="56" spans="2:42" ht="37.15" customHeight="1" x14ac:dyDescent="0.25">
      <c r="B56" s="596"/>
      <c r="C56" s="613"/>
      <c r="D56" s="613"/>
      <c r="E56" s="613"/>
      <c r="F56" s="566" t="s">
        <v>299</v>
      </c>
      <c r="G56" s="767" t="str">
        <f>IF(N22="","Nodwch hyd talu'r benthyciad yn ôl yn 1b",N22)</f>
        <v>Nodwch hyd talu'r benthyciad yn ôl yn 1b</v>
      </c>
      <c r="H56" s="614"/>
      <c r="I56" s="614"/>
      <c r="J56" s="623"/>
      <c r="K56" s="623"/>
      <c r="L56" s="596"/>
      <c r="M56" s="596"/>
      <c r="N56" s="596"/>
      <c r="O56" s="596"/>
      <c r="P56" s="628"/>
      <c r="Q56" s="629"/>
      <c r="R56" s="610"/>
      <c r="S56" s="610"/>
      <c r="T56" s="622"/>
      <c r="U56" s="622"/>
      <c r="V56" s="622"/>
      <c r="W56" s="622"/>
      <c r="X56" s="622"/>
      <c r="Y56" s="622"/>
      <c r="Z56" s="622"/>
      <c r="AA56" s="622"/>
      <c r="AB56" s="622"/>
      <c r="AC56" s="596"/>
      <c r="AD56" s="596"/>
      <c r="AE56" s="596"/>
      <c r="AF56" s="596"/>
    </row>
    <row r="57" spans="2:42" ht="25" customHeight="1" x14ac:dyDescent="0.25">
      <c r="B57" s="596"/>
      <c r="C57" s="613"/>
      <c r="D57" s="613"/>
      <c r="E57" s="613"/>
      <c r="F57" s="567" t="s">
        <v>300</v>
      </c>
      <c r="G57" s="770">
        <f>IF(SUM(Q70:Q93)="","",SUM(Q70:Q93))</f>
        <v>0</v>
      </c>
      <c r="H57" s="614"/>
      <c r="I57" s="614"/>
      <c r="J57" s="623"/>
      <c r="K57" s="623"/>
      <c r="L57" s="596"/>
      <c r="M57" s="596"/>
      <c r="N57" s="596"/>
      <c r="O57" s="596"/>
      <c r="P57" s="628"/>
      <c r="Q57" s="629"/>
      <c r="R57" s="610"/>
      <c r="S57" s="610"/>
      <c r="T57" s="622"/>
      <c r="U57" s="622"/>
      <c r="V57" s="622"/>
      <c r="W57" s="622"/>
      <c r="X57" s="622"/>
      <c r="Y57" s="622"/>
      <c r="Z57" s="622"/>
      <c r="AA57" s="622"/>
      <c r="AB57" s="622"/>
      <c r="AC57" s="596"/>
      <c r="AD57" s="596"/>
      <c r="AE57" s="596"/>
      <c r="AF57" s="596"/>
    </row>
    <row r="58" spans="2:42" ht="25" customHeight="1" x14ac:dyDescent="0.25">
      <c r="B58" s="596"/>
      <c r="C58" s="613"/>
      <c r="D58" s="613"/>
      <c r="E58" s="632"/>
      <c r="F58" s="567" t="s">
        <v>301</v>
      </c>
      <c r="G58" s="771" t="str">
        <f>IF(N15=1,D49,IF(N15="","",(SUM(AD70:AD93))))</f>
        <v/>
      </c>
      <c r="H58" s="618"/>
      <c r="I58" s="614"/>
      <c r="J58" s="623"/>
      <c r="K58" s="623"/>
      <c r="L58" s="596"/>
      <c r="M58" s="596"/>
      <c r="N58" s="596"/>
      <c r="O58" s="596"/>
      <c r="P58" s="628"/>
      <c r="Q58" s="629"/>
      <c r="R58" s="610"/>
      <c r="S58" s="610"/>
      <c r="T58" s="622"/>
      <c r="U58" s="622"/>
      <c r="V58" s="622"/>
      <c r="W58" s="622"/>
      <c r="X58" s="622"/>
      <c r="Y58" s="622"/>
      <c r="Z58" s="622"/>
      <c r="AA58" s="622"/>
      <c r="AB58" s="622"/>
      <c r="AC58" s="596"/>
      <c r="AD58" s="596"/>
      <c r="AE58" s="596"/>
      <c r="AF58" s="596"/>
    </row>
    <row r="59" spans="2:42" ht="15" customHeight="1" x14ac:dyDescent="0.25">
      <c r="B59" s="596"/>
      <c r="C59" s="613"/>
      <c r="D59" s="613"/>
      <c r="E59" s="613"/>
      <c r="F59" s="624"/>
      <c r="G59" s="633"/>
      <c r="H59" s="614"/>
      <c r="I59" s="614"/>
      <c r="J59" s="623"/>
      <c r="K59" s="623"/>
      <c r="L59" s="596"/>
      <c r="M59" s="596"/>
      <c r="N59" s="596"/>
      <c r="O59" s="596"/>
      <c r="P59" s="628"/>
      <c r="Q59" s="629"/>
      <c r="R59" s="610"/>
      <c r="S59" s="610"/>
      <c r="T59" s="622"/>
      <c r="U59" s="622"/>
      <c r="V59" s="622"/>
      <c r="W59" s="622"/>
      <c r="X59" s="622"/>
      <c r="Y59" s="622"/>
      <c r="Z59" s="622"/>
      <c r="AA59" s="622"/>
      <c r="AB59" s="622"/>
      <c r="AC59" s="596"/>
      <c r="AD59" s="596"/>
      <c r="AE59" s="596"/>
      <c r="AF59" s="596"/>
    </row>
    <row r="60" spans="2:42" hidden="1" x14ac:dyDescent="0.25">
      <c r="B60" s="596"/>
      <c r="C60" s="613"/>
      <c r="D60" s="613"/>
      <c r="E60" s="613"/>
      <c r="F60" s="613"/>
      <c r="G60" s="613"/>
      <c r="H60" s="614"/>
      <c r="I60" s="614"/>
      <c r="J60" s="623"/>
      <c r="K60" s="623"/>
      <c r="L60" s="635" t="s">
        <v>302</v>
      </c>
      <c r="M60" s="636">
        <f ca="1">IF(N18="","",(SUM(AD70:AD93)))</f>
        <v>0</v>
      </c>
      <c r="N60" s="615" t="s">
        <v>303</v>
      </c>
      <c r="O60" s="626" t="s">
        <v>271</v>
      </c>
      <c r="P60" s="628"/>
      <c r="Q60" s="629"/>
      <c r="R60" s="610"/>
      <c r="S60" s="610"/>
      <c r="T60" s="622"/>
      <c r="U60" s="622"/>
      <c r="V60" s="622"/>
      <c r="W60" s="622"/>
      <c r="X60" s="622"/>
      <c r="Y60" s="622"/>
      <c r="Z60" s="622"/>
      <c r="AA60" s="622"/>
      <c r="AB60" s="622"/>
      <c r="AC60" s="596"/>
      <c r="AD60" s="596"/>
      <c r="AE60" s="596"/>
      <c r="AF60" s="596"/>
    </row>
    <row r="61" spans="2:42" hidden="1" x14ac:dyDescent="0.25">
      <c r="B61" s="596"/>
      <c r="C61" s="613"/>
      <c r="D61" s="613"/>
      <c r="E61" s="613"/>
      <c r="F61" s="613"/>
      <c r="G61" s="613"/>
      <c r="H61" s="614"/>
      <c r="I61" s="614"/>
      <c r="J61" s="623"/>
      <c r="K61" s="623"/>
      <c r="L61" s="635" t="s">
        <v>304</v>
      </c>
      <c r="M61" s="637">
        <f ca="1">IF(N18="","",(SUM(M60+AO20)))</f>
        <v>0</v>
      </c>
      <c r="N61" s="615" t="s">
        <v>305</v>
      </c>
      <c r="O61" s="626" t="s">
        <v>271</v>
      </c>
      <c r="P61" s="628"/>
      <c r="Q61" s="629"/>
      <c r="R61" s="610"/>
      <c r="S61" s="610"/>
      <c r="T61" s="622"/>
      <c r="U61" s="622"/>
      <c r="V61" s="622"/>
      <c r="W61" s="622"/>
      <c r="X61" s="622"/>
      <c r="Y61" s="622"/>
      <c r="Z61" s="622"/>
      <c r="AA61" s="622"/>
      <c r="AB61" s="622"/>
      <c r="AC61" s="596"/>
      <c r="AD61" s="596"/>
      <c r="AE61" s="596"/>
      <c r="AF61" s="596"/>
    </row>
    <row r="62" spans="2:42" hidden="1" x14ac:dyDescent="0.25">
      <c r="B62" s="596"/>
      <c r="C62" s="638"/>
      <c r="D62" s="638"/>
      <c r="E62" s="638"/>
      <c r="F62" s="638"/>
      <c r="G62" s="638"/>
      <c r="H62" s="618"/>
      <c r="I62" s="618"/>
      <c r="J62" s="623"/>
      <c r="K62" s="623"/>
      <c r="L62" s="635" t="s">
        <v>306</v>
      </c>
      <c r="M62" s="615" t="str">
        <f>IF(N18="","Input value to 1b",N18)</f>
        <v>Nodwch hyd talu'r benthyciad yn ôl yn 1a.</v>
      </c>
      <c r="N62" s="615" t="str">
        <f>TRIM(AO29)</f>
        <v>1900</v>
      </c>
      <c r="O62" s="626" t="s">
        <v>307</v>
      </c>
      <c r="P62" s="628"/>
      <c r="Q62" s="629"/>
      <c r="R62" s="610"/>
      <c r="S62" s="610"/>
      <c r="T62" s="622"/>
      <c r="U62" s="622"/>
      <c r="V62" s="622"/>
      <c r="W62" s="622"/>
      <c r="X62" s="622"/>
      <c r="Y62" s="622"/>
      <c r="Z62" s="622"/>
      <c r="AA62" s="622"/>
      <c r="AB62" s="622"/>
      <c r="AC62" s="622"/>
      <c r="AD62" s="596"/>
      <c r="AE62" s="596"/>
      <c r="AF62" s="596"/>
    </row>
    <row r="63" spans="2:42" hidden="1" x14ac:dyDescent="0.25">
      <c r="B63" s="596"/>
      <c r="C63" s="638"/>
      <c r="D63" s="638"/>
      <c r="E63" s="638"/>
      <c r="F63" s="638"/>
      <c r="G63" s="638"/>
      <c r="H63" s="618"/>
      <c r="I63" s="618"/>
      <c r="J63" s="623"/>
      <c r="K63" s="623"/>
      <c r="L63" s="623"/>
      <c r="M63" s="615"/>
      <c r="N63" s="615" t="str">
        <f>TRIM(D49)</f>
        <v/>
      </c>
      <c r="O63" s="626" t="s">
        <v>308</v>
      </c>
      <c r="P63" s="628"/>
      <c r="Q63" s="629"/>
      <c r="R63" s="610"/>
      <c r="S63" s="610"/>
      <c r="T63" s="622"/>
      <c r="U63" s="622"/>
      <c r="V63" s="622"/>
      <c r="W63" s="622"/>
      <c r="X63" s="622"/>
      <c r="Y63" s="622"/>
      <c r="Z63" s="622"/>
      <c r="AA63" s="622"/>
      <c r="AB63" s="622"/>
      <c r="AC63" s="622"/>
      <c r="AD63" s="596"/>
      <c r="AE63" s="596"/>
      <c r="AF63" s="596"/>
    </row>
    <row r="64" spans="2:42" hidden="1" x14ac:dyDescent="0.25">
      <c r="B64" s="596"/>
      <c r="C64" s="844"/>
      <c r="D64" s="844"/>
      <c r="E64" s="844"/>
      <c r="F64" s="558"/>
      <c r="G64" s="639"/>
      <c r="H64" s="639"/>
      <c r="I64" s="639"/>
      <c r="J64" s="634"/>
      <c r="K64" s="640"/>
      <c r="L64" s="640"/>
      <c r="M64" s="641" t="str">
        <f>TRIM(N18)</f>
        <v>Nodwch hyd talu'r benthyciad yn ôl yn 1a.</v>
      </c>
      <c r="N64" s="642">
        <v>0.01</v>
      </c>
      <c r="O64" s="626" t="s">
        <v>271</v>
      </c>
      <c r="P64" s="628"/>
      <c r="Q64" s="629"/>
      <c r="R64" s="610"/>
      <c r="S64" s="610"/>
      <c r="T64" s="622"/>
      <c r="U64" s="622"/>
      <c r="V64" s="622"/>
      <c r="W64" s="622"/>
      <c r="X64" s="622"/>
      <c r="Y64" s="622"/>
      <c r="Z64" s="622"/>
      <c r="AA64" s="622"/>
      <c r="AB64" s="622"/>
      <c r="AC64" s="622"/>
      <c r="AD64" s="596"/>
      <c r="AE64" s="596"/>
      <c r="AF64" s="596"/>
    </row>
    <row r="65" spans="2:32" hidden="1" x14ac:dyDescent="0.25">
      <c r="B65" s="596"/>
      <c r="C65" s="643"/>
      <c r="D65" s="643"/>
      <c r="E65" s="610"/>
      <c r="F65" s="610"/>
      <c r="G65" s="639"/>
      <c r="H65" s="639"/>
      <c r="I65" s="639"/>
      <c r="J65" s="634"/>
      <c r="K65" s="644"/>
      <c r="L65" s="644"/>
      <c r="M65" s="570"/>
      <c r="N65" s="570"/>
      <c r="O65" s="645" t="s">
        <v>309</v>
      </c>
      <c r="P65" s="646"/>
      <c r="Q65" s="629"/>
      <c r="R65" s="647"/>
      <c r="S65" s="647"/>
      <c r="T65" s="622"/>
      <c r="U65" s="622"/>
      <c r="V65" s="622"/>
      <c r="W65" s="622"/>
      <c r="X65" s="622"/>
      <c r="Y65" s="622"/>
      <c r="Z65" s="622"/>
      <c r="AA65" s="622"/>
      <c r="AB65" s="622"/>
      <c r="AC65" s="622"/>
      <c r="AD65" s="596"/>
      <c r="AE65" s="596"/>
      <c r="AF65" s="596"/>
    </row>
    <row r="66" spans="2:32" hidden="1" x14ac:dyDescent="0.25">
      <c r="B66" s="596"/>
      <c r="C66" s="643"/>
      <c r="D66" s="643"/>
      <c r="E66" s="610"/>
      <c r="F66" s="610"/>
      <c r="G66" s="639"/>
      <c r="H66" s="639"/>
      <c r="I66" s="639"/>
      <c r="J66" s="634"/>
      <c r="K66" s="644"/>
      <c r="L66" s="644"/>
      <c r="M66" s="571"/>
      <c r="N66" s="572">
        <f>MONTH(D54)</f>
        <v>1</v>
      </c>
      <c r="O66" s="645" t="s">
        <v>310</v>
      </c>
      <c r="P66" s="645"/>
      <c r="Q66" s="624"/>
      <c r="R66" s="648"/>
      <c r="S66" s="649"/>
      <c r="T66" s="622"/>
      <c r="U66" s="622"/>
      <c r="V66" s="622"/>
      <c r="W66" s="622"/>
      <c r="X66" s="622"/>
      <c r="Y66" s="622"/>
      <c r="Z66" s="622"/>
      <c r="AA66" s="622"/>
      <c r="AB66" s="622"/>
      <c r="AC66" s="622"/>
      <c r="AD66" s="596"/>
      <c r="AE66" s="596"/>
      <c r="AF66" s="596"/>
    </row>
    <row r="67" spans="2:32" ht="19.5" x14ac:dyDescent="0.25">
      <c r="B67" s="596"/>
      <c r="C67" s="947" t="s">
        <v>311</v>
      </c>
      <c r="D67" s="947"/>
      <c r="E67" s="947" t="str">
        <f>IF(N15=1,"Gallwch hepgor adran 3 os bydd y benthyciad yn cael ei ad-dalu mewn blwyddyn (1a).","")</f>
        <v/>
      </c>
      <c r="F67" s="947"/>
      <c r="G67" s="947"/>
      <c r="H67" s="947"/>
      <c r="I67" s="947"/>
      <c r="J67" s="947"/>
      <c r="K67" s="947"/>
      <c r="L67" s="947"/>
      <c r="M67" s="947"/>
      <c r="N67" s="761"/>
      <c r="O67" s="645"/>
      <c r="P67" s="645"/>
      <c r="Q67" s="624"/>
      <c r="R67" s="648"/>
      <c r="S67" s="649"/>
      <c r="T67" s="622"/>
      <c r="U67" s="622"/>
      <c r="V67" s="622"/>
      <c r="W67" s="622"/>
      <c r="X67" s="622"/>
      <c r="Y67" s="622"/>
      <c r="Z67" s="622"/>
      <c r="AA67" s="622"/>
      <c r="AB67" s="622"/>
      <c r="AC67" s="622"/>
      <c r="AD67" s="596"/>
      <c r="AE67" s="596"/>
      <c r="AF67" s="596"/>
    </row>
    <row r="68" spans="2:32" ht="7.5" customHeight="1" x14ac:dyDescent="0.25">
      <c r="B68" s="596"/>
      <c r="C68" s="643"/>
      <c r="D68" s="643"/>
      <c r="E68" s="610"/>
      <c r="F68" s="610"/>
      <c r="G68" s="639"/>
      <c r="H68" s="639"/>
      <c r="I68" s="639"/>
      <c r="J68" s="634"/>
      <c r="K68" s="644"/>
      <c r="L68" s="644"/>
      <c r="M68" s="571"/>
      <c r="N68" s="572"/>
      <c r="O68" s="645"/>
      <c r="P68" s="645"/>
      <c r="Q68" s="624"/>
      <c r="R68" s="648"/>
      <c r="S68" s="649"/>
      <c r="T68" s="622"/>
      <c r="U68" s="622"/>
      <c r="V68" s="622"/>
      <c r="W68" s="622"/>
      <c r="X68" s="622"/>
      <c r="Y68" s="622"/>
      <c r="Z68" s="622"/>
      <c r="AA68" s="622"/>
      <c r="AB68" s="622"/>
      <c r="AC68" s="622"/>
      <c r="AD68" s="596"/>
      <c r="AE68" s="596"/>
      <c r="AF68" s="596"/>
    </row>
    <row r="69" spans="2:32" ht="66.650000000000006" customHeight="1" x14ac:dyDescent="0.25">
      <c r="B69" s="596"/>
      <c r="C69" s="744" t="s">
        <v>312</v>
      </c>
      <c r="D69" s="745" t="s">
        <v>313</v>
      </c>
      <c r="E69" s="745" t="s">
        <v>314</v>
      </c>
      <c r="F69" s="746" t="s">
        <v>315</v>
      </c>
      <c r="G69" s="745" t="s">
        <v>316</v>
      </c>
      <c r="H69" s="745" t="s">
        <v>317</v>
      </c>
      <c r="I69" s="745" t="s">
        <v>318</v>
      </c>
      <c r="J69" s="745" t="s">
        <v>319</v>
      </c>
      <c r="K69" s="745" t="s">
        <v>320</v>
      </c>
      <c r="L69" s="747" t="s">
        <v>321</v>
      </c>
      <c r="M69" s="747" t="s">
        <v>245</v>
      </c>
      <c r="N69" s="747" t="s">
        <v>322</v>
      </c>
      <c r="O69" s="747" t="s">
        <v>323</v>
      </c>
      <c r="P69" s="748" t="s">
        <v>324</v>
      </c>
      <c r="Q69" s="748" t="s">
        <v>325</v>
      </c>
      <c r="R69" s="747" t="s">
        <v>326</v>
      </c>
      <c r="S69" s="747" t="s">
        <v>327</v>
      </c>
      <c r="T69" s="747" t="s">
        <v>328</v>
      </c>
      <c r="U69" s="745" t="s">
        <v>329</v>
      </c>
      <c r="V69" s="745" t="s">
        <v>330</v>
      </c>
      <c r="W69" s="746" t="s">
        <v>331</v>
      </c>
      <c r="X69" s="746" t="s">
        <v>332</v>
      </c>
      <c r="Y69" s="746" t="s">
        <v>333</v>
      </c>
      <c r="Z69" s="749" t="s">
        <v>334</v>
      </c>
      <c r="AA69" s="749" t="s">
        <v>335</v>
      </c>
      <c r="AB69" s="750" t="s">
        <v>336</v>
      </c>
      <c r="AC69" s="751" t="s">
        <v>337</v>
      </c>
      <c r="AD69" s="751" t="s">
        <v>338</v>
      </c>
      <c r="AE69" s="596"/>
      <c r="AF69" s="596"/>
    </row>
    <row r="70" spans="2:32" x14ac:dyDescent="0.25">
      <c r="B70" s="596"/>
      <c r="C70" s="574">
        <v>45593</v>
      </c>
      <c r="D70" s="575">
        <v>45716</v>
      </c>
      <c r="E70" s="576" t="str">
        <f>IF((LEFT(G70,4))=(LEFT(AO29,4)),"1",IF((LEFT(G70,4))&lt;(LEFT(AO29,4)),"N/A",IF((LEFT(G70,4))&gt;(LEFT(AO29,4)),"N/A",)))</f>
        <v>N/A</v>
      </c>
      <c r="F70" s="576" t="str">
        <f>IF(H70=AN27,"1",IF(H70&lt;AN27,"N/A",IF(H70&gt;AN27,"2")))</f>
        <v>2</v>
      </c>
      <c r="G70" s="577" t="s">
        <v>339</v>
      </c>
      <c r="H70" s="578" t="str">
        <f>LEFT(Table145242[[#This Row],[Blwyddyn Ariannol y Taliad]],4)</f>
        <v>2024</v>
      </c>
      <c r="I70" s="578" t="str">
        <f>TRIM(Table145242[[#This Row],[Cuddio Colofn, BT Gyntaf]])</f>
        <v>2024</v>
      </c>
      <c r="J70" s="579" t="str">
        <f>TRIM(AO16)</f>
        <v>1899</v>
      </c>
      <c r="K70" s="577" t="str">
        <f>IF(L32="Yes",N31,D49)</f>
        <v/>
      </c>
      <c r="L70" s="580" t="str">
        <f>IF(I70=$AO$26,$D$49,D49)</f>
        <v/>
      </c>
      <c r="M70" s="581" t="str">
        <f>IF(Table145242[[#This Row],[Cuddio Colofn]]&gt;AN27,IF(AND(W70&gt;=0.1,W70&lt;N18),N18,IF(I70&gt;=AO29,N18,"N/A")),0)</f>
        <v>Nodwch hyd talu'r benthyciad yn ôl yn 1a.</v>
      </c>
      <c r="N70" s="580" t="e">
        <f>IF(Table145242[[#This Row],[Cuddio Colofn]]&lt;AN27,"",IF(Table145242[[#This Row],[Cuddio Colofn]]=AN27,G49,SUM(SUM(Table145242[[#This Row],[Balans Cyfalaf Cychwynnol]]*D50))))</f>
        <v>#VALUE!</v>
      </c>
      <c r="O70" s="580" t="str">
        <f>IF(AB71="Ad-daliadau cyfalaf wedi gorffen",Table145242[[#This Row],[Balans Cyfalaf Cychwynnol]],IF(Table145242[[#This Row],[Cuddio Colofn]]&gt;=AO26,IFERROR((Table145242[[#This Row],[Isafswm gwerth ad-dalu gofynnol (y flwyddyn)]]-Table145242[[#This Row],[Taliad Llog]]),0),0))</f>
        <v/>
      </c>
      <c r="P70" s="582" t="str">
        <f>TRIM(Table145242[[#This Row],[Ad-daliad Cyfalaf]])</f>
        <v/>
      </c>
      <c r="Q70" s="573">
        <v>0</v>
      </c>
      <c r="R70" s="580">
        <f>SUM(Table145242[[#This Row],[Ad-daliad Cyfalaf]:[Ad-daliad Cyfalaf Cynnar]])</f>
        <v>0</v>
      </c>
      <c r="S70" s="580" t="e">
        <f>SUM(Table145242[[#This Row],[Taliad Llog]:[Ad-daliad Cyfalaf Cynnar]])</f>
        <v>#VALUE!</v>
      </c>
      <c r="T70" s="581" t="str">
        <f>IF(Table145242[[#This Row],[Cyfanswm Ad-daliad (heb gynnwys taliadau llog)]]=0,Table145242[[#This Row],[Balans Cyfalaf Cychwynnol]],L70-R70)</f>
        <v/>
      </c>
      <c r="U70" s="580">
        <f>Table145242[[#This Row],[Cyfanswm Ad-daliad (heb gynnwys taliadau llog)]]</f>
        <v>0</v>
      </c>
      <c r="V70" s="580" t="e">
        <f>Table145242[[#This Row],[Taliad Llog]]</f>
        <v>#VALUE!</v>
      </c>
      <c r="W70" s="583" t="str">
        <f>N18</f>
        <v>Nodwch hyd talu'r benthyciad yn ôl yn 1a.</v>
      </c>
      <c r="X70" s="583" t="str">
        <f>IF(Table145242[[#This Row],[Prawf Balans ar y Diwedd - mae''n dangos beth ddylai''r taliad terfynol fod]]&lt;M62,Table145242[[#This Row],[Prawf Balans ar y Diwedd - mae''n dangos beth ddylai''r taliad terfynol fod]],"")</f>
        <v/>
      </c>
      <c r="Y70" s="584" t="str">
        <f>TRIM(Table145242[[#This Row],[Taliadau Cyfalaf Cronnol]])</f>
        <v>0</v>
      </c>
      <c r="Z70" s="585" t="e">
        <f>IF(Table145242[[#This Row],[Balans Cyfalaf ar y Diwedd]]=D49,Table145242[[#This Row],[Taliad Llog]],0)</f>
        <v>#VALUE!</v>
      </c>
      <c r="AA70" s="585">
        <f>IFERROR(VALUE(Table145242[[#This Row],[Rhif Talu Ad-daliad Cyfalaf]]), 0)</f>
        <v>0</v>
      </c>
      <c r="AB70" s="586" t="str">
        <f>IF(OR(L69&lt;=$N$18,AB69="Ad-daliadau cyfalaf wedi gorffen"),"Ad-daliadau Cyfalaf wedi Gorffen","Ad-daliadau cyfalaf yn anghyflawn")</f>
        <v>Ad-daliadau Cyfalaf wedi Gorffen</v>
      </c>
      <c r="AC70" s="819">
        <f>IF(Table145242[[#This Row],[Statws Ad-dalu]]="Ad-daliadau cyfalaf wedi gorffen",0,Table145242[[#This Row],[Taliad Llog]])</f>
        <v>0</v>
      </c>
      <c r="AD70" s="592" t="str">
        <f>IFERROR(IF(Table145242[[#This Row],[Ad-daliad Cyfalaf]]&lt;=0,0,IF(Table145242[[#This Row],[Statws Ad-dalu]]="Capital Repayments Finished",0,Table145242[[#This Row],[Ad-daliad Cyfalaf]])),0)</f>
        <v/>
      </c>
      <c r="AE70" s="596"/>
      <c r="AF70" s="596"/>
    </row>
    <row r="71" spans="2:32" x14ac:dyDescent="0.25">
      <c r="B71" s="596"/>
      <c r="C71" s="587">
        <v>45717</v>
      </c>
      <c r="D71" s="588">
        <v>46081</v>
      </c>
      <c r="E71" s="576" t="str">
        <f>IFERROR(IF((LEFT(G71,4))=(LEFT(AO29,4)),"1",IF((LEFT(G71,4))&lt;(LEFT(AO29,4)),"N/A",IF((LEFT(G71,4))&gt;(LEFT(AO29,4)),E70+1,))),"")</f>
        <v/>
      </c>
      <c r="F71" s="576">
        <f>IF(H71=AN27,"1",IF(H71&lt;AN27,"N/A",IF(H71&gt;AN27,SUM(F70+1))))</f>
        <v>3</v>
      </c>
      <c r="G71" s="589" t="s">
        <v>340</v>
      </c>
      <c r="H71" s="578" t="str">
        <f>LEFT(Table145242[[#This Row],[Blwyddyn Ariannol y Taliad]],4)</f>
        <v>2025</v>
      </c>
      <c r="I71" s="578" t="str">
        <f>TRIM(Table145242[[#This Row],[Cuddio Colofn, BT Gyntaf]])</f>
        <v>2025</v>
      </c>
      <c r="J71" s="579" t="str">
        <f>TRIM(AO16)</f>
        <v>1899</v>
      </c>
      <c r="K71" s="577" t="str">
        <f>IF(L33="Yes",N31+N32,D49)</f>
        <v/>
      </c>
      <c r="L71" s="580" t="str">
        <f>IF(I71=$AO$26,$D$49,T70)</f>
        <v/>
      </c>
      <c r="M71" s="581" t="e">
        <f>IF(SUM(T70+Table145242[[#This Row],[Taliad Llog]])&lt;N18,SUM(Table145242[[#This Row],[Balans Cyfalaf Cychwynnol]]+Table145242[[#This Row],[Taliad Llog]]),IF(Table145242[[#This Row],[Cuddio Colofn]]&gt;AN27,IF(AND(W71&gt;=0.1,W71&lt;N18),N18,IF(I71&gt;=AO29,N18,0)),0))</f>
        <v>#VALUE!</v>
      </c>
      <c r="N71" s="580" t="e">
        <f>IF(Table145242[[#This Row],[Cuddio Colofn]]&lt;AN27,"",IF(Table145242[[#This Row],[Cuddio Colofn]]=AN27,G49,IF(L32="Yes",AQ20,SUM(SUM(Table145242[[#This Row],[Balans Cyfalaf Cychwynnol]]*D50)))))</f>
        <v>#VALUE!</v>
      </c>
      <c r="O71" s="580" t="str">
        <f>IF(AB72="Ad-daliadau cyfalaf wedi gorffen",Table145242[[#This Row],[Balans Cyfalaf Cychwynnol]],IF(Table145242[[#This Row],[Cuddio Colofn]]&gt;=AO27,IFERROR((Table145242[[#This Row],[Isafswm gwerth ad-dalu gofynnol (y flwyddyn)]]-Table145242[[#This Row],[Taliad Llog]]),0),0))</f>
        <v/>
      </c>
      <c r="P71" s="582" t="str">
        <f>TRIM(Table145242[[#This Row],[Ad-daliad Cyfalaf]])</f>
        <v/>
      </c>
      <c r="Q71" s="573">
        <v>0</v>
      </c>
      <c r="R71" s="580">
        <f>SUM(Table145242[[#This Row],[Ad-daliad Cyfalaf]:[Ad-daliad Cyfalaf Cynnar]])</f>
        <v>0</v>
      </c>
      <c r="S71" s="580" t="e">
        <f>SUM(Table145242[[#This Row],[Taliad Llog]:[Ad-daliad Cyfalaf Cynnar]])</f>
        <v>#VALUE!</v>
      </c>
      <c r="T71" s="581" t="str">
        <f>IF(Table145242[[#This Row],[Cyfanswm Ad-daliad (heb gynnwys taliadau llog)]]=0,Table145242[[#This Row],[Balans Cyfalaf Cychwynnol]],L71-R71)</f>
        <v/>
      </c>
      <c r="U71" s="580">
        <f>U70+Table145242[[#This Row],[Cyfanswm Ad-daliad (heb gynnwys taliadau llog)]]</f>
        <v>0</v>
      </c>
      <c r="V71" s="580" t="e">
        <f>V70+Table145242[[#This Row],[Taliad Llog]]</f>
        <v>#VALUE!</v>
      </c>
      <c r="W71" s="583" t="str">
        <f>IF(N18="","",IF(M62&gt;T70,T70,M62))</f>
        <v/>
      </c>
      <c r="X71" s="583" t="str">
        <f>IF(Table145242[[#This Row],[Prawf Balans ar y Diwedd - mae''n dangos beth ddylai''r taliad terfynol fod]]&lt;M62,Table145242[[#This Row],[Prawf Balans ar y Diwedd - mae''n dangos beth ddylai''r taliad terfynol fod]],"")</f>
        <v/>
      </c>
      <c r="Y71" s="584" t="str">
        <f>TRIM(Table145242[[#This Row],[Taliadau Cyfalaf Cronnol]])</f>
        <v>0</v>
      </c>
      <c r="Z71" s="585" t="e">
        <f>IF(Table145242[[#This Row],[Balans Cyfalaf ar y Diwedd]]=D49,Table145242[[#This Row],[Taliad Llog]],0)</f>
        <v>#VALUE!</v>
      </c>
      <c r="AA71" s="585">
        <f>IFERROR(VALUE(Table145242[[#This Row],[Rhif Talu Ad-daliad Cyfalaf]]), 0)</f>
        <v>0</v>
      </c>
      <c r="AB71" s="586" t="str">
        <f t="shared" ref="AB71:AB93" si="0">IF(OR(L70&lt;=$N$18,AB70="Ad-daliadau cyfalaf wedi gorffen"),"Ad-daliadau Cyfalaf wedi Gorffen","Ad-daliadau cyfalaf yn anghyflawn")</f>
        <v>Ad-daliadau Cyfalaf wedi Gorffen</v>
      </c>
      <c r="AC71" s="820">
        <f>IF(Table145242[[#This Row],[Statws Ad-dalu]]="Ad-daliadau cyfalaf wedi gorffen",0,Table145242[[#This Row],[Taliad Llog]])</f>
        <v>0</v>
      </c>
      <c r="AD71" s="590" t="str">
        <f>IFERROR(IF(Table145242[[#This Row],[Ad-daliad Cyfalaf]]&lt;=0,0,IF(Table145242[[#This Row],[Statws Ad-dalu]]="Capital Repayments Finished",0,Table145242[[#This Row],[Ad-daliad Cyfalaf]])),0)</f>
        <v/>
      </c>
      <c r="AE71" s="596"/>
      <c r="AF71" s="596"/>
    </row>
    <row r="72" spans="2:32" x14ac:dyDescent="0.25">
      <c r="B72" s="596"/>
      <c r="C72" s="591">
        <v>46082</v>
      </c>
      <c r="D72" s="575">
        <v>46446</v>
      </c>
      <c r="E72" s="576" t="str">
        <f>IFERROR(IF((LEFT(G72,4))=(LEFT(AO29,4)),"1",IF((LEFT(G72,4))&lt;(LEFT(AO29,4)),"N/A",IF((LEFT(G72,4))&gt;(LEFT(AO29,4)),E71+1,))),"")</f>
        <v/>
      </c>
      <c r="F72" s="576">
        <f>IF(H72=AN27,"1",IF(H72&lt;AN27,"N/A",IF(H72&gt;AN27,SUM(F71+1))))</f>
        <v>4</v>
      </c>
      <c r="G72" s="577" t="s">
        <v>341</v>
      </c>
      <c r="H72" s="578" t="str">
        <f>LEFT(Table145242[[#This Row],[Blwyddyn Ariannol y Taliad]],4)</f>
        <v>2026</v>
      </c>
      <c r="I72" s="578" t="str">
        <f>TRIM(Table145242[[#This Row],[Cuddio Colofn, BT Gyntaf]])</f>
        <v>2026</v>
      </c>
      <c r="J72" s="579" t="str">
        <f>TRIM(AO16)</f>
        <v>1899</v>
      </c>
      <c r="K72" s="577" t="str">
        <f>D49</f>
        <v/>
      </c>
      <c r="L72" s="580" t="str">
        <f>IF(I72=$AO$26,$D$49,T71)</f>
        <v/>
      </c>
      <c r="M72" s="581" t="e">
        <f>IF(SUM(T71+Table145242[[#This Row],[Taliad Llog]])&lt;N18,SUM(Table145242[[#This Row],[Balans Cyfalaf Cychwynnol]]+Table145242[[#This Row],[Taliad Llog]]),IF(Table145242[[#This Row],[Cuddio Colofn]]&gt;AN27,IF(AND(W72&gt;=0.1,W72&lt;N18),N18,IF(I72&gt;=AO29,N18,0)),0))</f>
        <v>#VALUE!</v>
      </c>
      <c r="N72" s="580" t="e">
        <f>IF(Table145242[[#This Row],[Cuddio Colofn]]&lt;AN27,"",IF(Table145242[[#This Row],[Cuddio Colofn]]=AN27,G49,IF(L33="Yes",AS20,SUM(SUM(Table145242[[#This Row],[Balans Cyfalaf Cychwynnol]]*D50)))))</f>
        <v>#VALUE!</v>
      </c>
      <c r="O72" s="580" t="str">
        <f>IF(AB73="Ad-daliadau cyfalaf wedi gorffen",Table145242[[#This Row],[Balans Cyfalaf Cychwynnol]],IF(Table145242[[#This Row],[Cuddio Colofn]]&gt;=AO28,IFERROR((Table145242[[#This Row],[Isafswm gwerth ad-dalu gofynnol (y flwyddyn)]]-Table145242[[#This Row],[Taliad Llog]]),0),0))</f>
        <v/>
      </c>
      <c r="P72" s="582" t="str">
        <f>TRIM(Table145242[[#This Row],[Ad-daliad Cyfalaf]])</f>
        <v/>
      </c>
      <c r="Q72" s="573">
        <v>0</v>
      </c>
      <c r="R72" s="580">
        <f>SUM(Table145242[[#This Row],[Ad-daliad Cyfalaf]:[Ad-daliad Cyfalaf Cynnar]])</f>
        <v>0</v>
      </c>
      <c r="S72" s="580" t="e">
        <f>SUM(Table145242[[#This Row],[Taliad Llog]:[Ad-daliad Cyfalaf Cynnar]])</f>
        <v>#VALUE!</v>
      </c>
      <c r="T72" s="581" t="str">
        <f>IF(Table145242[[#This Row],[Cyfanswm Ad-daliad (heb gynnwys taliadau llog)]]=0,Table145242[[#This Row],[Balans Cyfalaf Cychwynnol]],L72-R72)</f>
        <v/>
      </c>
      <c r="U72" s="580">
        <f>U71+Table145242[[#This Row],[Cyfanswm Ad-daliad (heb gynnwys taliadau llog)]]</f>
        <v>0</v>
      </c>
      <c r="V72" s="580" t="e">
        <f>V71+Table145242[[#This Row],[Taliad Llog]]</f>
        <v>#VALUE!</v>
      </c>
      <c r="W72" s="583" t="str">
        <f>IF(N18="","",IF(M62&gt;T71,T71,M62))</f>
        <v/>
      </c>
      <c r="X72" s="583" t="str">
        <f>IF(Table145242[[#This Row],[Prawf Balans ar y Diwedd - mae''n dangos beth ddylai''r taliad terfynol fod]]&lt;M62,Table145242[[#This Row],[Prawf Balans ar y Diwedd - mae''n dangos beth ddylai''r taliad terfynol fod]],"")</f>
        <v/>
      </c>
      <c r="Y72" s="584" t="str">
        <f>TRIM(Table145242[[#This Row],[Taliadau Cyfalaf Cronnol]])</f>
        <v>0</v>
      </c>
      <c r="Z72" s="585" t="e">
        <f>IF(Table145242[[#This Row],[Balans Cyfalaf ar y Diwedd]]=D49,Table145242[[#This Row],[Taliad Llog]],0)</f>
        <v>#VALUE!</v>
      </c>
      <c r="AA72" s="585">
        <f>IFERROR(VALUE(Table145242[[#This Row],[Rhif Talu Ad-daliad Cyfalaf]]), 0)</f>
        <v>0</v>
      </c>
      <c r="AB72" s="586" t="str">
        <f t="shared" si="0"/>
        <v>Ad-daliadau Cyfalaf wedi Gorffen</v>
      </c>
      <c r="AC72" s="820">
        <f>IF(Table145242[[#This Row],[Statws Ad-dalu]]="Ad-daliadau cyfalaf wedi gorffen",0,Table145242[[#This Row],[Taliad Llog]])</f>
        <v>0</v>
      </c>
      <c r="AD72" s="590" t="str">
        <f>IFERROR(IF(Table145242[[#This Row],[Ad-daliad Cyfalaf]]&lt;=0,0,IF(Table145242[[#This Row],[Statws Ad-dalu]]="Capital Repayments Finished",0,Table145242[[#This Row],[Ad-daliad Cyfalaf]])),0)</f>
        <v/>
      </c>
      <c r="AE72" s="596"/>
      <c r="AF72" s="596"/>
    </row>
    <row r="73" spans="2:32" x14ac:dyDescent="0.25">
      <c r="B73" s="596"/>
      <c r="C73" s="587">
        <v>46447</v>
      </c>
      <c r="D73" s="588">
        <v>46811</v>
      </c>
      <c r="E73" s="576" t="str">
        <f>IFERROR(IF((LEFT(G73,4))=(LEFT(AO29,4)),"1",IF((LEFT(G73,4))&lt;(LEFT(AO29,4)),"N/A",IF((LEFT(G73,4))&gt;(LEFT(AO29,4)),E72+1,))),"")</f>
        <v/>
      </c>
      <c r="F73" s="576">
        <f>IF(H73=AN27,"1",IF(H73&lt;AN27,"N/A",IF(H73&gt;AN27,SUM(F72+1))))</f>
        <v>5</v>
      </c>
      <c r="G73" s="589" t="s">
        <v>342</v>
      </c>
      <c r="H73" s="578" t="str">
        <f>LEFT(Table145242[[#This Row],[Blwyddyn Ariannol y Taliad]],4)</f>
        <v>2027</v>
      </c>
      <c r="I73" s="578" t="str">
        <f>TRIM(Table145242[[#This Row],[Cuddio Colofn, BT Gyntaf]])</f>
        <v>2027</v>
      </c>
      <c r="J73" s="579" t="str">
        <f>TRIM(AO16)</f>
        <v>1899</v>
      </c>
      <c r="K73" s="577" t="str">
        <f>D49</f>
        <v/>
      </c>
      <c r="L73" s="580" t="str">
        <f t="shared" ref="L73:L82" si="1">T72</f>
        <v/>
      </c>
      <c r="M73" s="581" t="e">
        <f>IF(SUM(T72+Table145242[[#This Row],[Taliad Llog]])&lt;N18,SUM(Table145242[[#This Row],[Balans Cyfalaf Cychwynnol]]+Table145242[[#This Row],[Taliad Llog]]),IF(Table145242[[#This Row],[Cuddio Colofn]]&gt;AN27,IF(AND(W73&gt;=0.1,W73&lt;N18),N18,IF(I73&gt;=AO29,N18,0)),0))</f>
        <v>#VALUE!</v>
      </c>
      <c r="N73" s="580" t="e">
        <f>IF(Table145242[[#This Row],[Cuddio Colofn]]&lt;AN27,"",IF(Table145242[[#This Row],[Cuddio Colofn]]=AN27,G49,SUM(SUM(Table145242[[#This Row],[Balans Cyfalaf Cychwynnol]]*D50))))</f>
        <v>#VALUE!</v>
      </c>
      <c r="O73" s="580" t="str">
        <f>IF(AB74="Ad-daliadau cyfalaf wedi gorffen",Table145242[[#This Row],[Balans Cyfalaf Cychwynnol]],IF(Table145242[[#This Row],[Cuddio Colofn]]&gt;=AO29,IFERROR((Table145242[[#This Row],[Isafswm gwerth ad-dalu gofynnol (y flwyddyn)]]-Table145242[[#This Row],[Taliad Llog]]),0),0))</f>
        <v/>
      </c>
      <c r="P73" s="582" t="str">
        <f>TRIM(Table145242[[#This Row],[Ad-daliad Cyfalaf]])</f>
        <v/>
      </c>
      <c r="Q73" s="573">
        <v>0</v>
      </c>
      <c r="R73" s="580">
        <f>SUM(Table145242[[#This Row],[Ad-daliad Cyfalaf]:[Ad-daliad Cyfalaf Cynnar]])</f>
        <v>0</v>
      </c>
      <c r="S73" s="580" t="e">
        <f>SUM(Table145242[[#This Row],[Taliad Llog]:[Ad-daliad Cyfalaf Cynnar]])</f>
        <v>#VALUE!</v>
      </c>
      <c r="T73" s="581" t="str">
        <f>IF(Table145242[[#This Row],[Cyfanswm Ad-daliad (heb gynnwys taliadau llog)]]=0,Table145242[[#This Row],[Balans Cyfalaf Cychwynnol]],L73-R73)</f>
        <v/>
      </c>
      <c r="U73" s="580">
        <f>U72+Table145242[[#This Row],[Cyfanswm Ad-daliad (heb gynnwys taliadau llog)]]</f>
        <v>0</v>
      </c>
      <c r="V73" s="580" t="e">
        <f>V72+Table145242[[#This Row],[Taliad Llog]]</f>
        <v>#VALUE!</v>
      </c>
      <c r="W73" s="583" t="str">
        <f>IF(N18="","",IF(M62&gt;T72,T72,M62))</f>
        <v/>
      </c>
      <c r="X73" s="583" t="str">
        <f>IF(Table145242[[#This Row],[Prawf Balans ar y Diwedd - mae''n dangos beth ddylai''r taliad terfynol fod]]&lt;M62,Table145242[[#This Row],[Prawf Balans ar y Diwedd - mae''n dangos beth ddylai''r taliad terfynol fod]],"")</f>
        <v/>
      </c>
      <c r="Y73" s="584" t="str">
        <f>TRIM(Table145242[[#This Row],[Taliadau Cyfalaf Cronnol]])</f>
        <v>0</v>
      </c>
      <c r="Z73" s="585" t="e">
        <f>IF(Table145242[[#This Row],[Balans Cyfalaf ar y Diwedd]]=D49,Table145242[[#This Row],[Taliad Llog]],0)</f>
        <v>#VALUE!</v>
      </c>
      <c r="AA73" s="585">
        <f>IFERROR(VALUE(Table145242[[#This Row],[Rhif Talu Ad-daliad Cyfalaf]]), 0)</f>
        <v>0</v>
      </c>
      <c r="AB73" s="586" t="str">
        <f t="shared" si="0"/>
        <v>Ad-daliadau Cyfalaf wedi Gorffen</v>
      </c>
      <c r="AC73" s="820">
        <f>IF(Table145242[[#This Row],[Statws Ad-dalu]]="Ad-daliadau cyfalaf wedi gorffen",0,Table145242[[#This Row],[Taliad Llog]])</f>
        <v>0</v>
      </c>
      <c r="AD73" s="590" t="str">
        <f>IFERROR(IF(Table145242[[#This Row],[Ad-daliad Cyfalaf]]&lt;=0,0,IF(Table145242[[#This Row],[Statws Ad-dalu]]="Capital Repayments Finished",0,Table145242[[#This Row],[Ad-daliad Cyfalaf]])),0)</f>
        <v/>
      </c>
      <c r="AE73" s="596"/>
      <c r="AF73" s="596"/>
    </row>
    <row r="74" spans="2:32" x14ac:dyDescent="0.25">
      <c r="B74" s="596"/>
      <c r="C74" s="591">
        <v>46813</v>
      </c>
      <c r="D74" s="575">
        <v>47177</v>
      </c>
      <c r="E74" s="576" t="str">
        <f>IFERROR(IF((LEFT(G74,4))=(LEFT(AO29,4)),"1",IF((LEFT(G74,4))&lt;(LEFT(AO29,4)),"N/A",IF((LEFT(G74,4))&gt;(LEFT(AO29,4)),E73+1,))),"")</f>
        <v/>
      </c>
      <c r="F74" s="576">
        <f>IF(H74=AN27,"1",IF(H74&lt;AN27,"N/A",IF(H74&gt;AN27,SUM(F73+1))))</f>
        <v>6</v>
      </c>
      <c r="G74" s="577" t="s">
        <v>343</v>
      </c>
      <c r="H74" s="578" t="str">
        <f>LEFT(Table145242[[#This Row],[Blwyddyn Ariannol y Taliad]],4)</f>
        <v>2028</v>
      </c>
      <c r="I74" s="578" t="str">
        <f>TRIM(Table145242[[#This Row],[Cuddio Colofn, BT Gyntaf]])</f>
        <v>2028</v>
      </c>
      <c r="J74" s="579" t="str">
        <f>TRIM(AO16)</f>
        <v>1899</v>
      </c>
      <c r="K74" s="577" t="str">
        <f>D49</f>
        <v/>
      </c>
      <c r="L74" s="580" t="str">
        <f t="shared" si="1"/>
        <v/>
      </c>
      <c r="M74" s="581" t="e">
        <f>IF(SUM(T73+Table145242[[#This Row],[Taliad Llog]])&lt;N18,SUM(Table145242[[#This Row],[Balans Cyfalaf Cychwynnol]]+Table145242[[#This Row],[Taliad Llog]]),IF(Table145242[[#This Row],[Cuddio Colofn]]&gt;AN27,IF(AND(W74&gt;=0.1,W74&lt;N18),N18,IF(I74&gt;=AO29,N18,0)),0))</f>
        <v>#VALUE!</v>
      </c>
      <c r="N74" s="580" t="e">
        <f>IF(Table145242[[#This Row],[Cuddio Colofn]]&lt;AN27,"",IF(Table145242[[#This Row],[Cuddio Colofn]]=AN27,G49,SUM(SUM(Table145242[[#This Row],[Balans Cyfalaf Cychwynnol]]*D50))))</f>
        <v>#VALUE!</v>
      </c>
      <c r="O74" s="580" t="str">
        <f>IF(AB75="Ad-daliadau cyfalaf wedi gorffen",Table145242[[#This Row],[Balans Cyfalaf Cychwynnol]],IF(Table145242[[#This Row],[Cuddio Colofn]]&gt;=AO30,IFERROR((Table145242[[#This Row],[Isafswm gwerth ad-dalu gofynnol (y flwyddyn)]]-Table145242[[#This Row],[Taliad Llog]]),0),0))</f>
        <v/>
      </c>
      <c r="P74" s="582" t="str">
        <f>TRIM(Table145242[[#This Row],[Ad-daliad Cyfalaf]])</f>
        <v/>
      </c>
      <c r="Q74" s="573">
        <v>0</v>
      </c>
      <c r="R74" s="580">
        <f>SUM(Table145242[[#This Row],[Ad-daliad Cyfalaf]:[Ad-daliad Cyfalaf Cynnar]])</f>
        <v>0</v>
      </c>
      <c r="S74" s="580" t="e">
        <f>SUM(Table145242[[#This Row],[Taliad Llog]:[Ad-daliad Cyfalaf Cynnar]])</f>
        <v>#VALUE!</v>
      </c>
      <c r="T74" s="581" t="str">
        <f>IF(Table145242[[#This Row],[Cyfanswm Ad-daliad (heb gynnwys taliadau llog)]]=0,Table145242[[#This Row],[Balans Cyfalaf Cychwynnol]],L74-R74)</f>
        <v/>
      </c>
      <c r="U74" s="580">
        <f>U73+Table145242[[#This Row],[Cyfanswm Ad-daliad (heb gynnwys taliadau llog)]]</f>
        <v>0</v>
      </c>
      <c r="V74" s="580" t="e">
        <f>V73+Table145242[[#This Row],[Taliad Llog]]</f>
        <v>#VALUE!</v>
      </c>
      <c r="W74" s="583" t="str">
        <f>IF(N18="","",IF(M62&gt;T73,T73,M62))</f>
        <v/>
      </c>
      <c r="X74" s="583" t="str">
        <f>IF(Table145242[[#This Row],[Prawf Balans ar y Diwedd - mae''n dangos beth ddylai''r taliad terfynol fod]]&lt;M62,Table145242[[#This Row],[Prawf Balans ar y Diwedd - mae''n dangos beth ddylai''r taliad terfynol fod]],"")</f>
        <v/>
      </c>
      <c r="Y74" s="584" t="str">
        <f>TRIM(Table145242[[#This Row],[Taliadau Cyfalaf Cronnol]])</f>
        <v>0</v>
      </c>
      <c r="Z74" s="585" t="e">
        <f>IF(Table145242[[#This Row],[Balans Cyfalaf ar y Diwedd]]=D49,Table145242[[#This Row],[Taliad Llog]],0)</f>
        <v>#VALUE!</v>
      </c>
      <c r="AA74" s="585">
        <f>IFERROR(VALUE(Table145242[[#This Row],[Rhif Talu Ad-daliad Cyfalaf]]), 0)</f>
        <v>0</v>
      </c>
      <c r="AB74" s="586" t="str">
        <f t="shared" si="0"/>
        <v>Ad-daliadau Cyfalaf wedi Gorffen</v>
      </c>
      <c r="AC74" s="820">
        <f>IF(Table145242[[#This Row],[Statws Ad-dalu]]="Ad-daliadau cyfalaf wedi gorffen",0,Table145242[[#This Row],[Taliad Llog]])</f>
        <v>0</v>
      </c>
      <c r="AD74" s="590" t="str">
        <f>IFERROR(IF(Table145242[[#This Row],[Ad-daliad Cyfalaf]]&lt;=0,0,IF(Table145242[[#This Row],[Statws Ad-dalu]]="Capital Repayments Finished",0,Table145242[[#This Row],[Ad-daliad Cyfalaf]])),0)</f>
        <v/>
      </c>
      <c r="AE74" s="596"/>
      <c r="AF74" s="596"/>
    </row>
    <row r="75" spans="2:32" x14ac:dyDescent="0.25">
      <c r="B75" s="596"/>
      <c r="C75" s="587">
        <v>47178</v>
      </c>
      <c r="D75" s="588">
        <v>47542</v>
      </c>
      <c r="E75" s="576" t="str">
        <f>IFERROR(IF((LEFT(G75,4))=(LEFT(AO29,4)),"1",IF((LEFT(G75,4))&lt;(LEFT(AO29,4)),"N/A",IF((LEFT(G75,4))&gt;(LEFT(AO29,4)),E74+1,))),"")</f>
        <v/>
      </c>
      <c r="F75" s="576">
        <f>IF(H75=AN27,"1",IF(H75&lt;AN27,"N/A",IF(H75&gt;AN27,SUM(F74+1))))</f>
        <v>7</v>
      </c>
      <c r="G75" s="589" t="s">
        <v>344</v>
      </c>
      <c r="H75" s="578" t="str">
        <f>LEFT(Table145242[[#This Row],[Blwyddyn Ariannol y Taliad]],4)</f>
        <v>2029</v>
      </c>
      <c r="I75" s="578" t="str">
        <f>TRIM(Table145242[[#This Row],[Cuddio Colofn, BT Gyntaf]])</f>
        <v>2029</v>
      </c>
      <c r="J75" s="579" t="str">
        <f>TRIM(AO16)</f>
        <v>1899</v>
      </c>
      <c r="K75" s="577" t="str">
        <f>D49</f>
        <v/>
      </c>
      <c r="L75" s="580" t="str">
        <f t="shared" si="1"/>
        <v/>
      </c>
      <c r="M75" s="581" t="e">
        <f>IF(SUM(T74+Table145242[[#This Row],[Taliad Llog]])&lt;N18,SUM(Table145242[[#This Row],[Balans Cyfalaf Cychwynnol]]+Table145242[[#This Row],[Taliad Llog]]),IF(Table145242[[#This Row],[Cuddio Colofn]]&gt;AN27,IF(AND(W75&gt;=0.1,W75&lt;N18),N18,IF(I75&gt;=AO29,N18,0)),0))</f>
        <v>#VALUE!</v>
      </c>
      <c r="N75" s="580" t="e">
        <f>IF(Table145242[[#This Row],[Cuddio Colofn]]&lt;AN27,"",IF(Table145242[[#This Row],[Cuddio Colofn]]=AN27,G49,SUM(SUM(Table145242[[#This Row],[Balans Cyfalaf Cychwynnol]]*D50))))</f>
        <v>#VALUE!</v>
      </c>
      <c r="O75" s="580" t="str">
        <f>IF(AB76="Ad-daliadau cyfalaf wedi gorffen",Table145242[[#This Row],[Balans Cyfalaf Cychwynnol]],IF(Table145242[[#This Row],[Cuddio Colofn]]&gt;=AO31,IFERROR((Table145242[[#This Row],[Isafswm gwerth ad-dalu gofynnol (y flwyddyn)]]-Table145242[[#This Row],[Taliad Llog]]),0),0))</f>
        <v/>
      </c>
      <c r="P75" s="582" t="str">
        <f>TRIM(Table145242[[#This Row],[Ad-daliad Cyfalaf]])</f>
        <v/>
      </c>
      <c r="Q75" s="573">
        <v>0</v>
      </c>
      <c r="R75" s="580">
        <f>SUM(Table145242[[#This Row],[Ad-daliad Cyfalaf]:[Ad-daliad Cyfalaf Cynnar]])</f>
        <v>0</v>
      </c>
      <c r="S75" s="580" t="e">
        <f>SUM(Table145242[[#This Row],[Taliad Llog]:[Ad-daliad Cyfalaf Cynnar]])</f>
        <v>#VALUE!</v>
      </c>
      <c r="T75" s="581" t="str">
        <f>IF(Table145242[[#This Row],[Cyfanswm Ad-daliad (heb gynnwys taliadau llog)]]=0,Table145242[[#This Row],[Balans Cyfalaf Cychwynnol]],L75-R75)</f>
        <v/>
      </c>
      <c r="U75" s="580">
        <f>U74+Table145242[[#This Row],[Cyfanswm Ad-daliad (heb gynnwys taliadau llog)]]</f>
        <v>0</v>
      </c>
      <c r="V75" s="580" t="e">
        <f>V74+Table145242[[#This Row],[Taliad Llog]]</f>
        <v>#VALUE!</v>
      </c>
      <c r="W75" s="583" t="str">
        <f>IF(N18="","",IF(M62&gt;T74,T74,M62))</f>
        <v/>
      </c>
      <c r="X75" s="583" t="str">
        <f>IF(Table145242[[#This Row],[Prawf Balans ar y Diwedd - mae''n dangos beth ddylai''r taliad terfynol fod]]&lt;M62,Table145242[[#This Row],[Prawf Balans ar y Diwedd - mae''n dangos beth ddylai''r taliad terfynol fod]],"")</f>
        <v/>
      </c>
      <c r="Y75" s="584" t="str">
        <f>TRIM(Table145242[[#This Row],[Taliadau Cyfalaf Cronnol]])</f>
        <v>0</v>
      </c>
      <c r="Z75" s="585" t="e">
        <f>IF(Table145242[[#This Row],[Balans Cyfalaf ar y Diwedd]]=D49,Table145242[[#This Row],[Taliad Llog]],0)</f>
        <v>#VALUE!</v>
      </c>
      <c r="AA75" s="585">
        <f>IFERROR(VALUE(Table145242[[#This Row],[Rhif Talu Ad-daliad Cyfalaf]]), 0)</f>
        <v>0</v>
      </c>
      <c r="AB75" s="586" t="str">
        <f t="shared" si="0"/>
        <v>Ad-daliadau Cyfalaf wedi Gorffen</v>
      </c>
      <c r="AC75" s="820">
        <f>IF(Table145242[[#This Row],[Statws Ad-dalu]]="Ad-daliadau cyfalaf wedi gorffen",0,Table145242[[#This Row],[Taliad Llog]])</f>
        <v>0</v>
      </c>
      <c r="AD75" s="590" t="str">
        <f>IFERROR(IF(Table145242[[#This Row],[Ad-daliad Cyfalaf]]&lt;=0,0,IF(Table145242[[#This Row],[Statws Ad-dalu]]="Capital Repayments Finished",0,Table145242[[#This Row],[Ad-daliad Cyfalaf]])),0)</f>
        <v/>
      </c>
      <c r="AE75" s="596"/>
      <c r="AF75" s="596"/>
    </row>
    <row r="76" spans="2:32" x14ac:dyDescent="0.25">
      <c r="B76" s="596"/>
      <c r="C76" s="591">
        <v>47543</v>
      </c>
      <c r="D76" s="575">
        <v>47907</v>
      </c>
      <c r="E76" s="576" t="str">
        <f>IFERROR(IF((LEFT(G76,4))=(LEFT(AO29,4)),"1",IF((LEFT(G76,4))&lt;(LEFT(AO29,4)),"N/A",IF((LEFT(G76,4))&gt;(LEFT(AO29,4)),E75+1,))),"")</f>
        <v/>
      </c>
      <c r="F76" s="576">
        <f>IF(H76=AN27,"1",IF(H76&lt;AN27,"N/A",IF(H76&gt;AN27,SUM(F75+1))))</f>
        <v>8</v>
      </c>
      <c r="G76" s="577" t="s">
        <v>345</v>
      </c>
      <c r="H76" s="578" t="str">
        <f>LEFT(Table145242[[#This Row],[Blwyddyn Ariannol y Taliad]],4)</f>
        <v>2030</v>
      </c>
      <c r="I76" s="578" t="str">
        <f>TRIM(Table145242[[#This Row],[Cuddio Colofn, BT Gyntaf]])</f>
        <v>2030</v>
      </c>
      <c r="J76" s="579" t="str">
        <f>TRIM(AO16)</f>
        <v>1899</v>
      </c>
      <c r="K76" s="577" t="str">
        <f>D49</f>
        <v/>
      </c>
      <c r="L76" s="580" t="str">
        <f t="shared" si="1"/>
        <v/>
      </c>
      <c r="M76" s="581" t="e">
        <f>IF(SUM(T75+Table145242[[#This Row],[Taliad Llog]])&lt;N18,SUM(Table145242[[#This Row],[Balans Cyfalaf Cychwynnol]]+Table145242[[#This Row],[Taliad Llog]]),IF(Table145242[[#This Row],[Cuddio Colofn]]&gt;AN27,IF(AND(W76&gt;=0.1,W76&lt;N18),N18,IF(I76&gt;=AO29,N18,0)),0))</f>
        <v>#VALUE!</v>
      </c>
      <c r="N76" s="580" t="e">
        <f>IF(Table145242[[#This Row],[Cuddio Colofn]]&lt;AN27,"",IF(Table145242[[#This Row],[Cuddio Colofn]]=AN27,G49,SUM(SUM(Table145242[[#This Row],[Balans Cyfalaf Cychwynnol]]*D50))))</f>
        <v>#VALUE!</v>
      </c>
      <c r="O76" s="580" t="str">
        <f>IF(AB77="Ad-daliadau cyfalaf wedi gorffen",Table145242[[#This Row],[Balans Cyfalaf Cychwynnol]],IF(Table145242[[#This Row],[Cuddio Colofn]]&gt;=AO32,IFERROR((Table145242[[#This Row],[Isafswm gwerth ad-dalu gofynnol (y flwyddyn)]]-Table145242[[#This Row],[Taliad Llog]]),0),0))</f>
        <v/>
      </c>
      <c r="P76" s="582" t="str">
        <f>TRIM(Table145242[[#This Row],[Ad-daliad Cyfalaf]])</f>
        <v/>
      </c>
      <c r="Q76" s="573">
        <v>0</v>
      </c>
      <c r="R76" s="580">
        <f>SUM(Table145242[[#This Row],[Ad-daliad Cyfalaf]:[Ad-daliad Cyfalaf Cynnar]])</f>
        <v>0</v>
      </c>
      <c r="S76" s="580" t="e">
        <f>SUM(Table145242[[#This Row],[Taliad Llog]:[Ad-daliad Cyfalaf Cynnar]])</f>
        <v>#VALUE!</v>
      </c>
      <c r="T76" s="581" t="str">
        <f>IF(Table145242[[#This Row],[Cyfanswm Ad-daliad (heb gynnwys taliadau llog)]]=0,Table145242[[#This Row],[Balans Cyfalaf Cychwynnol]],L76-R76)</f>
        <v/>
      </c>
      <c r="U76" s="580">
        <f>U75+Table145242[[#This Row],[Cyfanswm Ad-daliad (heb gynnwys taliadau llog)]]</f>
        <v>0</v>
      </c>
      <c r="V76" s="580" t="e">
        <f>V75+Table145242[[#This Row],[Taliad Llog]]</f>
        <v>#VALUE!</v>
      </c>
      <c r="W76" s="583" t="str">
        <f>IF(N18="","",IF(M62&gt;T75,T75,M62))</f>
        <v/>
      </c>
      <c r="X76" s="583" t="str">
        <f>IF(Table145242[[#This Row],[Prawf Balans ar y Diwedd - mae''n dangos beth ddylai''r taliad terfynol fod]]&lt;M62,Table145242[[#This Row],[Prawf Balans ar y Diwedd - mae''n dangos beth ddylai''r taliad terfynol fod]],"")</f>
        <v/>
      </c>
      <c r="Y76" s="584" t="str">
        <f>TRIM(Table145242[[#This Row],[Taliadau Cyfalaf Cronnol]])</f>
        <v>0</v>
      </c>
      <c r="Z76" s="585" t="e">
        <f>IF(Table145242[[#This Row],[Balans Cyfalaf ar y Diwedd]]=D49,Table145242[[#This Row],[Taliad Llog]],0)</f>
        <v>#VALUE!</v>
      </c>
      <c r="AA76" s="585">
        <f>IFERROR(VALUE(Table145242[[#This Row],[Rhif Talu Ad-daliad Cyfalaf]]), 0)</f>
        <v>0</v>
      </c>
      <c r="AB76" s="586" t="str">
        <f t="shared" si="0"/>
        <v>Ad-daliadau Cyfalaf wedi Gorffen</v>
      </c>
      <c r="AC76" s="820">
        <f>IF(Table145242[[#This Row],[Statws Ad-dalu]]="Ad-daliadau cyfalaf wedi gorffen",0,Table145242[[#This Row],[Taliad Llog]])</f>
        <v>0</v>
      </c>
      <c r="AD76" s="590" t="str">
        <f>IFERROR(IF(Table145242[[#This Row],[Ad-daliad Cyfalaf]]&lt;=0,0,IF(Table145242[[#This Row],[Statws Ad-dalu]]="Capital Repayments Finished",0,Table145242[[#This Row],[Ad-daliad Cyfalaf]])),0)</f>
        <v/>
      </c>
      <c r="AE76" s="596"/>
      <c r="AF76" s="596"/>
    </row>
    <row r="77" spans="2:32" x14ac:dyDescent="0.25">
      <c r="B77" s="596"/>
      <c r="C77" s="587">
        <v>47908</v>
      </c>
      <c r="D77" s="588">
        <v>48272</v>
      </c>
      <c r="E77" s="576" t="str">
        <f>IFERROR(IF((LEFT(G77,4))=(LEFT(AO29,4)),"1",IF((LEFT(G77,4))&lt;(LEFT(AO29,4)),"N/A",IF((LEFT(G77,4))&gt;(LEFT(AO29,4)),E76+1,))),"")</f>
        <v/>
      </c>
      <c r="F77" s="576">
        <f>IF(H77=AN27,"1",IF(H77&lt;AN27,"N/A",IF(H77&gt;AN27,SUM(F76+1))))</f>
        <v>9</v>
      </c>
      <c r="G77" s="589" t="s">
        <v>346</v>
      </c>
      <c r="H77" s="578" t="str">
        <f>LEFT(Table145242[[#This Row],[Blwyddyn Ariannol y Taliad]],4)</f>
        <v>2031</v>
      </c>
      <c r="I77" s="578" t="str">
        <f>TRIM(Table145242[[#This Row],[Cuddio Colofn, BT Gyntaf]])</f>
        <v>2031</v>
      </c>
      <c r="J77" s="579" t="str">
        <f>TRIM(AO16)</f>
        <v>1899</v>
      </c>
      <c r="K77" s="577" t="str">
        <f>D49</f>
        <v/>
      </c>
      <c r="L77" s="580" t="str">
        <f t="shared" si="1"/>
        <v/>
      </c>
      <c r="M77" s="581" t="e">
        <f>IF(SUM(T76+Table145242[[#This Row],[Taliad Llog]])&lt;N18,SUM(Table145242[[#This Row],[Balans Cyfalaf Cychwynnol]]+Table145242[[#This Row],[Taliad Llog]]),IF(Table145242[[#This Row],[Cuddio Colofn]]&gt;AN27,IF(AND(W77&gt;=0.1,W77&lt;N18),N18,IF(I77&gt;=AO29,N18,0)),0))</f>
        <v>#VALUE!</v>
      </c>
      <c r="N77" s="580" t="e">
        <f>IF(Table145242[[#This Row],[Cuddio Colofn]]&lt;AN27,"",IF(Table145242[[#This Row],[Cuddio Colofn]]=AN27,G49,SUM(SUM(Table145242[[#This Row],[Balans Cyfalaf Cychwynnol]]*D50))))</f>
        <v>#VALUE!</v>
      </c>
      <c r="O77" s="580" t="str">
        <f>IF(AB78="Ad-daliadau cyfalaf wedi gorffen",Table145242[[#This Row],[Balans Cyfalaf Cychwynnol]],IF(Table145242[[#This Row],[Cuddio Colofn]]&gt;=AO33,IFERROR((Table145242[[#This Row],[Isafswm gwerth ad-dalu gofynnol (y flwyddyn)]]-Table145242[[#This Row],[Taliad Llog]]),0),0))</f>
        <v/>
      </c>
      <c r="P77" s="582" t="str">
        <f>TRIM(Table145242[[#This Row],[Ad-daliad Cyfalaf]])</f>
        <v/>
      </c>
      <c r="Q77" s="573">
        <v>0</v>
      </c>
      <c r="R77" s="580">
        <f>SUM(Table145242[[#This Row],[Ad-daliad Cyfalaf]:[Ad-daliad Cyfalaf Cynnar]])</f>
        <v>0</v>
      </c>
      <c r="S77" s="580" t="e">
        <f>SUM(Table145242[[#This Row],[Taliad Llog]:[Ad-daliad Cyfalaf Cynnar]])</f>
        <v>#VALUE!</v>
      </c>
      <c r="T77" s="581" t="str">
        <f>IF(Table145242[[#This Row],[Cyfanswm Ad-daliad (heb gynnwys taliadau llog)]]=0,Table145242[[#This Row],[Balans Cyfalaf Cychwynnol]],L77-R77)</f>
        <v/>
      </c>
      <c r="U77" s="580">
        <f>U76+Table145242[[#This Row],[Cyfanswm Ad-daliad (heb gynnwys taliadau llog)]]</f>
        <v>0</v>
      </c>
      <c r="V77" s="580" t="e">
        <f>V76+Table145242[[#This Row],[Taliad Llog]]</f>
        <v>#VALUE!</v>
      </c>
      <c r="W77" s="583" t="str">
        <f>IF(N18="","",IF(M62&gt;T76,T76,M62))</f>
        <v/>
      </c>
      <c r="X77" s="583" t="str">
        <f>IF(Table145242[[#This Row],[Prawf Balans ar y Diwedd - mae''n dangos beth ddylai''r taliad terfynol fod]]&lt;M62,Table145242[[#This Row],[Prawf Balans ar y Diwedd - mae''n dangos beth ddylai''r taliad terfynol fod]],"")</f>
        <v/>
      </c>
      <c r="Y77" s="584" t="str">
        <f>TRIM(Table145242[[#This Row],[Taliadau Cyfalaf Cronnol]])</f>
        <v>0</v>
      </c>
      <c r="Z77" s="585" t="e">
        <f>IF(Table145242[[#This Row],[Balans Cyfalaf ar y Diwedd]]=D49,Table145242[[#This Row],[Taliad Llog]],0)</f>
        <v>#VALUE!</v>
      </c>
      <c r="AA77" s="585">
        <f>IFERROR(VALUE(Table145242[[#This Row],[Rhif Talu Ad-daliad Cyfalaf]]), 0)</f>
        <v>0</v>
      </c>
      <c r="AB77" s="586" t="str">
        <f t="shared" si="0"/>
        <v>Ad-daliadau Cyfalaf wedi Gorffen</v>
      </c>
      <c r="AC77" s="820">
        <f>IF(Table145242[[#This Row],[Statws Ad-dalu]]="Ad-daliadau cyfalaf wedi gorffen",0,Table145242[[#This Row],[Taliad Llog]])</f>
        <v>0</v>
      </c>
      <c r="AD77" s="590" t="str">
        <f>IFERROR(IF(Table145242[[#This Row],[Ad-daliad Cyfalaf]]&lt;=0,0,IF(Table145242[[#This Row],[Statws Ad-dalu]]="Capital Repayments Finished",0,Table145242[[#This Row],[Ad-daliad Cyfalaf]])),0)</f>
        <v/>
      </c>
      <c r="AE77" s="596"/>
      <c r="AF77" s="596"/>
    </row>
    <row r="78" spans="2:32" x14ac:dyDescent="0.25">
      <c r="B78" s="596"/>
      <c r="C78" s="591">
        <v>48274</v>
      </c>
      <c r="D78" s="575">
        <v>48638</v>
      </c>
      <c r="E78" s="576" t="str">
        <f>IFERROR(IF((LEFT(G78,4))=(LEFT(AO29,4)),"1",IF((LEFT(G78,4))&lt;(LEFT(AO29,4)),"N/A",IF((LEFT(G78,4))&gt;(LEFT(AO29,4)),E77+1,))),"")</f>
        <v/>
      </c>
      <c r="F78" s="576">
        <f>IF(H78=AN27,"1",IF(H78&lt;AN27,"N/A",IF(H78&gt;AN27,SUM(F77+1))))</f>
        <v>10</v>
      </c>
      <c r="G78" s="577" t="s">
        <v>347</v>
      </c>
      <c r="H78" s="578" t="str">
        <f>LEFT(Table145242[[#This Row],[Blwyddyn Ariannol y Taliad]],4)</f>
        <v>2032</v>
      </c>
      <c r="I78" s="578" t="str">
        <f>TRIM(Table145242[[#This Row],[Cuddio Colofn, BT Gyntaf]])</f>
        <v>2032</v>
      </c>
      <c r="J78" s="579" t="str">
        <f>TRIM(AO16)</f>
        <v>1899</v>
      </c>
      <c r="K78" s="577" t="str">
        <f>D49</f>
        <v/>
      </c>
      <c r="L78" s="580" t="str">
        <f t="shared" si="1"/>
        <v/>
      </c>
      <c r="M78" s="581" t="e">
        <f>IF(SUM(T77+Table145242[[#This Row],[Taliad Llog]])&lt;N18,SUM(Table145242[[#This Row],[Balans Cyfalaf Cychwynnol]]+Table145242[[#This Row],[Taliad Llog]]),IF(Table145242[[#This Row],[Cuddio Colofn]]&gt;AN27,IF(AND(W78&gt;=0.1,W78&lt;N18),N18,IF(I78&gt;=AO29,N18,0)),0))</f>
        <v>#VALUE!</v>
      </c>
      <c r="N78" s="580" t="e">
        <f>IF(Table145242[[#This Row],[Cuddio Colofn]]&lt;AN27,"",IF(Table145242[[#This Row],[Cuddio Colofn]]=AN27,G49,SUM(SUM(Table145242[[#This Row],[Balans Cyfalaf Cychwynnol]]*D50))))</f>
        <v>#VALUE!</v>
      </c>
      <c r="O78" s="580" t="str">
        <f>IF(AB79="Ad-daliadau cyfalaf wedi gorffen",Table145242[[#This Row],[Balans Cyfalaf Cychwynnol]],IF(Table145242[[#This Row],[Cuddio Colofn]]&gt;=AO34,IFERROR((Table145242[[#This Row],[Isafswm gwerth ad-dalu gofynnol (y flwyddyn)]]-Table145242[[#This Row],[Taliad Llog]]),0),0))</f>
        <v/>
      </c>
      <c r="P78" s="582" t="str">
        <f>TRIM(Table145242[[#This Row],[Ad-daliad Cyfalaf]])</f>
        <v/>
      </c>
      <c r="Q78" s="573">
        <v>0</v>
      </c>
      <c r="R78" s="580">
        <f>SUM(Table145242[[#This Row],[Ad-daliad Cyfalaf]:[Ad-daliad Cyfalaf Cynnar]])</f>
        <v>0</v>
      </c>
      <c r="S78" s="580" t="e">
        <f>SUM(Table145242[[#This Row],[Taliad Llog]:[Ad-daliad Cyfalaf Cynnar]])</f>
        <v>#VALUE!</v>
      </c>
      <c r="T78" s="581" t="str">
        <f>IF(Table145242[[#This Row],[Cyfanswm Ad-daliad (heb gynnwys taliadau llog)]]=0,Table145242[[#This Row],[Balans Cyfalaf Cychwynnol]],L78-R78)</f>
        <v/>
      </c>
      <c r="U78" s="580">
        <f>U77+Table145242[[#This Row],[Cyfanswm Ad-daliad (heb gynnwys taliadau llog)]]</f>
        <v>0</v>
      </c>
      <c r="V78" s="580" t="e">
        <f>V77+Table145242[[#This Row],[Taliad Llog]]</f>
        <v>#VALUE!</v>
      </c>
      <c r="W78" s="583" t="str">
        <f>IF(N18="","",IF(M62&gt;T77,T77,M62))</f>
        <v/>
      </c>
      <c r="X78" s="583" t="str">
        <f>IF(Table145242[[#This Row],[Prawf Balans ar y Diwedd - mae''n dangos beth ddylai''r taliad terfynol fod]]&lt;M62,Table145242[[#This Row],[Prawf Balans ar y Diwedd - mae''n dangos beth ddylai''r taliad terfynol fod]],"")</f>
        <v/>
      </c>
      <c r="Y78" s="584" t="str">
        <f>TRIM(Table145242[[#This Row],[Taliadau Cyfalaf Cronnol]])</f>
        <v>0</v>
      </c>
      <c r="Z78" s="585" t="e">
        <f>IF(Table145242[[#This Row],[Balans Cyfalaf ar y Diwedd]]=D49,Table145242[[#This Row],[Taliad Llog]],0)</f>
        <v>#VALUE!</v>
      </c>
      <c r="AA78" s="585">
        <f>IFERROR(VALUE(Table145242[[#This Row],[Rhif Talu Ad-daliad Cyfalaf]]), 0)</f>
        <v>0</v>
      </c>
      <c r="AB78" s="586" t="str">
        <f>IF(OR(L77&lt;=$N$18,AB77="Ad-daliadau cyfalaf wedi gorffen"),"Ad-daliadau Cyfalaf wedi Gorffen","Ad-daliadau cyfalaf yn anghyflawn")</f>
        <v>Ad-daliadau Cyfalaf wedi Gorffen</v>
      </c>
      <c r="AC78" s="820">
        <f>IF(Table145242[[#This Row],[Statws Ad-dalu]]="Ad-daliadau cyfalaf wedi gorffen",0,Table145242[[#This Row],[Taliad Llog]])</f>
        <v>0</v>
      </c>
      <c r="AD78" s="590" t="str">
        <f>IFERROR(IF(Table145242[[#This Row],[Ad-daliad Cyfalaf]]&lt;=0,0,IF(Table145242[[#This Row],[Statws Ad-dalu]]="Capital Repayments Finished",0,Table145242[[#This Row],[Ad-daliad Cyfalaf]])),0)</f>
        <v/>
      </c>
      <c r="AE78" s="596"/>
      <c r="AF78" s="596"/>
    </row>
    <row r="79" spans="2:32" x14ac:dyDescent="0.25">
      <c r="B79" s="596"/>
      <c r="C79" s="587">
        <v>48639</v>
      </c>
      <c r="D79" s="588">
        <v>49003</v>
      </c>
      <c r="E79" s="576" t="str">
        <f>IFERROR(IF((LEFT(G79,4))=(LEFT(AO29,4)),"1",IF((LEFT(G79,4))&lt;(LEFT(AO29,4)),"N/A",IF((LEFT(G79,4))&gt;(LEFT(AO29,4)),E78+1,))),"")</f>
        <v/>
      </c>
      <c r="F79" s="576">
        <f>IF(H79=AN27,"1",IF(H79&lt;AN27,"N/A",IF(H79&gt;AN27,SUM(F78+1))))</f>
        <v>11</v>
      </c>
      <c r="G79" s="589" t="s">
        <v>348</v>
      </c>
      <c r="H79" s="578" t="str">
        <f>LEFT(Table145242[[#This Row],[Blwyddyn Ariannol y Taliad]],4)</f>
        <v>2033</v>
      </c>
      <c r="I79" s="578" t="str">
        <f>TRIM(Table145242[[#This Row],[Cuddio Colofn, BT Gyntaf]])</f>
        <v>2033</v>
      </c>
      <c r="J79" s="579" t="str">
        <f>TRIM(AO16)</f>
        <v>1899</v>
      </c>
      <c r="K79" s="577" t="str">
        <f>D49</f>
        <v/>
      </c>
      <c r="L79" s="580" t="str">
        <f t="shared" si="1"/>
        <v/>
      </c>
      <c r="M79" s="581" t="e">
        <f>IF(SUM(T78+Table145242[[#This Row],[Taliad Llog]])&lt;N18,SUM(Table145242[[#This Row],[Balans Cyfalaf Cychwynnol]]+Table145242[[#This Row],[Taliad Llog]]),IF(Table145242[[#This Row],[Cuddio Colofn]]&gt;AN27,IF(AND(W79&gt;=0.1,W79&lt;N18),N18,IF(I79&gt;=AO29,N18,0)),0))</f>
        <v>#VALUE!</v>
      </c>
      <c r="N79" s="580" t="e">
        <f>IF(Table145242[[#This Row],[Cuddio Colofn]]&lt;AN27,"",IF(Table145242[[#This Row],[Cuddio Colofn]]=AN27,G49,SUM(SUM(Table145242[[#This Row],[Balans Cyfalaf Cychwynnol]]*D50))))</f>
        <v>#VALUE!</v>
      </c>
      <c r="O79" s="580" t="str">
        <f>IF(AB80="Ad-daliadau cyfalaf wedi gorffen",Table145242[[#This Row],[Balans Cyfalaf Cychwynnol]],IF(Table145242[[#This Row],[Cuddio Colofn]]&gt;=AO35,IFERROR((Table145242[[#This Row],[Isafswm gwerth ad-dalu gofynnol (y flwyddyn)]]-Table145242[[#This Row],[Taliad Llog]]),0),0))</f>
        <v/>
      </c>
      <c r="P79" s="582" t="str">
        <f>TRIM(Table145242[[#This Row],[Ad-daliad Cyfalaf]])</f>
        <v/>
      </c>
      <c r="Q79" s="573">
        <v>0</v>
      </c>
      <c r="R79" s="580">
        <f>SUM(Table145242[[#This Row],[Ad-daliad Cyfalaf]:[Ad-daliad Cyfalaf Cynnar]])</f>
        <v>0</v>
      </c>
      <c r="S79" s="580" t="e">
        <f>SUM(Table145242[[#This Row],[Taliad Llog]:[Ad-daliad Cyfalaf Cynnar]])</f>
        <v>#VALUE!</v>
      </c>
      <c r="T79" s="581" t="str">
        <f>IF(Table145242[[#This Row],[Cyfanswm Ad-daliad (heb gynnwys taliadau llog)]]=0,Table145242[[#This Row],[Balans Cyfalaf Cychwynnol]],L79-R79)</f>
        <v/>
      </c>
      <c r="U79" s="580">
        <f>U78+Table145242[[#This Row],[Cyfanswm Ad-daliad (heb gynnwys taliadau llog)]]</f>
        <v>0</v>
      </c>
      <c r="V79" s="580" t="e">
        <f>V78+Table145242[[#This Row],[Taliad Llog]]</f>
        <v>#VALUE!</v>
      </c>
      <c r="W79" s="583" t="str">
        <f>IF(N18="","",IF(M62&gt;T78,T78,M62))</f>
        <v/>
      </c>
      <c r="X79" s="583" t="str">
        <f>IF(Table145242[[#This Row],[Prawf Balans ar y Diwedd - mae''n dangos beth ddylai''r taliad terfynol fod]]&lt;M62,Table145242[[#This Row],[Prawf Balans ar y Diwedd - mae''n dangos beth ddylai''r taliad terfynol fod]],"")</f>
        <v/>
      </c>
      <c r="Y79" s="584" t="str">
        <f>TRIM(Table145242[[#This Row],[Taliadau Cyfalaf Cronnol]])</f>
        <v>0</v>
      </c>
      <c r="Z79" s="585" t="e">
        <f>IF(Table145242[[#This Row],[Balans Cyfalaf ar y Diwedd]]=D49,Table145242[[#This Row],[Taliad Llog]],0)</f>
        <v>#VALUE!</v>
      </c>
      <c r="AA79" s="585">
        <f>IFERROR(VALUE(Table145242[[#This Row],[Rhif Talu Ad-daliad Cyfalaf]]), 0)</f>
        <v>0</v>
      </c>
      <c r="AB79" s="586" t="str">
        <f t="shared" si="0"/>
        <v>Ad-daliadau Cyfalaf wedi Gorffen</v>
      </c>
      <c r="AC79" s="820">
        <f>IF(Table145242[[#This Row],[Statws Ad-dalu]]="Ad-daliadau cyfalaf wedi gorffen",0,Table145242[[#This Row],[Taliad Llog]])</f>
        <v>0</v>
      </c>
      <c r="AD79" s="590" t="str">
        <f>IFERROR(IF(Table145242[[#This Row],[Ad-daliad Cyfalaf]]&lt;=0,0,IF(Table145242[[#This Row],[Statws Ad-dalu]]="Capital Repayments Finished",0,Table145242[[#This Row],[Ad-daliad Cyfalaf]])),0)</f>
        <v/>
      </c>
      <c r="AE79" s="596"/>
      <c r="AF79" s="596"/>
    </row>
    <row r="80" spans="2:32" x14ac:dyDescent="0.25">
      <c r="B80" s="596"/>
      <c r="C80" s="591">
        <v>49004</v>
      </c>
      <c r="D80" s="575">
        <v>49368</v>
      </c>
      <c r="E80" s="576" t="str">
        <f>IFERROR(IF((LEFT(G80,4))=(LEFT(AO29,4)),"1",IF((LEFT(G80,4))&lt;(LEFT(AO29,4)),"N/A",IF((LEFT(G80,4))&gt;(LEFT(AO29,4)),E79+1,))),"")</f>
        <v/>
      </c>
      <c r="F80" s="576">
        <f>IF(H80=AN27,"1",IF(H80&lt;AN27,"N/A",IF(H80&gt;AN27,SUM(F79+1))))</f>
        <v>12</v>
      </c>
      <c r="G80" s="577" t="s">
        <v>349</v>
      </c>
      <c r="H80" s="578" t="str">
        <f>LEFT(Table145242[[#This Row],[Blwyddyn Ariannol y Taliad]],4)</f>
        <v>2034</v>
      </c>
      <c r="I80" s="578" t="str">
        <f>TRIM(Table145242[[#This Row],[Cuddio Colofn, BT Gyntaf]])</f>
        <v>2034</v>
      </c>
      <c r="J80" s="579" t="str">
        <f>TRIM(AO16)</f>
        <v>1899</v>
      </c>
      <c r="K80" s="577" t="str">
        <f>D49</f>
        <v/>
      </c>
      <c r="L80" s="580" t="str">
        <f t="shared" si="1"/>
        <v/>
      </c>
      <c r="M80" s="581" t="e">
        <f>IF(SUM(T79+Table145242[[#This Row],[Taliad Llog]])&lt;N18,SUM(Table145242[[#This Row],[Balans Cyfalaf Cychwynnol]]+Table145242[[#This Row],[Taliad Llog]]),IF(Table145242[[#This Row],[Cuddio Colofn]]&gt;AN27,IF(AND(W80&gt;=0.1,W80&lt;N18),N18,IF(I80&gt;=AO29,N18,0)),0))</f>
        <v>#VALUE!</v>
      </c>
      <c r="N80" s="580" t="e">
        <f>IF(Table145242[[#This Row],[Cuddio Colofn]]&lt;AN27,"",IF(Table145242[[#This Row],[Cuddio Colofn]]=AN27,G49,SUM(SUM(Table145242[[#This Row],[Balans Cyfalaf Cychwynnol]]*D50))))</f>
        <v>#VALUE!</v>
      </c>
      <c r="O80" s="580" t="str">
        <f>IF(AB81="Ad-daliadau cyfalaf wedi gorffen",Table145242[[#This Row],[Balans Cyfalaf Cychwynnol]],IF(Table145242[[#This Row],[Cuddio Colofn]]&gt;=AO36,IFERROR((Table145242[[#This Row],[Isafswm gwerth ad-dalu gofynnol (y flwyddyn)]]-Table145242[[#This Row],[Taliad Llog]]),0),0))</f>
        <v/>
      </c>
      <c r="P80" s="582" t="str">
        <f>TRIM(Table145242[[#This Row],[Ad-daliad Cyfalaf]])</f>
        <v/>
      </c>
      <c r="Q80" s="573">
        <v>0</v>
      </c>
      <c r="R80" s="580">
        <f>SUM(Table145242[[#This Row],[Ad-daliad Cyfalaf]:[Ad-daliad Cyfalaf Cynnar]])</f>
        <v>0</v>
      </c>
      <c r="S80" s="580" t="e">
        <f>SUM(Table145242[[#This Row],[Taliad Llog]:[Ad-daliad Cyfalaf Cynnar]])</f>
        <v>#VALUE!</v>
      </c>
      <c r="T80" s="581" t="str">
        <f>IF(Table145242[[#This Row],[Cyfanswm Ad-daliad (heb gynnwys taliadau llog)]]=0,Table145242[[#This Row],[Balans Cyfalaf Cychwynnol]],L80-R80)</f>
        <v/>
      </c>
      <c r="U80" s="580">
        <f>U79+Table145242[[#This Row],[Cyfanswm Ad-daliad (heb gynnwys taliadau llog)]]</f>
        <v>0</v>
      </c>
      <c r="V80" s="580" t="e">
        <f>V79+Table145242[[#This Row],[Taliad Llog]]</f>
        <v>#VALUE!</v>
      </c>
      <c r="W80" s="583" t="str">
        <f>IF(N18="","",IF(M62&gt;T79,T79,M62))</f>
        <v/>
      </c>
      <c r="X80" s="583" t="str">
        <f>IF(Table145242[[#This Row],[Prawf Balans ar y Diwedd - mae''n dangos beth ddylai''r taliad terfynol fod]]&lt;M62,Table145242[[#This Row],[Prawf Balans ar y Diwedd - mae''n dangos beth ddylai''r taliad terfynol fod]],"")</f>
        <v/>
      </c>
      <c r="Y80" s="584" t="str">
        <f>TRIM(Table145242[[#This Row],[Taliadau Cyfalaf Cronnol]])</f>
        <v>0</v>
      </c>
      <c r="Z80" s="585" t="e">
        <f>IF(Table145242[[#This Row],[Balans Cyfalaf ar y Diwedd]]=D49,Table145242[[#This Row],[Taliad Llog]],0)</f>
        <v>#VALUE!</v>
      </c>
      <c r="AA80" s="585">
        <f>IFERROR(VALUE(Table145242[[#This Row],[Rhif Talu Ad-daliad Cyfalaf]]), 0)</f>
        <v>0</v>
      </c>
      <c r="AB80" s="586" t="str">
        <f t="shared" si="0"/>
        <v>Ad-daliadau Cyfalaf wedi Gorffen</v>
      </c>
      <c r="AC80" s="820">
        <f>IF(Table145242[[#This Row],[Statws Ad-dalu]]="Ad-daliadau cyfalaf wedi gorffen",0,Table145242[[#This Row],[Taliad Llog]])</f>
        <v>0</v>
      </c>
      <c r="AD80" s="590" t="str">
        <f>IFERROR(IF(Table145242[[#This Row],[Ad-daliad Cyfalaf]]&lt;=0,0,IF(Table145242[[#This Row],[Statws Ad-dalu]]="Capital Repayments Finished",0,Table145242[[#This Row],[Ad-daliad Cyfalaf]])),0)</f>
        <v/>
      </c>
      <c r="AE80" s="596"/>
      <c r="AF80" s="596"/>
    </row>
    <row r="81" spans="2:32" x14ac:dyDescent="0.25">
      <c r="B81" s="596"/>
      <c r="C81" s="587">
        <v>49369</v>
      </c>
      <c r="D81" s="588">
        <v>49733</v>
      </c>
      <c r="E81" s="576" t="str">
        <f>IFERROR(IF((LEFT(G81,4))=(LEFT(AO29,4)),"1",IF((LEFT(G81,4))&lt;(LEFT(AO29,4)),"N/A",IF((LEFT(G81,4))&gt;(LEFT(AO29,4)),E80+1,))),"")</f>
        <v/>
      </c>
      <c r="F81" s="576">
        <f>IF(H81=AN27,"1",IF(H81&lt;AN27,"N/A",IF(H81&gt;AN27,SUM(F80+1))))</f>
        <v>13</v>
      </c>
      <c r="G81" s="589" t="s">
        <v>350</v>
      </c>
      <c r="H81" s="578" t="str">
        <f>LEFT(Table145242[[#This Row],[Blwyddyn Ariannol y Taliad]],4)</f>
        <v>2035</v>
      </c>
      <c r="I81" s="578" t="str">
        <f>TRIM(Table145242[[#This Row],[Cuddio Colofn, BT Gyntaf]])</f>
        <v>2035</v>
      </c>
      <c r="J81" s="579" t="str">
        <f>TRIM(AO16)</f>
        <v>1899</v>
      </c>
      <c r="K81" s="577" t="str">
        <f>D49</f>
        <v/>
      </c>
      <c r="L81" s="580" t="str">
        <f t="shared" si="1"/>
        <v/>
      </c>
      <c r="M81" s="581" t="e">
        <f>IF(SUM(T80+Table145242[[#This Row],[Taliad Llog]])&lt;N18,SUM(Table145242[[#This Row],[Balans Cyfalaf Cychwynnol]]+Table145242[[#This Row],[Taliad Llog]]),IF(Table145242[[#This Row],[Cuddio Colofn]]&gt;AN27,IF(AND(W81&gt;=0.1,W81&lt;N18),N18,IF(I81&gt;=AO29,N18,0)),0))</f>
        <v>#VALUE!</v>
      </c>
      <c r="N81" s="580" t="e">
        <f>IF(Table145242[[#This Row],[Cuddio Colofn]]&lt;AN27,"",IF(Table145242[[#This Row],[Cuddio Colofn]]=AN27,G49,SUM(SUM(Table145242[[#This Row],[Balans Cyfalaf Cychwynnol]]*D50))))</f>
        <v>#VALUE!</v>
      </c>
      <c r="O81" s="580" t="str">
        <f>IF(AB82="Ad-daliadau cyfalaf wedi gorffen",Table145242[[#This Row],[Balans Cyfalaf Cychwynnol]],IF(Table145242[[#This Row],[Cuddio Colofn]]&gt;=AO37,IFERROR((Table145242[[#This Row],[Isafswm gwerth ad-dalu gofynnol (y flwyddyn)]]-Table145242[[#This Row],[Taliad Llog]]),0),0))</f>
        <v/>
      </c>
      <c r="P81" s="582" t="str">
        <f>TRIM(Table145242[[#This Row],[Ad-daliad Cyfalaf]])</f>
        <v/>
      </c>
      <c r="Q81" s="573">
        <v>0</v>
      </c>
      <c r="R81" s="580">
        <f>SUM(Table145242[[#This Row],[Ad-daliad Cyfalaf]:[Ad-daliad Cyfalaf Cynnar]])</f>
        <v>0</v>
      </c>
      <c r="S81" s="580" t="e">
        <f>SUM(Table145242[[#This Row],[Taliad Llog]:[Ad-daliad Cyfalaf Cynnar]])</f>
        <v>#VALUE!</v>
      </c>
      <c r="T81" s="581" t="str">
        <f>IF(Table145242[[#This Row],[Cyfanswm Ad-daliad (heb gynnwys taliadau llog)]]=0,Table145242[[#This Row],[Balans Cyfalaf Cychwynnol]],L81-R81)</f>
        <v/>
      </c>
      <c r="U81" s="580">
        <f>U80+Table145242[[#This Row],[Cyfanswm Ad-daliad (heb gynnwys taliadau llog)]]</f>
        <v>0</v>
      </c>
      <c r="V81" s="580" t="e">
        <f>V80+Table145242[[#This Row],[Taliad Llog]]</f>
        <v>#VALUE!</v>
      </c>
      <c r="W81" s="583" t="str">
        <f>IF(N18="","",IF(M62&gt;T80,T80,M62))</f>
        <v/>
      </c>
      <c r="X81" s="583" t="str">
        <f>IF(Table145242[[#This Row],[Prawf Balans ar y Diwedd - mae''n dangos beth ddylai''r taliad terfynol fod]]&lt;M62,Table145242[[#This Row],[Prawf Balans ar y Diwedd - mae''n dangos beth ddylai''r taliad terfynol fod]],"")</f>
        <v/>
      </c>
      <c r="Y81" s="584" t="str">
        <f>TRIM(Table145242[[#This Row],[Taliadau Cyfalaf Cronnol]])</f>
        <v>0</v>
      </c>
      <c r="Z81" s="585" t="e">
        <f>IF(Table145242[[#This Row],[Balans Cyfalaf ar y Diwedd]]=D49,Table145242[[#This Row],[Taliad Llog]],0)</f>
        <v>#VALUE!</v>
      </c>
      <c r="AA81" s="585">
        <f>IFERROR(VALUE(Table145242[[#This Row],[Rhif Talu Ad-daliad Cyfalaf]]), 0)</f>
        <v>0</v>
      </c>
      <c r="AB81" s="586" t="str">
        <f t="shared" si="0"/>
        <v>Ad-daliadau Cyfalaf wedi Gorffen</v>
      </c>
      <c r="AC81" s="820">
        <f>IF(Table145242[[#This Row],[Statws Ad-dalu]]="Ad-daliadau cyfalaf wedi gorffen",0,Table145242[[#This Row],[Taliad Llog]])</f>
        <v>0</v>
      </c>
      <c r="AD81" s="590" t="str">
        <f>IFERROR(IF(Table145242[[#This Row],[Ad-daliad Cyfalaf]]&lt;=0,0,IF(Table145242[[#This Row],[Statws Ad-dalu]]="Capital Repayments Finished",0,Table145242[[#This Row],[Ad-daliad Cyfalaf]])),0)</f>
        <v/>
      </c>
      <c r="AE81" s="596"/>
      <c r="AF81" s="596"/>
    </row>
    <row r="82" spans="2:32" x14ac:dyDescent="0.25">
      <c r="B82" s="596"/>
      <c r="C82" s="575">
        <v>49735</v>
      </c>
      <c r="D82" s="575">
        <v>50099</v>
      </c>
      <c r="E82" s="576" t="str">
        <f>IFERROR(IF((LEFT(G82,4))=(LEFT(AO29,4)),"1",IF((LEFT(G82,4))&lt;(LEFT(AO29,4)),"N/A",IF((LEFT(G82,4))&gt;(LEFT(AO29,4)),E81+1,))),"")</f>
        <v/>
      </c>
      <c r="F82" s="576">
        <f>IF(H82=AN27,"1",IF(H82&lt;AN27,"N/A",IF(H82&gt;AN27,SUM(F81+1))))</f>
        <v>14</v>
      </c>
      <c r="G82" s="577" t="s">
        <v>351</v>
      </c>
      <c r="H82" s="578" t="str">
        <f>LEFT(Table145242[[#This Row],[Blwyddyn Ariannol y Taliad]],4)</f>
        <v>2036</v>
      </c>
      <c r="I82" s="578" t="str">
        <f>TRIM(Table145242[[#This Row],[Cuddio Colofn, BT Gyntaf]])</f>
        <v>2036</v>
      </c>
      <c r="J82" s="579" t="str">
        <f>TRIM(AO16)</f>
        <v>1899</v>
      </c>
      <c r="K82" s="577" t="str">
        <f>D49</f>
        <v/>
      </c>
      <c r="L82" s="580" t="str">
        <f t="shared" si="1"/>
        <v/>
      </c>
      <c r="M82" s="581" t="e">
        <f>IF(SUM(T81+Table145242[[#This Row],[Taliad Llog]])&lt;N18,SUM(Table145242[[#This Row],[Balans Cyfalaf Cychwynnol]]+Table145242[[#This Row],[Taliad Llog]]),IF(Table145242[[#This Row],[Cuddio Colofn]]&gt;AN27,IF(AND(W82&gt;=0.1,W82&lt;N18),N18,IF(I82&gt;=AO29,N18,0)),0))</f>
        <v>#VALUE!</v>
      </c>
      <c r="N82" s="580" t="e">
        <f>IF(Table145242[[#This Row],[Cuddio Colofn]]&lt;AN27,"",IF(Table145242[[#This Row],[Cuddio Colofn]]=AN27,G49,SUM(SUM(Table145242[[#This Row],[Balans Cyfalaf Cychwynnol]]*D50))))</f>
        <v>#VALUE!</v>
      </c>
      <c r="O82" s="580" t="str">
        <f>IF(AB83="Ad-daliadau cyfalaf wedi gorffen",Table145242[[#This Row],[Balans Cyfalaf Cychwynnol]],IF(Table145242[[#This Row],[Cuddio Colofn]]&gt;=AO38,IFERROR((Table145242[[#This Row],[Isafswm gwerth ad-dalu gofynnol (y flwyddyn)]]-Table145242[[#This Row],[Taliad Llog]]),0),0))</f>
        <v/>
      </c>
      <c r="P82" s="582" t="str">
        <f>TRIM(Table145242[[#This Row],[Ad-daliad Cyfalaf]])</f>
        <v/>
      </c>
      <c r="Q82" s="573">
        <v>0</v>
      </c>
      <c r="R82" s="580">
        <f>SUM(Table145242[[#This Row],[Ad-daliad Cyfalaf]:[Ad-daliad Cyfalaf Cynnar]])</f>
        <v>0</v>
      </c>
      <c r="S82" s="580" t="e">
        <f>SUM(Table145242[[#This Row],[Taliad Llog]:[Ad-daliad Cyfalaf Cynnar]])</f>
        <v>#VALUE!</v>
      </c>
      <c r="T82" s="581" t="str">
        <f>IF(Table145242[[#This Row],[Cyfanswm Ad-daliad (heb gynnwys taliadau llog)]]=0,Table145242[[#This Row],[Balans Cyfalaf Cychwynnol]],L82-R82)</f>
        <v/>
      </c>
      <c r="U82" s="580">
        <f>U81+Table145242[[#This Row],[Cyfanswm Ad-daliad (heb gynnwys taliadau llog)]]</f>
        <v>0</v>
      </c>
      <c r="V82" s="580" t="e">
        <f>V81+Table145242[[#This Row],[Taliad Llog]]</f>
        <v>#VALUE!</v>
      </c>
      <c r="W82" s="583" t="str">
        <f>IF(N18="","",IF(M62&gt;T81,T81,M62))</f>
        <v/>
      </c>
      <c r="X82" s="583" t="str">
        <f>IF(Table145242[[#This Row],[Prawf Balans ar y Diwedd - mae''n dangos beth ddylai''r taliad terfynol fod]]&lt;M62,Table145242[[#This Row],[Prawf Balans ar y Diwedd - mae''n dangos beth ddylai''r taliad terfynol fod]],"")</f>
        <v/>
      </c>
      <c r="Y82" s="584" t="str">
        <f>TRIM(Table145242[[#This Row],[Taliadau Cyfalaf Cronnol]])</f>
        <v>0</v>
      </c>
      <c r="Z82" s="585" t="e">
        <f>IF(Table145242[[#This Row],[Balans Cyfalaf ar y Diwedd]]=D49,Table145242[[#This Row],[Taliad Llog]],0)</f>
        <v>#VALUE!</v>
      </c>
      <c r="AA82" s="585">
        <f>IFERROR(VALUE(Table145242[[#This Row],[Rhif Talu Ad-daliad Cyfalaf]]), 0)</f>
        <v>0</v>
      </c>
      <c r="AB82" s="586" t="str">
        <f t="shared" si="0"/>
        <v>Ad-daliadau Cyfalaf wedi Gorffen</v>
      </c>
      <c r="AC82" s="820">
        <f>IF(Table145242[[#This Row],[Statws Ad-dalu]]="Ad-daliadau cyfalaf wedi gorffen",0,Table145242[[#This Row],[Taliad Llog]])</f>
        <v>0</v>
      </c>
      <c r="AD82" s="590" t="str">
        <f>IFERROR(IF(Table145242[[#This Row],[Ad-daliad Cyfalaf]]&lt;=0,0,IF(Table145242[[#This Row],[Statws Ad-dalu]]="Capital Repayments Finished",0,Table145242[[#This Row],[Ad-daliad Cyfalaf]])),0)</f>
        <v/>
      </c>
      <c r="AE82" s="596"/>
      <c r="AF82" s="596"/>
    </row>
    <row r="83" spans="2:32" x14ac:dyDescent="0.25">
      <c r="B83" s="596"/>
      <c r="C83" s="587">
        <v>50100</v>
      </c>
      <c r="D83" s="588">
        <v>50464</v>
      </c>
      <c r="E83" s="576" t="str">
        <f>IFERROR(IF((LEFT(G83,4))=(LEFT(AO29,4)),"1",IF((LEFT(G83,4))&lt;(LEFT(AO29,4)),"N/A",IF((LEFT(G83,4))&gt;(LEFT(AO29,4)),E82+1,))),"")</f>
        <v/>
      </c>
      <c r="F83" s="576">
        <f>IF(H83=AN27,"1",IF(H83&lt;AN27,"N/A",IF(H83&gt;AN27,SUM(F82+1))))</f>
        <v>15</v>
      </c>
      <c r="G83" s="589" t="s">
        <v>352</v>
      </c>
      <c r="H83" s="578" t="str">
        <f>LEFT(Table145242[[#This Row],[Blwyddyn Ariannol y Taliad]],4)</f>
        <v>2037</v>
      </c>
      <c r="I83" s="578" t="str">
        <f>TRIM(Table145242[[#This Row],[Cuddio Colofn, BT Gyntaf]])</f>
        <v>2037</v>
      </c>
      <c r="J83" s="579" t="str">
        <f>TRIM(AO16)</f>
        <v>1899</v>
      </c>
      <c r="K83" s="577" t="str">
        <f>D49</f>
        <v/>
      </c>
      <c r="L83" s="580" t="str">
        <f t="shared" ref="L83:L93" si="2">T82</f>
        <v/>
      </c>
      <c r="M83" s="581" t="e">
        <f>IF(SUM(T82+Table145242[[#This Row],[Taliad Llog]])&lt;N18,SUM(Table145242[[#This Row],[Balans Cyfalaf Cychwynnol]]+Table145242[[#This Row],[Taliad Llog]]),IF(Table145242[[#This Row],[Cuddio Colofn]]&gt;AN27,IF(AND(W83&gt;=0.1,W83&lt;N18),N18,IF(I83&gt;=AO29,N18,0)),0))</f>
        <v>#VALUE!</v>
      </c>
      <c r="N83" s="580" t="e">
        <f>IF(Table145242[[#This Row],[Cuddio Colofn]]&lt;AN27,"",IF(Table145242[[#This Row],[Cuddio Colofn]]=AN27,G49,SUM(SUM(Table145242[[#This Row],[Balans Cyfalaf Cychwynnol]]*D50))))</f>
        <v>#VALUE!</v>
      </c>
      <c r="O83" s="580" t="str">
        <f>IF(AB84="Ad-daliadau cyfalaf wedi gorffen",Table145242[[#This Row],[Balans Cyfalaf Cychwynnol]],IF(Table145242[[#This Row],[Cuddio Colofn]]&gt;=AO39,IFERROR((Table145242[[#This Row],[Isafswm gwerth ad-dalu gofynnol (y flwyddyn)]]-Table145242[[#This Row],[Taliad Llog]]),0),0))</f>
        <v/>
      </c>
      <c r="P83" s="582" t="str">
        <f>TRIM(Table145242[[#This Row],[Ad-daliad Cyfalaf]])</f>
        <v/>
      </c>
      <c r="Q83" s="573">
        <v>0</v>
      </c>
      <c r="R83" s="580">
        <f>SUM(Table145242[[#This Row],[Ad-daliad Cyfalaf]:[Ad-daliad Cyfalaf Cynnar]])</f>
        <v>0</v>
      </c>
      <c r="S83" s="580" t="e">
        <f>SUM(Table145242[[#This Row],[Taliad Llog]:[Ad-daliad Cyfalaf Cynnar]])</f>
        <v>#VALUE!</v>
      </c>
      <c r="T83" s="581" t="str">
        <f>IF(Table145242[[#This Row],[Cyfanswm Ad-daliad (heb gynnwys taliadau llog)]]=0,Table145242[[#This Row],[Balans Cyfalaf Cychwynnol]],L83-R83)</f>
        <v/>
      </c>
      <c r="U83" s="580">
        <f>U82+Table145242[[#This Row],[Cyfanswm Ad-daliad (heb gynnwys taliadau llog)]]</f>
        <v>0</v>
      </c>
      <c r="V83" s="580" t="e">
        <f>V82+Table145242[[#This Row],[Taliad Llog]]</f>
        <v>#VALUE!</v>
      </c>
      <c r="W83" s="583" t="str">
        <f>IF(N18="","",IF(M62&gt;T82,T82,M62))</f>
        <v/>
      </c>
      <c r="X83" s="583" t="str">
        <f>IF(Table145242[[#This Row],[Prawf Balans ar y Diwedd - mae''n dangos beth ddylai''r taliad terfynol fod]]&lt;M62,Table145242[[#This Row],[Prawf Balans ar y Diwedd - mae''n dangos beth ddylai''r taliad terfynol fod]],"")</f>
        <v/>
      </c>
      <c r="Y83" s="584" t="str">
        <f>TRIM(Table145242[[#This Row],[Taliadau Cyfalaf Cronnol]])</f>
        <v>0</v>
      </c>
      <c r="Z83" s="585" t="e">
        <f>IF(Table145242[[#This Row],[Balans Cyfalaf ar y Diwedd]]=D49,Table145242[[#This Row],[Taliad Llog]],0)</f>
        <v>#VALUE!</v>
      </c>
      <c r="AA83" s="585">
        <f>IFERROR(VALUE(Table145242[[#This Row],[Rhif Talu Ad-daliad Cyfalaf]]), 0)</f>
        <v>0</v>
      </c>
      <c r="AB83" s="586" t="str">
        <f t="shared" si="0"/>
        <v>Ad-daliadau Cyfalaf wedi Gorffen</v>
      </c>
      <c r="AC83" s="820">
        <f>IF(Table145242[[#This Row],[Statws Ad-dalu]]="Ad-daliadau cyfalaf wedi gorffen",0,Table145242[[#This Row],[Taliad Llog]])</f>
        <v>0</v>
      </c>
      <c r="AD83" s="590" t="str">
        <f>IFERROR(IF(Table145242[[#This Row],[Ad-daliad Cyfalaf]]&lt;=0,0,IF(Table145242[[#This Row],[Statws Ad-dalu]]="Capital Repayments Finished",0,Table145242[[#This Row],[Ad-daliad Cyfalaf]])),0)</f>
        <v/>
      </c>
      <c r="AE83" s="596"/>
      <c r="AF83" s="596"/>
    </row>
    <row r="84" spans="2:32" x14ac:dyDescent="0.25">
      <c r="B84" s="596"/>
      <c r="C84" s="591">
        <v>50465</v>
      </c>
      <c r="D84" s="575">
        <v>50829</v>
      </c>
      <c r="E84" s="576" t="str">
        <f>IFERROR(IF((LEFT(G84,4))=(LEFT(AO29,4)),"1",IF((LEFT(G84,4))&lt;(LEFT(AO29,4)),"N/A",IF((LEFT(G84,4))&gt;(LEFT(AO29,4)),E83+1,))),"")</f>
        <v/>
      </c>
      <c r="F84" s="576">
        <f>IF(H84=AN27,"1",IF(H84&lt;AN27,"N/A",IF(H84&gt;AN27,SUM(F83+1))))</f>
        <v>16</v>
      </c>
      <c r="G84" s="577" t="s">
        <v>353</v>
      </c>
      <c r="H84" s="578" t="str">
        <f>LEFT(Table145242[[#This Row],[Blwyddyn Ariannol y Taliad]],4)</f>
        <v>2038</v>
      </c>
      <c r="I84" s="578" t="str">
        <f>TRIM(Table145242[[#This Row],[Cuddio Colofn, BT Gyntaf]])</f>
        <v>2038</v>
      </c>
      <c r="J84" s="579" t="str">
        <f>TRIM(AO16)</f>
        <v>1899</v>
      </c>
      <c r="K84" s="577" t="str">
        <f>D49</f>
        <v/>
      </c>
      <c r="L84" s="580" t="str">
        <f t="shared" si="2"/>
        <v/>
      </c>
      <c r="M84" s="581" t="e">
        <f>IF(SUM(T83+Table145242[[#This Row],[Taliad Llog]])&lt;N18,SUM(Table145242[[#This Row],[Balans Cyfalaf Cychwynnol]]+Table145242[[#This Row],[Taliad Llog]]),IF(Table145242[[#This Row],[Cuddio Colofn]]&gt;AN27,IF(AND(W84&gt;=0.1,W84&lt;N18),N18,IF(I84&gt;=AO29,N18,0)),0))</f>
        <v>#VALUE!</v>
      </c>
      <c r="N84" s="580" t="e">
        <f>IF(Table145242[[#This Row],[Cuddio Colofn]]&lt;AN27,"",IF(Table145242[[#This Row],[Cuddio Colofn]]=AN27,G49,SUM(SUM(Table145242[[#This Row],[Balans Cyfalaf Cychwynnol]]*D50))))</f>
        <v>#VALUE!</v>
      </c>
      <c r="O84" s="580" t="str">
        <f>IF(AB85="Ad-daliadau cyfalaf wedi gorffen",Table145242[[#This Row],[Balans Cyfalaf Cychwynnol]],IF(Table145242[[#This Row],[Cuddio Colofn]]&gt;=AO40,IFERROR((Table145242[[#This Row],[Isafswm gwerth ad-dalu gofynnol (y flwyddyn)]]-Table145242[[#This Row],[Taliad Llog]]),0),0))</f>
        <v/>
      </c>
      <c r="P84" s="582" t="str">
        <f>TRIM(Table145242[[#This Row],[Ad-daliad Cyfalaf]])</f>
        <v/>
      </c>
      <c r="Q84" s="573">
        <v>0</v>
      </c>
      <c r="R84" s="580">
        <f>SUM(Table145242[[#This Row],[Ad-daliad Cyfalaf]:[Ad-daliad Cyfalaf Cynnar]])</f>
        <v>0</v>
      </c>
      <c r="S84" s="580" t="e">
        <f>SUM(Table145242[[#This Row],[Taliad Llog]:[Ad-daliad Cyfalaf Cynnar]])</f>
        <v>#VALUE!</v>
      </c>
      <c r="T84" s="581" t="str">
        <f>IF(Table145242[[#This Row],[Cyfanswm Ad-daliad (heb gynnwys taliadau llog)]]=0,Table145242[[#This Row],[Balans Cyfalaf Cychwynnol]],L84-R84)</f>
        <v/>
      </c>
      <c r="U84" s="580">
        <f>U83+Table145242[[#This Row],[Cyfanswm Ad-daliad (heb gynnwys taliadau llog)]]</f>
        <v>0</v>
      </c>
      <c r="V84" s="580" t="e">
        <f>V83+Table145242[[#This Row],[Taliad Llog]]</f>
        <v>#VALUE!</v>
      </c>
      <c r="W84" s="583" t="str">
        <f>IF(N18="","",IF(M62&gt;T83,T83,M62))</f>
        <v/>
      </c>
      <c r="X84" s="583" t="str">
        <f>IF(Table145242[[#This Row],[Prawf Balans ar y Diwedd - mae''n dangos beth ddylai''r taliad terfynol fod]]&lt;M62,Table145242[[#This Row],[Prawf Balans ar y Diwedd - mae''n dangos beth ddylai''r taliad terfynol fod]],"")</f>
        <v/>
      </c>
      <c r="Y84" s="584" t="str">
        <f>TRIM(Table145242[[#This Row],[Taliadau Cyfalaf Cronnol]])</f>
        <v>0</v>
      </c>
      <c r="Z84" s="585" t="e">
        <f>IF(Table145242[[#This Row],[Balans Cyfalaf ar y Diwedd]]=D49,Table145242[[#This Row],[Taliad Llog]],0)</f>
        <v>#VALUE!</v>
      </c>
      <c r="AA84" s="585">
        <f>IFERROR(VALUE(Table145242[[#This Row],[Rhif Talu Ad-daliad Cyfalaf]]), 0)</f>
        <v>0</v>
      </c>
      <c r="AB84" s="586" t="str">
        <f t="shared" si="0"/>
        <v>Ad-daliadau Cyfalaf wedi Gorffen</v>
      </c>
      <c r="AC84" s="820">
        <f>IF(Table145242[[#This Row],[Statws Ad-dalu]]="Ad-daliadau cyfalaf wedi gorffen",0,Table145242[[#This Row],[Taliad Llog]])</f>
        <v>0</v>
      </c>
      <c r="AD84" s="590" t="str">
        <f>IFERROR(IF(Table145242[[#This Row],[Ad-daliad Cyfalaf]]&lt;=0,0,IF(Table145242[[#This Row],[Statws Ad-dalu]]="Capital Repayments Finished",0,Table145242[[#This Row],[Ad-daliad Cyfalaf]])),0)</f>
        <v/>
      </c>
      <c r="AE84" s="596"/>
      <c r="AF84" s="596"/>
    </row>
    <row r="85" spans="2:32" hidden="1" x14ac:dyDescent="0.25">
      <c r="B85" s="596"/>
      <c r="C85" s="587">
        <v>50830</v>
      </c>
      <c r="D85" s="588">
        <v>51194</v>
      </c>
      <c r="E85" s="576" t="str">
        <f>IFERROR(IF((LEFT(G85,4))=(LEFT(AO29,4)),"1",IF((LEFT(G85,4))&lt;(LEFT(AO29,4)),"N/A",IF((LEFT(G85,4))&gt;(LEFT(AO29,4)),E84+1,))),"")</f>
        <v/>
      </c>
      <c r="F85" s="576">
        <f>IF(H85=AN27,"1",IF(H85&lt;AN27,"N/A",IF(H85&gt;AN27,SUM(F84+1))))</f>
        <v>17</v>
      </c>
      <c r="G85" s="589" t="s">
        <v>354</v>
      </c>
      <c r="H85" s="578" t="str">
        <f>LEFT(Table145242[[#This Row],[Blwyddyn Ariannol y Taliad]],4)</f>
        <v>2039</v>
      </c>
      <c r="I85" s="578" t="str">
        <f>TRIM(Table145242[[#This Row],[Cuddio Colofn, BT Gyntaf]])</f>
        <v>2039</v>
      </c>
      <c r="J85" s="579" t="str">
        <f>TRIM(AO16)</f>
        <v>1899</v>
      </c>
      <c r="K85" s="577" t="str">
        <f>D49</f>
        <v/>
      </c>
      <c r="L85" s="580" t="str">
        <f t="shared" si="2"/>
        <v/>
      </c>
      <c r="M85" s="581" t="e">
        <f>IF(SUM(T84+Table145242[[#This Row],[Taliad Llog]])&lt;N18,SUM(Table145242[[#This Row],[Balans Cyfalaf Cychwynnol]]+Table145242[[#This Row],[Taliad Llog]]),IF(Table145242[[#This Row],[Cuddio Colofn]]&gt;AN27,IF(AND(W85&gt;=0.1,W85&lt;N18),N18,IF(I85&gt;=AO29,N18,0)),0))</f>
        <v>#VALUE!</v>
      </c>
      <c r="N85" s="580" t="e">
        <f>IF(Table145242[[#This Row],[Cuddio Colofn]]&lt;AN27,"",IF(Table145242[[#This Row],[Cuddio Colofn]]=AN27,G49,SUM(SUM(Table145242[[#This Row],[Balans Cyfalaf Cychwynnol]]*D50))))</f>
        <v>#VALUE!</v>
      </c>
      <c r="O85" s="580" t="str">
        <f>IF(AB86="Ad-daliadau cyfalaf wedi gorffen",Table145242[[#This Row],[Balans Cyfalaf Cychwynnol]],IF(Table145242[[#This Row],[Cuddio Colofn]]&gt;=AO41,IFERROR((Table145242[[#This Row],[Isafswm gwerth ad-dalu gofynnol (y flwyddyn)]]-Table145242[[#This Row],[Taliad Llog]]),0),0))</f>
        <v/>
      </c>
      <c r="P85" s="582" t="str">
        <f>TRIM(Table145242[[#This Row],[Ad-daliad Cyfalaf]])</f>
        <v/>
      </c>
      <c r="Q85" s="573">
        <v>0</v>
      </c>
      <c r="R85" s="580">
        <f>SUM(Table145242[[#This Row],[Ad-daliad Cyfalaf]:[Ad-daliad Cyfalaf Cynnar]])</f>
        <v>0</v>
      </c>
      <c r="S85" s="580" t="e">
        <f>SUM(Table145242[[#This Row],[Taliad Llog]:[Ad-daliad Cyfalaf Cynnar]])</f>
        <v>#VALUE!</v>
      </c>
      <c r="T85" s="581" t="str">
        <f>IF(Table145242[[#This Row],[Cyfanswm Ad-daliad (heb gynnwys taliadau llog)]]=0,Table145242[[#This Row],[Balans Cyfalaf Cychwynnol]],L85-R85)</f>
        <v/>
      </c>
      <c r="U85" s="580">
        <f>U84+Table145242[[#This Row],[Cyfanswm Ad-daliad (heb gynnwys taliadau llog)]]</f>
        <v>0</v>
      </c>
      <c r="V85" s="580" t="e">
        <f>V84+Table145242[[#This Row],[Taliad Llog]]</f>
        <v>#VALUE!</v>
      </c>
      <c r="W85" s="583" t="str">
        <f>IF(N18="","",IF(M62&gt;T84,T84,M62))</f>
        <v/>
      </c>
      <c r="X85" s="583" t="str">
        <f>IF(Table145242[[#This Row],[Prawf Balans ar y Diwedd - mae''n dangos beth ddylai''r taliad terfynol fod]]&lt;M62,Table145242[[#This Row],[Prawf Balans ar y Diwedd - mae''n dangos beth ddylai''r taliad terfynol fod]],"")</f>
        <v/>
      </c>
      <c r="Y85" s="584" t="str">
        <f>TRIM(Table145242[[#This Row],[Taliadau Cyfalaf Cronnol]])</f>
        <v>0</v>
      </c>
      <c r="Z85" s="585" t="e">
        <f>IF(Table145242[[#This Row],[Balans Cyfalaf ar y Diwedd]]=D49,Table145242[[#This Row],[Taliad Llog]],0)</f>
        <v>#VALUE!</v>
      </c>
      <c r="AA85" s="585">
        <f>IFERROR(VALUE(Table145242[[#This Row],[Rhif Talu Ad-daliad Cyfalaf]]), 0)</f>
        <v>0</v>
      </c>
      <c r="AB85" s="586" t="str">
        <f t="shared" si="0"/>
        <v>Ad-daliadau Cyfalaf wedi Gorffen</v>
      </c>
      <c r="AC85" s="820">
        <f>IF(Table145242[[#This Row],[Statws Ad-dalu]]="Ad-daliadau cyfalaf wedi gorffen",0,Table145242[[#This Row],[Taliad Llog]])</f>
        <v>0</v>
      </c>
      <c r="AD85" s="590" t="str">
        <f>IFERROR(IF(Table145242[[#This Row],[Ad-daliad Cyfalaf]]&lt;=0,0,IF(Table145242[[#This Row],[Statws Ad-dalu]]="Capital Repayments Finished",0,Table145242[[#This Row],[Ad-daliad Cyfalaf]])),0)</f>
        <v/>
      </c>
      <c r="AE85" s="596"/>
      <c r="AF85" s="596"/>
    </row>
    <row r="86" spans="2:32" hidden="1" x14ac:dyDescent="0.25">
      <c r="B86" s="596"/>
      <c r="C86" s="591">
        <v>51196</v>
      </c>
      <c r="D86" s="575">
        <v>51560</v>
      </c>
      <c r="E86" s="576" t="str">
        <f>IFERROR(IF((LEFT(G86,4))=(LEFT(AO29,4)),"1",IF((LEFT(G86,4))&lt;(LEFT(AO29,4)),"N/A",IF((LEFT(G86,4))&gt;(LEFT(AO29,4)),E85+1,))),"")</f>
        <v/>
      </c>
      <c r="F86" s="576">
        <f>IF(H86=AN27,"1",IF(H86&lt;AN27,"N/A",IF(H86&gt;AN27,SUM(F85+1))))</f>
        <v>18</v>
      </c>
      <c r="G86" s="577" t="s">
        <v>355</v>
      </c>
      <c r="H86" s="578" t="str">
        <f>LEFT(Table145242[[#This Row],[Blwyddyn Ariannol y Taliad]],4)</f>
        <v>2040</v>
      </c>
      <c r="I86" s="578" t="str">
        <f>TRIM(Table145242[[#This Row],[Cuddio Colofn, BT Gyntaf]])</f>
        <v>2040</v>
      </c>
      <c r="J86" s="579" t="str">
        <f>TRIM(AO16)</f>
        <v>1899</v>
      </c>
      <c r="K86" s="577" t="str">
        <f>D49</f>
        <v/>
      </c>
      <c r="L86" s="580" t="str">
        <f t="shared" si="2"/>
        <v/>
      </c>
      <c r="M86" s="581" t="e">
        <f>IF(SUM(T85+Table145242[[#This Row],[Taliad Llog]])&lt;N18,SUM(Table145242[[#This Row],[Balans Cyfalaf Cychwynnol]]+Table145242[[#This Row],[Taliad Llog]]),IF(Table145242[[#This Row],[Cuddio Colofn]]&gt;AN27,IF(AND(W86&gt;=0.1,W86&lt;N18),N18,IF(I86&gt;=AO29,N18,0)),0))</f>
        <v>#VALUE!</v>
      </c>
      <c r="N86" s="580" t="e">
        <f>IF(Table145242[[#This Row],[Cuddio Colofn]]&lt;AN27,"",IF(Table145242[[#This Row],[Cuddio Colofn]]=AN27,G49,SUM(SUM(Table145242[[#This Row],[Balans Cyfalaf Cychwynnol]]*D50))))</f>
        <v>#VALUE!</v>
      </c>
      <c r="O86" s="580" t="str">
        <f>IF(AB87="Ad-daliadau cyfalaf wedi gorffen",Table145242[[#This Row],[Balans Cyfalaf Cychwynnol]],IF(Table145242[[#This Row],[Cuddio Colofn]]&gt;=AO42,IFERROR((Table145242[[#This Row],[Isafswm gwerth ad-dalu gofynnol (y flwyddyn)]]-Table145242[[#This Row],[Taliad Llog]]),0),0))</f>
        <v/>
      </c>
      <c r="P86" s="582" t="str">
        <f>TRIM(Table145242[[#This Row],[Ad-daliad Cyfalaf]])</f>
        <v/>
      </c>
      <c r="Q86" s="573">
        <v>0</v>
      </c>
      <c r="R86" s="580">
        <f>SUM(Table145242[[#This Row],[Ad-daliad Cyfalaf]:[Ad-daliad Cyfalaf Cynnar]])</f>
        <v>0</v>
      </c>
      <c r="S86" s="580" t="e">
        <f>SUM(Table145242[[#This Row],[Taliad Llog]:[Ad-daliad Cyfalaf Cynnar]])</f>
        <v>#VALUE!</v>
      </c>
      <c r="T86" s="581" t="str">
        <f>IF(Table145242[[#This Row],[Cyfanswm Ad-daliad (heb gynnwys taliadau llog)]]=0,Table145242[[#This Row],[Balans Cyfalaf Cychwynnol]],L86-R86)</f>
        <v/>
      </c>
      <c r="U86" s="580">
        <f>U85+Table145242[[#This Row],[Cyfanswm Ad-daliad (heb gynnwys taliadau llog)]]</f>
        <v>0</v>
      </c>
      <c r="V86" s="580" t="e">
        <f>V85+Table145242[[#This Row],[Taliad Llog]]</f>
        <v>#VALUE!</v>
      </c>
      <c r="W86" s="583" t="str">
        <f>IF(N18="","",IF(M62&gt;T85,T85,M62))</f>
        <v/>
      </c>
      <c r="X86" s="583" t="str">
        <f>IF(Table145242[[#This Row],[Prawf Balans ar y Diwedd - mae''n dangos beth ddylai''r taliad terfynol fod]]&lt;M62,Table145242[[#This Row],[Prawf Balans ar y Diwedd - mae''n dangos beth ddylai''r taliad terfynol fod]],"")</f>
        <v/>
      </c>
      <c r="Y86" s="584" t="str">
        <f>TRIM(Table145242[[#This Row],[Taliadau Cyfalaf Cronnol]])</f>
        <v>0</v>
      </c>
      <c r="Z86" s="585" t="e">
        <f>IF(Table145242[[#This Row],[Balans Cyfalaf ar y Diwedd]]=D49,Table145242[[#This Row],[Taliad Llog]],0)</f>
        <v>#VALUE!</v>
      </c>
      <c r="AA86" s="585">
        <f>IFERROR(VALUE(Table145242[[#This Row],[Rhif Talu Ad-daliad Cyfalaf]]), 0)</f>
        <v>0</v>
      </c>
      <c r="AB86" s="586" t="str">
        <f t="shared" si="0"/>
        <v>Ad-daliadau Cyfalaf wedi Gorffen</v>
      </c>
      <c r="AC86" s="820">
        <f>IF(Table145242[[#This Row],[Statws Ad-dalu]]="Ad-daliadau cyfalaf wedi gorffen",0,Table145242[[#This Row],[Taliad Llog]])</f>
        <v>0</v>
      </c>
      <c r="AD86" s="590" t="str">
        <f>IFERROR(IF(Table145242[[#This Row],[Ad-daliad Cyfalaf]]&lt;=0,0,IF(Table145242[[#This Row],[Statws Ad-dalu]]="Capital Repayments Finished",0,Table145242[[#This Row],[Ad-daliad Cyfalaf]])),0)</f>
        <v/>
      </c>
      <c r="AE86" s="596"/>
      <c r="AF86" s="596"/>
    </row>
    <row r="87" spans="2:32" hidden="1" x14ac:dyDescent="0.25">
      <c r="B87" s="596"/>
      <c r="C87" s="587">
        <v>51561</v>
      </c>
      <c r="D87" s="588">
        <v>51925</v>
      </c>
      <c r="E87" s="576" t="str">
        <f>IFERROR(IF((LEFT(G87,4))=(LEFT(AO29,4)),"1",IF((LEFT(G87,4))&lt;(LEFT(AO29,4)),"N/A",IF((LEFT(G87,4))&gt;(LEFT(AO29,4)),E86+1,))),"")</f>
        <v/>
      </c>
      <c r="F87" s="576">
        <f>IF(H87=AN27,"1",IF(H87&lt;AN27,"N/A",IF(H87&gt;AN27,SUM(F86+1))))</f>
        <v>19</v>
      </c>
      <c r="G87" s="589" t="s">
        <v>356</v>
      </c>
      <c r="H87" s="578" t="str">
        <f>LEFT(Table145242[[#This Row],[Blwyddyn Ariannol y Taliad]],4)</f>
        <v>2041</v>
      </c>
      <c r="I87" s="578" t="str">
        <f>TRIM(Table145242[[#This Row],[Cuddio Colofn, BT Gyntaf]])</f>
        <v>2041</v>
      </c>
      <c r="J87" s="579" t="str">
        <f>TRIM(AO16)</f>
        <v>1899</v>
      </c>
      <c r="K87" s="577" t="str">
        <f>D49</f>
        <v/>
      </c>
      <c r="L87" s="580" t="str">
        <f t="shared" si="2"/>
        <v/>
      </c>
      <c r="M87" s="581" t="e">
        <f>IF(SUM(T86+Table145242[[#This Row],[Taliad Llog]])&lt;N18,SUM(Table145242[[#This Row],[Balans Cyfalaf Cychwynnol]]+Table145242[[#This Row],[Taliad Llog]]),IF(Table145242[[#This Row],[Cuddio Colofn]]&gt;AN27,IF(AND(W87&gt;=0.1,W87&lt;N18),N18,IF(I87&gt;=AO29,N18,0)),0))</f>
        <v>#VALUE!</v>
      </c>
      <c r="N87" s="580" t="e">
        <f>IF(Table145242[[#This Row],[Cuddio Colofn]]&lt;AN27,"",IF(Table145242[[#This Row],[Cuddio Colofn]]=AN27,G49,SUM(SUM(Table145242[[#This Row],[Balans Cyfalaf Cychwynnol]]*D50))))</f>
        <v>#VALUE!</v>
      </c>
      <c r="O87" s="580" t="str">
        <f>IF(AB88="Ad-daliadau cyfalaf wedi gorffen",Table145242[[#This Row],[Balans Cyfalaf Cychwynnol]],IF(Table145242[[#This Row],[Cuddio Colofn]]&gt;=AO43,IFERROR((Table145242[[#This Row],[Isafswm gwerth ad-dalu gofynnol (y flwyddyn)]]-Table145242[[#This Row],[Taliad Llog]]),0),0))</f>
        <v/>
      </c>
      <c r="P87" s="582" t="str">
        <f>TRIM(Table145242[[#This Row],[Ad-daliad Cyfalaf]])</f>
        <v/>
      </c>
      <c r="Q87" s="573">
        <v>0</v>
      </c>
      <c r="R87" s="580">
        <f>SUM(Table145242[[#This Row],[Ad-daliad Cyfalaf]:[Ad-daliad Cyfalaf Cynnar]])</f>
        <v>0</v>
      </c>
      <c r="S87" s="580" t="e">
        <f>SUM(Table145242[[#This Row],[Taliad Llog]:[Ad-daliad Cyfalaf Cynnar]])</f>
        <v>#VALUE!</v>
      </c>
      <c r="T87" s="581" t="str">
        <f>IF(Table145242[[#This Row],[Cyfanswm Ad-daliad (heb gynnwys taliadau llog)]]=0,Table145242[[#This Row],[Balans Cyfalaf Cychwynnol]],L87-R87)</f>
        <v/>
      </c>
      <c r="U87" s="580">
        <f>U86+Table145242[[#This Row],[Cyfanswm Ad-daliad (heb gynnwys taliadau llog)]]</f>
        <v>0</v>
      </c>
      <c r="V87" s="580" t="e">
        <f>V86+Table145242[[#This Row],[Taliad Llog]]</f>
        <v>#VALUE!</v>
      </c>
      <c r="W87" s="583" t="str">
        <f>IF(N18="","",IF(M62&gt;T86,T86,M62))</f>
        <v/>
      </c>
      <c r="X87" s="583" t="str">
        <f>IF(Table145242[[#This Row],[Prawf Balans ar y Diwedd - mae''n dangos beth ddylai''r taliad terfynol fod]]&lt;M62,Table145242[[#This Row],[Prawf Balans ar y Diwedd - mae''n dangos beth ddylai''r taliad terfynol fod]],"")</f>
        <v/>
      </c>
      <c r="Y87" s="584" t="str">
        <f>TRIM(Table145242[[#This Row],[Taliadau Cyfalaf Cronnol]])</f>
        <v>0</v>
      </c>
      <c r="Z87" s="585" t="e">
        <f>IF(Table145242[[#This Row],[Balans Cyfalaf ar y Diwedd]]=D49,Table145242[[#This Row],[Taliad Llog]],0)</f>
        <v>#VALUE!</v>
      </c>
      <c r="AA87" s="585">
        <f>IFERROR(VALUE(Table145242[[#This Row],[Rhif Talu Ad-daliad Cyfalaf]]), 0)</f>
        <v>0</v>
      </c>
      <c r="AB87" s="586" t="str">
        <f t="shared" si="0"/>
        <v>Ad-daliadau Cyfalaf wedi Gorffen</v>
      </c>
      <c r="AC87" s="820">
        <f>IF(Table145242[[#This Row],[Statws Ad-dalu]]="Ad-daliadau cyfalaf wedi gorffen",0,Table145242[[#This Row],[Taliad Llog]])</f>
        <v>0</v>
      </c>
      <c r="AD87" s="590" t="str">
        <f>IFERROR(IF(Table145242[[#This Row],[Ad-daliad Cyfalaf]]&lt;=0,0,IF(Table145242[[#This Row],[Statws Ad-dalu]]="Capital Repayments Finished",0,Table145242[[#This Row],[Ad-daliad Cyfalaf]])),0)</f>
        <v/>
      </c>
      <c r="AE87" s="596"/>
      <c r="AF87" s="596"/>
    </row>
    <row r="88" spans="2:32" hidden="1" x14ac:dyDescent="0.25">
      <c r="B88" s="596"/>
      <c r="C88" s="591">
        <v>51926</v>
      </c>
      <c r="D88" s="575">
        <v>52290</v>
      </c>
      <c r="E88" s="576" t="str">
        <f>IFERROR(IF((LEFT(G88,4))=(LEFT(AO29,4)),"1",IF((LEFT(G88,4))&lt;(LEFT(AO29,4)),"N/A",IF((LEFT(G88,4))&gt;(LEFT(AO29,4)),E87+1,))),"")</f>
        <v/>
      </c>
      <c r="F88" s="576">
        <f>IF(H88=AN27,"1",IF(H88&lt;AN27,"N/A",IF(H88&gt;AN27,SUM(F87+1))))</f>
        <v>20</v>
      </c>
      <c r="G88" s="577" t="s">
        <v>357</v>
      </c>
      <c r="H88" s="578" t="str">
        <f>LEFT(Table145242[[#This Row],[Blwyddyn Ariannol y Taliad]],4)</f>
        <v>2042</v>
      </c>
      <c r="I88" s="578" t="str">
        <f>TRIM(Table145242[[#This Row],[Cuddio Colofn, BT Gyntaf]])</f>
        <v>2042</v>
      </c>
      <c r="J88" s="579" t="str">
        <f>TRIM(AO16)</f>
        <v>1899</v>
      </c>
      <c r="K88" s="577" t="str">
        <f>D49</f>
        <v/>
      </c>
      <c r="L88" s="580" t="str">
        <f t="shared" si="2"/>
        <v/>
      </c>
      <c r="M88" s="581" t="e">
        <f>IF(SUM(T87+Table145242[[#This Row],[Taliad Llog]])&lt;N18,SUM(Table145242[[#This Row],[Balans Cyfalaf Cychwynnol]]+Table145242[[#This Row],[Taliad Llog]]),IF(Table145242[[#This Row],[Cuddio Colofn]]&gt;AN27,IF(AND(W88&gt;=0.1,W88&lt;N18),N18,IF(I88&gt;=AO29,N18,0)),0))</f>
        <v>#VALUE!</v>
      </c>
      <c r="N88" s="580" t="e">
        <f>IF(Table145242[[#This Row],[Cuddio Colofn]]&lt;AN27,"",IF(Table145242[[#This Row],[Cuddio Colofn]]=AN27,G49,SUM(SUM(Table145242[[#This Row],[Balans Cyfalaf Cychwynnol]]*D50))))</f>
        <v>#VALUE!</v>
      </c>
      <c r="O88" s="580" t="str">
        <f>IF(AB89="Ad-daliadau cyfalaf wedi gorffen",Table145242[[#This Row],[Balans Cyfalaf Cychwynnol]],IF(Table145242[[#This Row],[Cuddio Colofn]]&gt;=AO44,IFERROR((Table145242[[#This Row],[Isafswm gwerth ad-dalu gofynnol (y flwyddyn)]]-Table145242[[#This Row],[Taliad Llog]]),0),0))</f>
        <v/>
      </c>
      <c r="P88" s="582" t="str">
        <f>TRIM(Table145242[[#This Row],[Ad-daliad Cyfalaf]])</f>
        <v/>
      </c>
      <c r="Q88" s="573">
        <v>0</v>
      </c>
      <c r="R88" s="580">
        <f>SUM(Table145242[[#This Row],[Ad-daliad Cyfalaf]:[Ad-daliad Cyfalaf Cynnar]])</f>
        <v>0</v>
      </c>
      <c r="S88" s="580" t="e">
        <f>SUM(Table145242[[#This Row],[Taliad Llog]:[Ad-daliad Cyfalaf Cynnar]])</f>
        <v>#VALUE!</v>
      </c>
      <c r="T88" s="581" t="str">
        <f>IF(Table145242[[#This Row],[Cyfanswm Ad-daliad (heb gynnwys taliadau llog)]]=0,Table145242[[#This Row],[Balans Cyfalaf Cychwynnol]],L88-R88)</f>
        <v/>
      </c>
      <c r="U88" s="580">
        <f>U87+Table145242[[#This Row],[Cyfanswm Ad-daliad (heb gynnwys taliadau llog)]]</f>
        <v>0</v>
      </c>
      <c r="V88" s="580" t="e">
        <f>V87+Table145242[[#This Row],[Taliad Llog]]</f>
        <v>#VALUE!</v>
      </c>
      <c r="W88" s="583" t="str">
        <f>IF(N18="","",IF(M62&gt;T87,T87,M62))</f>
        <v/>
      </c>
      <c r="X88" s="583" t="str">
        <f>IF(Table145242[[#This Row],[Prawf Balans ar y Diwedd - mae''n dangos beth ddylai''r taliad terfynol fod]]&lt;M62,Table145242[[#This Row],[Prawf Balans ar y Diwedd - mae''n dangos beth ddylai''r taliad terfynol fod]],"")</f>
        <v/>
      </c>
      <c r="Y88" s="584" t="str">
        <f>TRIM(Table145242[[#This Row],[Taliadau Cyfalaf Cronnol]])</f>
        <v>0</v>
      </c>
      <c r="Z88" s="585" t="e">
        <f>IF(Table145242[[#This Row],[Balans Cyfalaf ar y Diwedd]]=D49,Table145242[[#This Row],[Taliad Llog]],0)</f>
        <v>#VALUE!</v>
      </c>
      <c r="AA88" s="585">
        <f>IFERROR(VALUE(Table145242[[#This Row],[Rhif Talu Ad-daliad Cyfalaf]]), 0)</f>
        <v>0</v>
      </c>
      <c r="AB88" s="586" t="str">
        <f t="shared" si="0"/>
        <v>Ad-daliadau Cyfalaf wedi Gorffen</v>
      </c>
      <c r="AC88" s="820">
        <f>IF(Table145242[[#This Row],[Statws Ad-dalu]]="Ad-daliadau cyfalaf wedi gorffen",0,Table145242[[#This Row],[Taliad Llog]])</f>
        <v>0</v>
      </c>
      <c r="AD88" s="590" t="str">
        <f>IFERROR(IF(Table145242[[#This Row],[Ad-daliad Cyfalaf]]&lt;=0,0,IF(Table145242[[#This Row],[Statws Ad-dalu]]="Capital Repayments Finished",0,Table145242[[#This Row],[Ad-daliad Cyfalaf]])),0)</f>
        <v/>
      </c>
      <c r="AE88" s="596"/>
      <c r="AF88" s="596"/>
    </row>
    <row r="89" spans="2:32" hidden="1" x14ac:dyDescent="0.25">
      <c r="B89" s="596"/>
      <c r="C89" s="587">
        <v>52291</v>
      </c>
      <c r="D89" s="588">
        <v>52655</v>
      </c>
      <c r="E89" s="576" t="str">
        <f>IFERROR(IF((LEFT(G89,4))=(LEFT(AO29,4)),"1",IF((LEFT(G89,4))&lt;(LEFT(AO29,4)),"N/A",IF((LEFT(G89,4))&gt;(LEFT(AO29,4)),E88+1,))),"")</f>
        <v/>
      </c>
      <c r="F89" s="576">
        <f>IF(H89=AN27,"1",IF(H89&lt;AN27,"N/A",IF(H89&gt;AN27,SUM(F88+1))))</f>
        <v>21</v>
      </c>
      <c r="G89" s="589" t="s">
        <v>358</v>
      </c>
      <c r="H89" s="578" t="str">
        <f>LEFT(Table145242[[#This Row],[Blwyddyn Ariannol y Taliad]],4)</f>
        <v>2043</v>
      </c>
      <c r="I89" s="578" t="str">
        <f>TRIM(Table145242[[#This Row],[Cuddio Colofn, BT Gyntaf]])</f>
        <v>2043</v>
      </c>
      <c r="J89" s="579" t="str">
        <f>TRIM(AO16)</f>
        <v>1899</v>
      </c>
      <c r="K89" s="577" t="str">
        <f>D49</f>
        <v/>
      </c>
      <c r="L89" s="580" t="str">
        <f t="shared" si="2"/>
        <v/>
      </c>
      <c r="M89" s="581" t="e">
        <f>IF(SUM(T88+Table145242[[#This Row],[Taliad Llog]])&lt;N18,SUM(Table145242[[#This Row],[Balans Cyfalaf Cychwynnol]]+Table145242[[#This Row],[Taliad Llog]]),IF(Table145242[[#This Row],[Cuddio Colofn]]&gt;AN27,IF(AND(W89&gt;=0.1,W89&lt;N18),N18,IF(I89&gt;=AO29,N18,0)),0))</f>
        <v>#VALUE!</v>
      </c>
      <c r="N89" s="580" t="e">
        <f>IF(Table145242[[#This Row],[Cuddio Colofn]]&lt;AN27,"",IF(Table145242[[#This Row],[Cuddio Colofn]]=AN27,G49,SUM(SUM(Table145242[[#This Row],[Balans Cyfalaf Cychwynnol]]*D50))))</f>
        <v>#VALUE!</v>
      </c>
      <c r="O89" s="580" t="str">
        <f>IF(AB90="Ad-daliadau cyfalaf wedi gorffen",Table145242[[#This Row],[Balans Cyfalaf Cychwynnol]],IF(Table145242[[#This Row],[Cuddio Colofn]]&gt;=AO45,IFERROR((Table145242[[#This Row],[Isafswm gwerth ad-dalu gofynnol (y flwyddyn)]]-Table145242[[#This Row],[Taliad Llog]]),0),0))</f>
        <v/>
      </c>
      <c r="P89" s="582" t="str">
        <f>TRIM(Table145242[[#This Row],[Ad-daliad Cyfalaf]])</f>
        <v/>
      </c>
      <c r="Q89" s="573">
        <v>0</v>
      </c>
      <c r="R89" s="580">
        <f>SUM(Table145242[[#This Row],[Ad-daliad Cyfalaf]:[Ad-daliad Cyfalaf Cynnar]])</f>
        <v>0</v>
      </c>
      <c r="S89" s="580" t="e">
        <f>SUM(Table145242[[#This Row],[Taliad Llog]:[Ad-daliad Cyfalaf Cynnar]])</f>
        <v>#VALUE!</v>
      </c>
      <c r="T89" s="581" t="str">
        <f>IF(Table145242[[#This Row],[Cyfanswm Ad-daliad (heb gynnwys taliadau llog)]]=0,Table145242[[#This Row],[Balans Cyfalaf Cychwynnol]],L89-R89)</f>
        <v/>
      </c>
      <c r="U89" s="580">
        <f>U88+Table145242[[#This Row],[Cyfanswm Ad-daliad (heb gynnwys taliadau llog)]]</f>
        <v>0</v>
      </c>
      <c r="V89" s="580" t="e">
        <f>V88+Table145242[[#This Row],[Taliad Llog]]</f>
        <v>#VALUE!</v>
      </c>
      <c r="W89" s="583" t="str">
        <f>IF(N18="","",IF(M62&gt;T88,T88,M62))</f>
        <v/>
      </c>
      <c r="X89" s="583" t="str">
        <f>IF(Table145242[[#This Row],[Prawf Balans ar y Diwedd - mae''n dangos beth ddylai''r taliad terfynol fod]]&lt;M62,Table145242[[#This Row],[Prawf Balans ar y Diwedd - mae''n dangos beth ddylai''r taliad terfynol fod]],"")</f>
        <v/>
      </c>
      <c r="Y89" s="584" t="str">
        <f>TRIM(Table145242[[#This Row],[Taliadau Cyfalaf Cronnol]])</f>
        <v>0</v>
      </c>
      <c r="Z89" s="585" t="e">
        <f>IF(Table145242[[#This Row],[Balans Cyfalaf ar y Diwedd]]=D49,Table145242[[#This Row],[Taliad Llog]],0)</f>
        <v>#VALUE!</v>
      </c>
      <c r="AA89" s="585">
        <f>IFERROR(VALUE(Table145242[[#This Row],[Rhif Talu Ad-daliad Cyfalaf]]), 0)</f>
        <v>0</v>
      </c>
      <c r="AB89" s="586" t="str">
        <f t="shared" si="0"/>
        <v>Ad-daliadau Cyfalaf wedi Gorffen</v>
      </c>
      <c r="AC89" s="820">
        <f>IF(Table145242[[#This Row],[Statws Ad-dalu]]="Ad-daliadau cyfalaf wedi gorffen",0,Table145242[[#This Row],[Taliad Llog]])</f>
        <v>0</v>
      </c>
      <c r="AD89" s="590" t="str">
        <f>IFERROR(IF(Table145242[[#This Row],[Ad-daliad Cyfalaf]]&lt;=0,0,IF(Table145242[[#This Row],[Statws Ad-dalu]]="Capital Repayments Finished",0,Table145242[[#This Row],[Ad-daliad Cyfalaf]])),0)</f>
        <v/>
      </c>
      <c r="AE89" s="596"/>
      <c r="AF89" s="596"/>
    </row>
    <row r="90" spans="2:32" hidden="1" x14ac:dyDescent="0.25">
      <c r="B90" s="596"/>
      <c r="C90" s="587">
        <v>52657</v>
      </c>
      <c r="D90" s="575">
        <v>53021</v>
      </c>
      <c r="E90" s="576" t="str">
        <f>IFERROR(IF((LEFT(G90,4))=(LEFT(AO29,4)),"1",IF((LEFT(G90,4))&lt;(LEFT(AO29,4)),"N/A",IF((LEFT(G90,4))&gt;(LEFT(AO29,4)),E89+1,))),"")</f>
        <v/>
      </c>
      <c r="F90" s="576">
        <f>IF(H90=AN27,"1",IF(H90&lt;AN27,"N/A",IF(H90&gt;AN27,SUM(F89+1))))</f>
        <v>22</v>
      </c>
      <c r="G90" s="577" t="s">
        <v>359</v>
      </c>
      <c r="H90" s="578" t="str">
        <f>LEFT(Table145242[[#This Row],[Blwyddyn Ariannol y Taliad]],4)</f>
        <v>2044</v>
      </c>
      <c r="I90" s="578" t="str">
        <f>TRIM(Table145242[[#This Row],[Cuddio Colofn, BT Gyntaf]])</f>
        <v>2044</v>
      </c>
      <c r="J90" s="579" t="str">
        <f>TRIM(AO16)</f>
        <v>1899</v>
      </c>
      <c r="K90" s="577" t="str">
        <f>D49</f>
        <v/>
      </c>
      <c r="L90" s="580" t="str">
        <f t="shared" si="2"/>
        <v/>
      </c>
      <c r="M90" s="581" t="e">
        <f>IF(SUM(T89+Table145242[[#This Row],[Taliad Llog]])&lt;N18,SUM(Table145242[[#This Row],[Balans Cyfalaf Cychwynnol]]+Table145242[[#This Row],[Taliad Llog]]),IF(Table145242[[#This Row],[Cuddio Colofn]]&gt;AN27,IF(AND(W90&gt;=0.1,W90&lt;N18),N18,IF(I90&gt;=AO29,N18,0)),0))</f>
        <v>#VALUE!</v>
      </c>
      <c r="N90" s="580" t="e">
        <f>IF(Table145242[[#This Row],[Cuddio Colofn]]&lt;AN27,"",IF(Table145242[[#This Row],[Cuddio Colofn]]=AN27,G49,SUM(SUM(Table145242[[#This Row],[Balans Cyfalaf Cychwynnol]]*D50))))</f>
        <v>#VALUE!</v>
      </c>
      <c r="O90" s="580" t="str">
        <f>IF(AB91="Ad-daliadau cyfalaf wedi gorffen",Table145242[[#This Row],[Balans Cyfalaf Cychwynnol]],IF(Table145242[[#This Row],[Cuddio Colofn]]&gt;=AO46,IFERROR((Table145242[[#This Row],[Isafswm gwerth ad-dalu gofynnol (y flwyddyn)]]-Table145242[[#This Row],[Taliad Llog]]),0),0))</f>
        <v/>
      </c>
      <c r="P90" s="582" t="str">
        <f>TRIM(Table145242[[#This Row],[Ad-daliad Cyfalaf]])</f>
        <v/>
      </c>
      <c r="Q90" s="573">
        <v>0</v>
      </c>
      <c r="R90" s="580">
        <f>SUM(Table145242[[#This Row],[Ad-daliad Cyfalaf]:[Ad-daliad Cyfalaf Cynnar]])</f>
        <v>0</v>
      </c>
      <c r="S90" s="580" t="e">
        <f>SUM(Table145242[[#This Row],[Taliad Llog]:[Ad-daliad Cyfalaf Cynnar]])</f>
        <v>#VALUE!</v>
      </c>
      <c r="T90" s="581" t="str">
        <f>IF(Table145242[[#This Row],[Cyfanswm Ad-daliad (heb gynnwys taliadau llog)]]=0,Table145242[[#This Row],[Balans Cyfalaf Cychwynnol]],L90-R90)</f>
        <v/>
      </c>
      <c r="U90" s="580">
        <f>U89+Table145242[[#This Row],[Cyfanswm Ad-daliad (heb gynnwys taliadau llog)]]</f>
        <v>0</v>
      </c>
      <c r="V90" s="580" t="e">
        <f>V89+Table145242[[#This Row],[Taliad Llog]]</f>
        <v>#VALUE!</v>
      </c>
      <c r="W90" s="583" t="str">
        <f>IF(N18="","",IF(M62&gt;T89,T89,M62))</f>
        <v/>
      </c>
      <c r="X90" s="583" t="str">
        <f>IF(Table145242[[#This Row],[Prawf Balans ar y Diwedd - mae''n dangos beth ddylai''r taliad terfynol fod]]&lt;M62,Table145242[[#This Row],[Prawf Balans ar y Diwedd - mae''n dangos beth ddylai''r taliad terfynol fod]],"")</f>
        <v/>
      </c>
      <c r="Y90" s="584" t="str">
        <f>TRIM(Table145242[[#This Row],[Taliadau Cyfalaf Cronnol]])</f>
        <v>0</v>
      </c>
      <c r="Z90" s="585" t="e">
        <f>IF(Table145242[[#This Row],[Balans Cyfalaf ar y Diwedd]]=D49,Table145242[[#This Row],[Taliad Llog]],0)</f>
        <v>#VALUE!</v>
      </c>
      <c r="AA90" s="585">
        <f>IFERROR(VALUE(Table145242[[#This Row],[Rhif Talu Ad-daliad Cyfalaf]]), 0)</f>
        <v>0</v>
      </c>
      <c r="AB90" s="586" t="str">
        <f t="shared" si="0"/>
        <v>Ad-daliadau Cyfalaf wedi Gorffen</v>
      </c>
      <c r="AC90" s="820">
        <f>IF(Table145242[[#This Row],[Statws Ad-dalu]]="Ad-daliadau cyfalaf wedi gorffen",0,Table145242[[#This Row],[Taliad Llog]])</f>
        <v>0</v>
      </c>
      <c r="AD90" s="590" t="str">
        <f>IFERROR(IF(Table145242[[#This Row],[Ad-daliad Cyfalaf]]&lt;=0,0,IF(Table145242[[#This Row],[Statws Ad-dalu]]="Capital Repayments Finished",0,Table145242[[#This Row],[Ad-daliad Cyfalaf]])),0)</f>
        <v/>
      </c>
      <c r="AE90" s="596"/>
      <c r="AF90" s="596"/>
    </row>
    <row r="91" spans="2:32" hidden="1" x14ac:dyDescent="0.25">
      <c r="B91" s="596"/>
      <c r="C91" s="591">
        <v>53022</v>
      </c>
      <c r="D91" s="588">
        <v>53386</v>
      </c>
      <c r="E91" s="576" t="str">
        <f>IFERROR(IF((LEFT(G91,4))=(LEFT(AO29,4)),"1",IF((LEFT(G91,4))&lt;(LEFT(AO29,4)),"N/A",IF((LEFT(G91,4))&gt;(LEFT(AO29,4)),E90+1,))),"")</f>
        <v/>
      </c>
      <c r="F91" s="576">
        <f>IF(H91=AN27,"1",IF(H91&lt;AN27,"N/A",IF(H91&gt;AN27,SUM(F90+1))))</f>
        <v>23</v>
      </c>
      <c r="G91" s="589" t="s">
        <v>360</v>
      </c>
      <c r="H91" s="578" t="str">
        <f>LEFT(Table145242[[#This Row],[Blwyddyn Ariannol y Taliad]],4)</f>
        <v>2045</v>
      </c>
      <c r="I91" s="578" t="str">
        <f>TRIM(Table145242[[#This Row],[Cuddio Colofn, BT Gyntaf]])</f>
        <v>2045</v>
      </c>
      <c r="J91" s="579" t="str">
        <f>TRIM(AO16)</f>
        <v>1899</v>
      </c>
      <c r="K91" s="577" t="str">
        <f>D49</f>
        <v/>
      </c>
      <c r="L91" s="580" t="str">
        <f t="shared" si="2"/>
        <v/>
      </c>
      <c r="M91" s="581" t="e">
        <f>IF(SUM(T90+Table145242[[#This Row],[Taliad Llog]])&lt;N18,SUM(Table145242[[#This Row],[Balans Cyfalaf Cychwynnol]]+Table145242[[#This Row],[Taliad Llog]]),IF(Table145242[[#This Row],[Cuddio Colofn]]&gt;AN27,IF(AND(W91&gt;=0.1,W91&lt;N18),N18,IF(I91&gt;=AO29,N18,0)),0))</f>
        <v>#VALUE!</v>
      </c>
      <c r="N91" s="580" t="e">
        <f>IF(Table145242[[#This Row],[Cuddio Colofn]]&lt;AN27,"",IF(Table145242[[#This Row],[Cuddio Colofn]]=AN27,G49,SUM(SUM(Table145242[[#This Row],[Balans Cyfalaf Cychwynnol]]*D50))))</f>
        <v>#VALUE!</v>
      </c>
      <c r="O91" s="580" t="str">
        <f>IF(AB92="Ad-daliadau cyfalaf wedi gorffen",Table145242[[#This Row],[Balans Cyfalaf Cychwynnol]],IF(Table145242[[#This Row],[Cuddio Colofn]]&gt;=AO47,IFERROR((Table145242[[#This Row],[Isafswm gwerth ad-dalu gofynnol (y flwyddyn)]]-Table145242[[#This Row],[Taliad Llog]]),0),0))</f>
        <v/>
      </c>
      <c r="P91" s="582" t="str">
        <f>TRIM(Table145242[[#This Row],[Ad-daliad Cyfalaf]])</f>
        <v/>
      </c>
      <c r="Q91" s="573">
        <v>0</v>
      </c>
      <c r="R91" s="580">
        <f>SUM(Table145242[[#This Row],[Ad-daliad Cyfalaf]:[Ad-daliad Cyfalaf Cynnar]])</f>
        <v>0</v>
      </c>
      <c r="S91" s="580" t="e">
        <f>SUM(Table145242[[#This Row],[Taliad Llog]:[Ad-daliad Cyfalaf Cynnar]])</f>
        <v>#VALUE!</v>
      </c>
      <c r="T91" s="581" t="str">
        <f>IF(Table145242[[#This Row],[Cyfanswm Ad-daliad (heb gynnwys taliadau llog)]]=0,Table145242[[#This Row],[Balans Cyfalaf Cychwynnol]],L91-R91)</f>
        <v/>
      </c>
      <c r="U91" s="580">
        <f>U90+Table145242[[#This Row],[Cyfanswm Ad-daliad (heb gynnwys taliadau llog)]]</f>
        <v>0</v>
      </c>
      <c r="V91" s="580" t="e">
        <f>V90+Table145242[[#This Row],[Taliad Llog]]</f>
        <v>#VALUE!</v>
      </c>
      <c r="W91" s="583" t="str">
        <f>IF(N18="","",IF(M62&gt;T90,T90,M62))</f>
        <v/>
      </c>
      <c r="X91" s="583" t="str">
        <f>IF(Table145242[[#This Row],[Prawf Balans ar y Diwedd - mae''n dangos beth ddylai''r taliad terfynol fod]]&lt;M62,Table145242[[#This Row],[Prawf Balans ar y Diwedd - mae''n dangos beth ddylai''r taliad terfynol fod]],"")</f>
        <v/>
      </c>
      <c r="Y91" s="584" t="str">
        <f>TRIM(Table145242[[#This Row],[Taliadau Cyfalaf Cronnol]])</f>
        <v>0</v>
      </c>
      <c r="Z91" s="585" t="e">
        <f>IF(Table145242[[#This Row],[Balans Cyfalaf ar y Diwedd]]=D49,Table145242[[#This Row],[Taliad Llog]],0)</f>
        <v>#VALUE!</v>
      </c>
      <c r="AA91" s="585">
        <f>IFERROR(VALUE(Table145242[[#This Row],[Rhif Talu Ad-daliad Cyfalaf]]), 0)</f>
        <v>0</v>
      </c>
      <c r="AB91" s="586" t="str">
        <f t="shared" si="0"/>
        <v>Ad-daliadau Cyfalaf wedi Gorffen</v>
      </c>
      <c r="AC91" s="820">
        <f>IF(Table145242[[#This Row],[Statws Ad-dalu]]="Ad-daliadau cyfalaf wedi gorffen",0,Table145242[[#This Row],[Taliad Llog]])</f>
        <v>0</v>
      </c>
      <c r="AD91" s="590" t="str">
        <f>IFERROR(IF(Table145242[[#This Row],[Ad-daliad Cyfalaf]]&lt;=0,0,IF(Table145242[[#This Row],[Statws Ad-dalu]]="Capital Repayments Finished",0,Table145242[[#This Row],[Ad-daliad Cyfalaf]])),0)</f>
        <v/>
      </c>
      <c r="AE91" s="596"/>
      <c r="AF91" s="596"/>
    </row>
    <row r="92" spans="2:32" hidden="1" x14ac:dyDescent="0.25">
      <c r="B92" s="596"/>
      <c r="C92" s="587">
        <v>53387</v>
      </c>
      <c r="D92" s="575">
        <v>53751</v>
      </c>
      <c r="E92" s="576" t="str">
        <f>IFERROR(IF((LEFT(G92,4))=(LEFT(AO29,4)),"1",IF((LEFT(G92,4))&lt;(LEFT(AO29,4)),"N/A",IF((LEFT(G92,4))&gt;(LEFT(AO29,4)),E91+1,))),"")</f>
        <v/>
      </c>
      <c r="F92" s="576">
        <f>IF(H92=AN27,"1",IF(H92&lt;AN27,"N/A",IF(H92&gt;AN27,SUM(F91+1))))</f>
        <v>24</v>
      </c>
      <c r="G92" s="589" t="s">
        <v>361</v>
      </c>
      <c r="H92" s="578" t="str">
        <f>LEFT(Table145242[[#This Row],[Blwyddyn Ariannol y Taliad]],4)</f>
        <v>2046</v>
      </c>
      <c r="I92" s="578" t="str">
        <f>TRIM(Table145242[[#This Row],[Cuddio Colofn, BT Gyntaf]])</f>
        <v>2046</v>
      </c>
      <c r="J92" s="579" t="str">
        <f>TRIM(AO16)</f>
        <v>1899</v>
      </c>
      <c r="K92" s="577" t="str">
        <f>D49</f>
        <v/>
      </c>
      <c r="L92" s="580" t="str">
        <f t="shared" si="2"/>
        <v/>
      </c>
      <c r="M92" s="581" t="e">
        <f>IF(SUM(T91+Table145242[[#This Row],[Taliad Llog]])&lt;N18,SUM(Table145242[[#This Row],[Balans Cyfalaf Cychwynnol]]+Table145242[[#This Row],[Taliad Llog]]),IF(Table145242[[#This Row],[Cuddio Colofn]]&gt;AN27,IF(AND(W92&gt;=0.1,W92&lt;N18),N18,IF(I92&gt;=AO29,N18,0)),0))</f>
        <v>#VALUE!</v>
      </c>
      <c r="N92" s="580" t="e">
        <f>IF(Table145242[[#This Row],[Cuddio Colofn]]&lt;AN27,"",IF(Table145242[[#This Row],[Cuddio Colofn]]=AN27,G49,SUM(SUM(Table145242[[#This Row],[Balans Cyfalaf Cychwynnol]]*D50))))</f>
        <v>#VALUE!</v>
      </c>
      <c r="O92" s="580" t="str">
        <f>IF(AB93="Ad-daliadau cyfalaf wedi gorffen",Table145242[[#This Row],[Balans Cyfalaf Cychwynnol]],IF(Table145242[[#This Row],[Cuddio Colofn]]&gt;=AO48,IFERROR((Table145242[[#This Row],[Isafswm gwerth ad-dalu gofynnol (y flwyddyn)]]-Table145242[[#This Row],[Taliad Llog]]),0),0))</f>
        <v/>
      </c>
      <c r="P92" s="582" t="str">
        <f>TRIM(Table145242[[#This Row],[Ad-daliad Cyfalaf]])</f>
        <v/>
      </c>
      <c r="Q92" s="573">
        <v>0</v>
      </c>
      <c r="R92" s="580">
        <f>SUM(Table145242[[#This Row],[Ad-daliad Cyfalaf]:[Ad-daliad Cyfalaf Cynnar]])</f>
        <v>0</v>
      </c>
      <c r="S92" s="580" t="e">
        <f>SUM(Table145242[[#This Row],[Taliad Llog]:[Ad-daliad Cyfalaf Cynnar]])</f>
        <v>#VALUE!</v>
      </c>
      <c r="T92" s="581" t="str">
        <f>IF(Table145242[[#This Row],[Cyfanswm Ad-daliad (heb gynnwys taliadau llog)]]=0,Table145242[[#This Row],[Balans Cyfalaf Cychwynnol]],L92-R92)</f>
        <v/>
      </c>
      <c r="U92" s="580">
        <f>U91+Table145242[[#This Row],[Cyfanswm Ad-daliad (heb gynnwys taliadau llog)]]</f>
        <v>0</v>
      </c>
      <c r="V92" s="580" t="e">
        <f>V91+Table145242[[#This Row],[Taliad Llog]]</f>
        <v>#VALUE!</v>
      </c>
      <c r="W92" s="583" t="str">
        <f>IF(N18="","",IF(M62&gt;T91,T91,M62))</f>
        <v/>
      </c>
      <c r="X92" s="583" t="str">
        <f>IF(Table145242[[#This Row],[Prawf Balans ar y Diwedd - mae''n dangos beth ddylai''r taliad terfynol fod]]&lt;M62,Table145242[[#This Row],[Prawf Balans ar y Diwedd - mae''n dangos beth ddylai''r taliad terfynol fod]],"")</f>
        <v/>
      </c>
      <c r="Y92" s="584" t="str">
        <f>TRIM(Table145242[[#This Row],[Taliadau Cyfalaf Cronnol]])</f>
        <v>0</v>
      </c>
      <c r="Z92" s="585" t="e">
        <f>IF(Table145242[[#This Row],[Balans Cyfalaf ar y Diwedd]]=D49,Table145242[[#This Row],[Taliad Llog]],0)</f>
        <v>#VALUE!</v>
      </c>
      <c r="AA92" s="585">
        <f>IFERROR(VALUE(Table145242[[#This Row],[Rhif Talu Ad-daliad Cyfalaf]]), 0)</f>
        <v>0</v>
      </c>
      <c r="AB92" s="586" t="str">
        <f t="shared" si="0"/>
        <v>Ad-daliadau Cyfalaf wedi Gorffen</v>
      </c>
      <c r="AC92" s="820">
        <f>IF(Table145242[[#This Row],[Statws Ad-dalu]]="Ad-daliadau cyfalaf wedi gorffen",0,Table145242[[#This Row],[Taliad Llog]])</f>
        <v>0</v>
      </c>
      <c r="AD92" s="590" t="str">
        <f>IFERROR(IF(Table145242[[#This Row],[Ad-daliad Cyfalaf]]&lt;=0,0,IF(Table145242[[#This Row],[Statws Ad-dalu]]="Capital Repayments Finished",0,Table145242[[#This Row],[Ad-daliad Cyfalaf]])),0)</f>
        <v/>
      </c>
      <c r="AE92" s="596"/>
      <c r="AF92" s="596"/>
    </row>
    <row r="93" spans="2:32" hidden="1" x14ac:dyDescent="0.25">
      <c r="B93" s="596"/>
      <c r="C93" s="591">
        <v>53752</v>
      </c>
      <c r="D93" s="588">
        <v>54362</v>
      </c>
      <c r="E93" s="576" t="str">
        <f>IFERROR(IF((LEFT(G93,4))=(LEFT(AO29,4)),"1",IF((LEFT(G93,4))&lt;(LEFT(AO29,4)),"N/A",IF((LEFT(G93,4))&gt;(LEFT(AO29,4)),E92+1,))),"")</f>
        <v/>
      </c>
      <c r="F93" s="576">
        <f>IF(H93=AN27,"1",IF(H93&lt;AN27,"N/A",IF(H93&gt;AN27,SUM(F92+1))))</f>
        <v>25</v>
      </c>
      <c r="G93" s="589" t="s">
        <v>362</v>
      </c>
      <c r="H93" s="578" t="str">
        <f>LEFT(Table145242[[#This Row],[Blwyddyn Ariannol y Taliad]],4)</f>
        <v>2047</v>
      </c>
      <c r="I93" s="578" t="str">
        <f>TRIM(Table145242[[#This Row],[Cuddio Colofn, BT Gyntaf]])</f>
        <v>2047</v>
      </c>
      <c r="J93" s="579" t="str">
        <f>TRIM(AO16)</f>
        <v>1899</v>
      </c>
      <c r="K93" s="577" t="str">
        <f>D49</f>
        <v/>
      </c>
      <c r="L93" s="580" t="str">
        <f t="shared" si="2"/>
        <v/>
      </c>
      <c r="M93" s="581" t="e">
        <f>IF(SUM(T92+Table145242[[#This Row],[Taliad Llog]])&lt;N19,SUM(Table145242[[#This Row],[Balans Cyfalaf Cychwynnol]]+Table145242[[#This Row],[Taliad Llog]]),IF(Table145242[[#This Row],[Cuddio Colofn]]&gt;AN28,IF(AND(W93&gt;=0.1,W93&lt;N19),N19,IF(I93&gt;=AO30,N19,0)),0))</f>
        <v>#VALUE!</v>
      </c>
      <c r="N93" s="580" t="e">
        <f>IF(Table145242[[#This Row],[Cuddio Colofn]]&lt;AN27,"",IF(Table145242[[#This Row],[Cuddio Colofn]]=AN27,G49,SUM(SUM(Table145242[[#This Row],[Balans Cyfalaf Cychwynnol]]*D50))))</f>
        <v>#VALUE!</v>
      </c>
      <c r="O93" s="580">
        <f ca="1">IF(AB94="Ad-daliadau cyfalaf wedi gorffen",Table145242[[#This Row],[Balans Cyfalaf Cychwynnol]],IF(Table145242[[#This Row],[Cuddio Colofn]]&gt;=AO49,IFERROR((Table145242[[#This Row],[Isafswm gwerth ad-dalu gofynnol (y flwyddyn)]]-Table145242[[#This Row],[Taliad Llog]]),0),0))</f>
        <v>0</v>
      </c>
      <c r="P93" s="582" t="str">
        <f ca="1">TRIM(Table145242[[#This Row],[Ad-daliad Cyfalaf]])</f>
        <v>0</v>
      </c>
      <c r="Q93" s="573">
        <v>0</v>
      </c>
      <c r="R93" s="580">
        <f ca="1">SUM(Table145242[[#This Row],[Ad-daliad Cyfalaf]:[Ad-daliad Cyfalaf Cynnar]])</f>
        <v>0</v>
      </c>
      <c r="S93" s="580" t="e">
        <f>SUM(Table145242[[#This Row],[Taliad Llog]:[Ad-daliad Cyfalaf Cynnar]])</f>
        <v>#VALUE!</v>
      </c>
      <c r="T93" s="581" t="str">
        <f ca="1">IF(Table145242[[#This Row],[Cyfanswm Ad-daliad (heb gynnwys taliadau llog)]]=0,Table145242[[#This Row],[Balans Cyfalaf Cychwynnol]],L93-R93)</f>
        <v/>
      </c>
      <c r="U93" s="580">
        <f ca="1">U92+Table145242[[#This Row],[Cyfanswm Ad-daliad (heb gynnwys taliadau llog)]]</f>
        <v>0</v>
      </c>
      <c r="V93" s="580" t="e">
        <f>V92+Table145242[[#This Row],[Taliad Llog]]</f>
        <v>#VALUE!</v>
      </c>
      <c r="W93" s="583" t="str">
        <f>IF(N18="","",IF(M62&gt;T92,T92,M62))</f>
        <v/>
      </c>
      <c r="X93" s="583" t="str">
        <f>IF(Table145242[[#This Row],[Prawf Balans ar y Diwedd - mae''n dangos beth ddylai''r taliad terfynol fod]]&lt;M62,Table145242[[#This Row],[Prawf Balans ar y Diwedd - mae''n dangos beth ddylai''r taliad terfynol fod]],"")</f>
        <v/>
      </c>
      <c r="Y93" s="584" t="str">
        <f ca="1">TRIM(Table145242[[#This Row],[Taliadau Cyfalaf Cronnol]])</f>
        <v>0</v>
      </c>
      <c r="Z93" s="585" t="e">
        <f ca="1">IF(Table145242[[#This Row],[Balans Cyfalaf ar y Diwedd]]=D49,Table145242[[#This Row],[Taliad Llog]],0)</f>
        <v>#VALUE!</v>
      </c>
      <c r="AA93" s="585">
        <f>IFERROR(VALUE(Table145242[[#This Row],[Rhif Talu Ad-daliad Cyfalaf]]), 0)</f>
        <v>0</v>
      </c>
      <c r="AB93" s="586" t="str">
        <f t="shared" si="0"/>
        <v>Ad-daliadau Cyfalaf wedi Gorffen</v>
      </c>
      <c r="AC93" s="820">
        <f>IF(Table145242[[#This Row],[Statws Ad-dalu]]="Ad-daliadau cyfalaf wedi gorffen",0,Table145242[[#This Row],[Taliad Llog]])</f>
        <v>0</v>
      </c>
      <c r="AD93" s="590">
        <f ca="1">IFERROR(IF(Table145242[[#This Row],[Ad-daliad Cyfalaf]]&lt;=0,0,IF(Table145242[[#This Row],[Statws Ad-dalu]]="Capital Repayments Finished",0,Table145242[[#This Row],[Ad-daliad Cyfalaf]])),0)</f>
        <v>0</v>
      </c>
      <c r="AE93" s="596"/>
      <c r="AF93" s="596"/>
    </row>
    <row r="94" spans="2:32" x14ac:dyDescent="0.25">
      <c r="B94" s="596"/>
      <c r="C94" s="596"/>
      <c r="D94" s="596"/>
      <c r="E94" s="596"/>
      <c r="F94" s="596"/>
      <c r="G94" s="596"/>
      <c r="H94" s="596"/>
      <c r="I94" s="596"/>
      <c r="J94" s="596"/>
      <c r="K94" s="596"/>
      <c r="L94" s="596"/>
      <c r="M94" s="596"/>
      <c r="N94" s="596"/>
      <c r="O94" s="596"/>
      <c r="P94" s="596"/>
      <c r="Q94" s="596"/>
      <c r="R94" s="596"/>
      <c r="S94" s="596"/>
      <c r="T94" s="596"/>
      <c r="U94" s="596"/>
      <c r="V94" s="596"/>
      <c r="W94" s="596"/>
      <c r="X94" s="596"/>
      <c r="Y94" s="596"/>
      <c r="Z94" s="596"/>
      <c r="AA94" s="596"/>
      <c r="AB94" s="596"/>
      <c r="AC94" s="596"/>
      <c r="AD94" s="596"/>
      <c r="AE94" s="596"/>
      <c r="AF94" s="596"/>
    </row>
    <row r="95" spans="2:32" x14ac:dyDescent="0.25">
      <c r="B95" s="596"/>
      <c r="C95" s="596"/>
      <c r="D95" s="596"/>
      <c r="E95" s="596"/>
      <c r="F95" s="596"/>
      <c r="G95" s="596"/>
      <c r="H95" s="596"/>
      <c r="I95" s="596"/>
      <c r="J95" s="596"/>
      <c r="K95" s="596"/>
      <c r="L95" s="596"/>
      <c r="M95" s="596"/>
      <c r="N95" s="596"/>
      <c r="O95" s="596"/>
      <c r="P95" s="596"/>
      <c r="Q95" s="596"/>
      <c r="R95" s="596"/>
      <c r="S95" s="596"/>
      <c r="T95" s="596"/>
      <c r="U95" s="596"/>
      <c r="V95" s="596"/>
      <c r="W95" s="596"/>
      <c r="X95" s="596"/>
      <c r="Y95" s="596"/>
      <c r="Z95" s="596"/>
      <c r="AA95" s="596"/>
      <c r="AB95" s="596"/>
      <c r="AC95" s="596"/>
      <c r="AD95" s="596"/>
      <c r="AE95" s="596"/>
      <c r="AF95" s="596"/>
    </row>
    <row r="96" spans="2:32" x14ac:dyDescent="0.25">
      <c r="B96" s="596"/>
      <c r="C96" s="596"/>
      <c r="D96" s="596"/>
      <c r="E96" s="596"/>
      <c r="F96" s="596"/>
      <c r="G96" s="596"/>
      <c r="H96" s="596"/>
      <c r="I96" s="596"/>
      <c r="J96" s="596"/>
      <c r="K96" s="596"/>
      <c r="L96" s="596"/>
      <c r="M96" s="596"/>
      <c r="N96" s="596"/>
      <c r="O96" s="596"/>
      <c r="P96" s="596"/>
      <c r="Q96" s="596"/>
      <c r="R96" s="596"/>
      <c r="S96" s="596"/>
      <c r="T96" s="596"/>
      <c r="U96" s="596"/>
      <c r="V96" s="596"/>
      <c r="W96" s="596"/>
      <c r="X96" s="596"/>
      <c r="Y96" s="596"/>
      <c r="Z96" s="596"/>
      <c r="AA96" s="596"/>
      <c r="AB96" s="596"/>
      <c r="AC96" s="596"/>
      <c r="AD96" s="596"/>
      <c r="AE96" s="596"/>
      <c r="AF96" s="596"/>
    </row>
  </sheetData>
  <sheetProtection algorithmName="SHA-512" hashValue="O8WhRgBi7DgcHSEXy1DwpYFH/TubCvh0L9CnZCZ0wo5U7h2TuJuFNt4gjv6BflJIkyBVwvAnNlvhxSJ/5+Yo4Q==" saltValue="Ami4aw8o50Dj6f+AtK5eDQ==" spinCount="100000" sheet="1" objects="1" scenarios="1"/>
  <dataConsolidate/>
  <mergeCells count="18">
    <mergeCell ref="C3:G4"/>
    <mergeCell ref="C6:N8"/>
    <mergeCell ref="N23:N26"/>
    <mergeCell ref="C35:G35"/>
    <mergeCell ref="C36:L37"/>
    <mergeCell ref="C23:F24"/>
    <mergeCell ref="C16:M17"/>
    <mergeCell ref="C39:L43"/>
    <mergeCell ref="C29:G29"/>
    <mergeCell ref="C28:F28"/>
    <mergeCell ref="C67:D67"/>
    <mergeCell ref="E67:M67"/>
    <mergeCell ref="C45:N45"/>
    <mergeCell ref="Q45:R45"/>
    <mergeCell ref="C47:D47"/>
    <mergeCell ref="F47:G47"/>
    <mergeCell ref="F55:G55"/>
    <mergeCell ref="C64:E64"/>
  </mergeCells>
  <phoneticPr fontId="123" type="noConversion"/>
  <conditionalFormatting sqref="C67:E67 N67">
    <cfRule type="expression" dxfId="88" priority="404">
      <formula>$N$15=1</formula>
    </cfRule>
  </conditionalFormatting>
  <conditionalFormatting sqref="E70:F93">
    <cfRule type="cellIs" dxfId="87" priority="51" operator="equal">
      <formula>"N/A"</formula>
    </cfRule>
  </conditionalFormatting>
  <conditionalFormatting sqref="L70:L72">
    <cfRule type="expression" dxfId="86" priority="16">
      <formula>$AB$70="Ad-daliadau cyfalaf wedi gorffen"</formula>
    </cfRule>
  </conditionalFormatting>
  <conditionalFormatting sqref="L70:L82">
    <cfRule type="expression" dxfId="85" priority="19">
      <formula>$N$15=1</formula>
    </cfRule>
  </conditionalFormatting>
  <conditionalFormatting sqref="L71">
    <cfRule type="expression" dxfId="84" priority="18">
      <formula>$AB$71="Ad-daliadau cyfalaf wedi gorffen"</formula>
    </cfRule>
  </conditionalFormatting>
  <conditionalFormatting sqref="L72">
    <cfRule type="expression" dxfId="83" priority="17">
      <formula>$AB$72="Ad-daliadau cyfalaf wedi gorffen"</formula>
    </cfRule>
  </conditionalFormatting>
  <conditionalFormatting sqref="L73">
    <cfRule type="expression" dxfId="82" priority="12">
      <formula>$AB$73="Ad-daliadau cyfalaf wedi gorffen"</formula>
    </cfRule>
  </conditionalFormatting>
  <conditionalFormatting sqref="L74">
    <cfRule type="expression" dxfId="81" priority="11">
      <formula>$AB$74="Ad-daliadau cyfalaf wedi gorffen"</formula>
    </cfRule>
  </conditionalFormatting>
  <conditionalFormatting sqref="L75">
    <cfRule type="expression" dxfId="80" priority="13">
      <formula>$AB$75="Ad-daliadau cyfalaf wedi gorffen"</formula>
    </cfRule>
  </conditionalFormatting>
  <conditionalFormatting sqref="L76">
    <cfRule type="expression" dxfId="79" priority="14">
      <formula>$AB$76="Ad-daliadau cyfalaf wedi gorffen"</formula>
    </cfRule>
  </conditionalFormatting>
  <conditionalFormatting sqref="L77">
    <cfRule type="expression" dxfId="78" priority="15">
      <formula>$AB$77="Ad-daliadau cyfalaf wedi gorffen"</formula>
    </cfRule>
  </conditionalFormatting>
  <conditionalFormatting sqref="L78">
    <cfRule type="expression" dxfId="77" priority="10">
      <formula>$AB$78="Ad-daliadau cyfalaf wedi gorffen"</formula>
    </cfRule>
  </conditionalFormatting>
  <conditionalFormatting sqref="L79">
    <cfRule type="expression" dxfId="76" priority="9">
      <formula>$AB$79="Ad-daliadau cyfalaf wedi gorffen"</formula>
    </cfRule>
  </conditionalFormatting>
  <conditionalFormatting sqref="L80">
    <cfRule type="expression" dxfId="75" priority="8">
      <formula>$AB$80="Ad-daliadau cyfalaf wedi gorffen"</formula>
    </cfRule>
  </conditionalFormatting>
  <conditionalFormatting sqref="L81">
    <cfRule type="expression" dxfId="74" priority="7">
      <formula>$AB$81="Ad-daliadau cyfalaf wedi gorffen"</formula>
    </cfRule>
  </conditionalFormatting>
  <conditionalFormatting sqref="L82">
    <cfRule type="expression" dxfId="73" priority="6">
      <formula>$AB$82="Ad-daliadau cyfalaf wedi gorffen"</formula>
    </cfRule>
  </conditionalFormatting>
  <conditionalFormatting sqref="L31:M31">
    <cfRule type="expression" dxfId="72" priority="23">
      <formula>"IF($J$28=""No"")"</formula>
    </cfRule>
  </conditionalFormatting>
  <conditionalFormatting sqref="L83:P83 R83:V83">
    <cfRule type="expression" dxfId="71" priority="36">
      <formula>$AB$83="Ad-daliadau cyfalaf wedi gorffen"</formula>
    </cfRule>
  </conditionalFormatting>
  <conditionalFormatting sqref="L84:P84 R84:V84">
    <cfRule type="expression" dxfId="70" priority="35">
      <formula>$AB$84="Ad-daliadau cyfalaf wedi gorffen"</formula>
    </cfRule>
  </conditionalFormatting>
  <conditionalFormatting sqref="L85:P85 R85:V85">
    <cfRule type="expression" dxfId="69" priority="34">
      <formula>$AB$85="Ad-daliadau cyfalaf wedi gorffen"</formula>
    </cfRule>
  </conditionalFormatting>
  <conditionalFormatting sqref="L86:P86 R86:V86">
    <cfRule type="expression" dxfId="68" priority="33">
      <formula>$AB$86="Ad-daliadau cyfalaf wedi gorffen"</formula>
    </cfRule>
  </conditionalFormatting>
  <conditionalFormatting sqref="L87:P87 R87:V87">
    <cfRule type="expression" dxfId="67" priority="32">
      <formula>$AB$87="Ad-daliadau cyfalaf wedi gorffen"</formula>
    </cfRule>
  </conditionalFormatting>
  <conditionalFormatting sqref="L88:P88 R88:V88">
    <cfRule type="expression" dxfId="66" priority="31">
      <formula>$AB$88="Ad-daliadau cyfalaf wedi gorffen"</formula>
    </cfRule>
  </conditionalFormatting>
  <conditionalFormatting sqref="L89:P89 R89:V89">
    <cfRule type="expression" dxfId="65" priority="30">
      <formula>$AB$89="Ad-daliadau cyfalaf wedi gorffen"</formula>
    </cfRule>
  </conditionalFormatting>
  <conditionalFormatting sqref="L90:P90 R90:V90">
    <cfRule type="expression" dxfId="64" priority="29">
      <formula>$AB$90="Ad-daliadau cyfalaf wedi gorffen"</formula>
    </cfRule>
  </conditionalFormatting>
  <conditionalFormatting sqref="L91:P91 R91:V91">
    <cfRule type="expression" dxfId="63" priority="28">
      <formula>$AB$91="Ad-daliadau cyfalaf wedi gorffen"</formula>
    </cfRule>
  </conditionalFormatting>
  <conditionalFormatting sqref="L92:P92 R92:V92 M93">
    <cfRule type="expression" dxfId="62" priority="27">
      <formula>$AB$92="Ad-daliadau cyfalaf wedi gorffen"</formula>
    </cfRule>
  </conditionalFormatting>
  <conditionalFormatting sqref="L93:P93 R93:V93">
    <cfRule type="expression" dxfId="61" priority="50">
      <formula>$AB$93="Ad-daliadau cyfalaf wedi gorffen"</formula>
    </cfRule>
  </conditionalFormatting>
  <conditionalFormatting sqref="M32">
    <cfRule type="expression" dxfId="60" priority="2">
      <formula>AND($L$32="Ydy",$M$32="")</formula>
    </cfRule>
  </conditionalFormatting>
  <conditionalFormatting sqref="M33">
    <cfRule type="expression" dxfId="59" priority="3">
      <formula>AND($L$33="Ydy",$M$33="")</formula>
    </cfRule>
  </conditionalFormatting>
  <conditionalFormatting sqref="M71:P71 R71:V71 O72:O82">
    <cfRule type="expression" dxfId="58" priority="49">
      <formula>$AB$71="Ad-daliadau cyfalaf wedi gorffen"</formula>
    </cfRule>
  </conditionalFormatting>
  <conditionalFormatting sqref="M72:P72 R72:V72">
    <cfRule type="expression" dxfId="57" priority="48">
      <formula>$AB$72="Ad-daliadau cyfalaf wedi gorffen"</formula>
    </cfRule>
  </conditionalFormatting>
  <conditionalFormatting sqref="M73:P73 R73:V73">
    <cfRule type="expression" dxfId="56" priority="43">
      <formula>$AB$73="Ad-daliadau cyfalaf wedi gorffen"</formula>
    </cfRule>
  </conditionalFormatting>
  <conditionalFormatting sqref="M74:P74 R74:V74">
    <cfRule type="expression" dxfId="55" priority="42">
      <formula>$AB$74="Ad-daliadau cyfalaf wedi gorffen"</formula>
    </cfRule>
  </conditionalFormatting>
  <conditionalFormatting sqref="M75:P75 R75:V75">
    <cfRule type="expression" dxfId="54" priority="44">
      <formula>$AB$75="Ad-daliadau cyfalaf wedi gorffen"</formula>
    </cfRule>
  </conditionalFormatting>
  <conditionalFormatting sqref="M76:P76 R76:V76">
    <cfRule type="expression" dxfId="53" priority="45">
      <formula>$AB$76="Ad-daliadau cyfalaf wedi gorffen"</formula>
    </cfRule>
  </conditionalFormatting>
  <conditionalFormatting sqref="M77:P77 R77:V77">
    <cfRule type="expression" dxfId="52" priority="46">
      <formula>$AB$77="Ad-daliadau cyfalaf wedi gorffen"</formula>
    </cfRule>
  </conditionalFormatting>
  <conditionalFormatting sqref="M78:P78 R78:V78">
    <cfRule type="expression" dxfId="51" priority="41">
      <formula>$AB$78="Ad-daliadau cyfalaf wedi gorffen"</formula>
    </cfRule>
  </conditionalFormatting>
  <conditionalFormatting sqref="M79:P79 R79:V79">
    <cfRule type="expression" dxfId="50" priority="40">
      <formula>$AB$79="Ad-daliadau cyfalaf wedi gorffen"</formula>
    </cfRule>
  </conditionalFormatting>
  <conditionalFormatting sqref="M80:P80 R80:V80">
    <cfRule type="expression" dxfId="49" priority="39">
      <formula>$AB$80="Ad-daliadau cyfalaf wedi gorffen"</formula>
    </cfRule>
  </conditionalFormatting>
  <conditionalFormatting sqref="M81:P81 R81:V81">
    <cfRule type="expression" dxfId="48" priority="38">
      <formula>$AB$81="Ad-daliadau cyfalaf wedi gorffen"</formula>
    </cfRule>
  </conditionalFormatting>
  <conditionalFormatting sqref="M82:P82 R82:V82">
    <cfRule type="expression" dxfId="47" priority="37">
      <formula>$AB$82="Ad-daliadau cyfalaf wedi gorffen"</formula>
    </cfRule>
  </conditionalFormatting>
  <conditionalFormatting sqref="M70:V70 O71:O93 Q71:Q93">
    <cfRule type="expression" dxfId="46" priority="47">
      <formula>$AB$70="Ad-daliadau cyfalaf wedi gorffen"</formula>
    </cfRule>
  </conditionalFormatting>
  <conditionalFormatting sqref="M70:AB82 Q71:Q84 L83:AB93">
    <cfRule type="expression" dxfId="45" priority="406">
      <formula>$N$15=1</formula>
    </cfRule>
  </conditionalFormatting>
  <conditionalFormatting sqref="N31">
    <cfRule type="expression" dxfId="44" priority="1">
      <formula>AND($L$31="Ydy",$N$31="")</formula>
    </cfRule>
  </conditionalFormatting>
  <conditionalFormatting sqref="N32">
    <cfRule type="expression" dxfId="43" priority="5">
      <formula>AND($L$32="Ydy",$N$32="")</formula>
    </cfRule>
  </conditionalFormatting>
  <conditionalFormatting sqref="N33">
    <cfRule type="expression" dxfId="42" priority="4">
      <formula>AND($L$33="Ydy",$N$33="")</formula>
    </cfRule>
  </conditionalFormatting>
  <dataValidations count="39">
    <dataValidation type="whole" operator="lessThan" allowBlank="1" showInputMessage="1" showErrorMessage="1" prompt="The value for Early Capital Repayment must not exceed the total outstanding Capital Balance. This is the Beginning Capital Balance minus Minimum Required Repayment Value for the Financial Year. It cannot be input into the final repayment year." sqref="Q85:Q93" xr:uid="{A1442059-625C-42F0-BF66-2E15A750806C}">
      <formula1>SUM(L85-M85)</formula1>
    </dataValidation>
    <dataValidation allowBlank="1" showInputMessage="1" showErrorMessage="1" prompt="Mae 'Gorffen Taliadau Cyfalaf' yn nodi yr amcangyfrifir bod y benthyciad wedi'i ad-dalu." sqref="AB69:AB93" xr:uid="{F108B703-F070-4F63-B4B4-EEE2CB24051E}"/>
    <dataValidation allowBlank="1" showInputMessage="1" showErrorMessage="1" promptTitle="Total Interest Payments" prompt="This is the value of the interest payments as calculated in the table below." sqref="G52:G53" xr:uid="{C0023F70-E5FE-4CBC-B073-9A2900F30399}"/>
    <dataValidation allowBlank="1" showInputMessage="1" showErrorMessage="1" promptTitle="Dyddiad Tynnu i lawr " prompt="Taliad Llog - Dyma'r amser (misoedd) rhwng y dyddiad tynnu i lawr amcangyfrifedig a'r dyddiad y mae taliad llog Blwyddyn 1 yn ddyledus. Dyma’r amser y dosberthir y taliad llog cyntaf." sqref="G50" xr:uid="{72596171-8707-4C96-8084-CD97AE82D1CB}"/>
    <dataValidation allowBlank="1" showInputMessage="1" showErrorMessage="1" promptTitle="Taliad Llog Cyntaf" prompt="Disgwylir y taliad llog cyntaf ar 28 Chwefror ar ôl i'r arian gael ei dynnu i lawr am y tro cyntaf." sqref="G48" xr:uid="{98B4646F-A8A0-44A4-A3F4-977B11D4AB33}"/>
    <dataValidation allowBlank="1" showInputMessage="1" showErrorMessage="1" prompt="Os ydych yn bwriadu ad-dalu rhan o'ch balans cyfalaf yn gynnar, nodwch hyn yn Adran 1, 1b." sqref="G56" xr:uid="{8D160663-5AF7-4607-9AA6-FF79A895FA27}"/>
    <dataValidation allowBlank="1" showInputMessage="1" showErrorMessage="1" prompt="Gallwch ddewis ad-dalu rhan o'ch balans cyfalaf yn gynnar naill ai cyn i'r prosiect gwblhau neu drwy gydol y cyfnod ad-dalu trwy nodi gwerthoedd yn y golofn ad-dalu cyfalaf cynnar. Dyma gyfanswm gwerth ad-daliadau cyfalaf cynnar." sqref="G57" xr:uid="{35DCFD81-1C32-46C7-A659-111DC0ADAAA0}"/>
    <dataValidation allowBlank="1" showInputMessage="1" showErrorMessage="1" prompt="Bydd ad-daliadau safonol y cyfalaf yn dechrau ar ôl i'r prosiect gael ei gwblhau. Dyma gyfanswm gwerth ad-daliadau cyfalaf yn y tabl isod." sqref="G58" xr:uid="{EA730635-2461-4E8B-9EBE-6983755A726E}"/>
    <dataValidation allowBlank="1" showInputMessage="1" showErrorMessage="1" prompt="Dyddiad Amcangyfrifedig Cwblhau'r Prosiect - Y dyddiad y bydd y mesurau sydd wedi'u cynnwys yn y cais yn dod i ben. Caiff ei gymryd o'r tab &quot;Achos Busnes&quot;." sqref="D54" xr:uid="{0E938B2C-54C1-48FD-ABB9-E15679DBE585}"/>
    <dataValidation allowBlank="1" showInputMessage="1" showErrorMessage="1" promptTitle="Cyfradd Llog Blynyddol" prompt="Bydd cyfradd llog blynyddol ar gyfradd benthyca'r llywodraeth ar hyn o bryd, sef 2.05%, yn cael ei chymhwyso i'r benthyciad. Ni fydd y gyfradd yn newid yn ystod cyfnod y benthyciad." sqref="D50" xr:uid="{0B831BF9-330F-4125-BCCF-7C778C232A0F}"/>
    <dataValidation allowBlank="1" showInputMessage="1" showErrorMessage="1" prompt="Cyfanswm y Benthyciad y Gwneir Cais Amdano - Cymerir y gwerth hwn o'r &quot;Offeryn Cydymffurfiaeth Prosiect&quot;. Cyfanswm y benthyciad y gofynnir amdano ar gyfer y cais yw hwn. " sqref="D49" xr:uid="{7A74E7D6-2A0B-43D8-BCCA-0B32E184959C}"/>
    <dataValidation allowBlank="1" showInputMessage="1" showErrorMessage="1" promptTitle="Gwerth y Prosiect" prompt="Cymerir y gwerth hwn o'r &quot;Offeryn Cydymffurfiaeth Prosiect&quot;" sqref="D48" xr:uid="{6FB7176A-CCAA-4F66-A894-19BE071CC8E3}"/>
    <dataValidation allowBlank="1" showInputMessage="1" showErrorMessage="1" prompt="Cyfanswm Effaith Ariannol Net - Cymerir y gwerth hwn o'r offeryn Cydymffurfiaeth Prosiect i ddangos yr arbedion ariannol blynyddol amcangyfrifedig ar gyfer y prosiect cyfan" sqref="N11" xr:uid="{E658DE9A-26E8-4341-8312-9B211C95CF33}"/>
    <dataValidation allowBlank="1" showInputMessage="1" showErrorMessage="1" prompt="Isafswm gwerth ad-dalu gofynnol - Mae'r gwerth hwn yn cael ei ddosrannu i gyfalaf a llog yn y tabl amorteiddio isod. Bydd yn cynyddu / gostwng yn dibynnu ar y blynyddoedd y bwriedir ad-dalu'r benthyciad a gofnodwyd uchod." sqref="N18" xr:uid="{42D4CF1C-D8E3-4176-A450-EA7E48878A95}"/>
    <dataValidation allowBlank="1" showInputMessage="1" showErrorMessage="1" prompt="Cyfanswm y taliadau llog cronnus bob Blwyddyn Ariannol." sqref="V69" xr:uid="{E14389CA-EC4A-483C-9D6D-E25E0DA14E53}"/>
    <dataValidation allowBlank="1" showInputMessage="1" showErrorMessage="1" prompt="Cyfanswm y taliadau cyfalaf cronnus bob Blwyddyn Ariannol." sqref="U69" xr:uid="{244968A3-F2F7-4FCB-A1F7-C01121FD1417}"/>
    <dataValidation allowBlank="1" showInputMessage="1" showErrorMessage="1" prompt="Cyfanswm y balans cyfalaf sy'n weddill i'w ad-dalu ar ddiwedd pob blwyddyn. _x000a_Dyma'r balans cyfalaf cychwynnol llai cyfanswm yr ad-daliad._x000a_Nid yw'n cynnwys taliad llog." sqref="T69" xr:uid="{75D0BCDA-7520-4612-A75C-3E0CD612AE03}"/>
    <dataValidation allowBlank="1" showInputMessage="1" showErrorMessage="1" prompt="Cyfanswm y gwerth a fydd yn cael ei ad-dalu bob blwyddyn. Dyma swm yr Ad-daliad Cyfan ynghyd ag unrhyw Ad-daliadau Cyfalaf Cynnar. Nid yw hyn yn cynnwys unrhyw daliadau llog." sqref="R69" xr:uid="{99C1EA92-6C65-4584-A5A2-6B663FCB69E4}"/>
    <dataValidation allowBlank="1" showInputMessage="1" showErrorMessage="1" prompt="Rhowch werth ad-daliadau cyfalaf cynnar yn y golofn hon. Ni all hyn fod yn fwy na'r balans cyfalaf cychwynnol ar gyfer y flwyddyn ariannol honno. Peidiwch â mewnbynnu at y taliad olaf yn y Flwyddyn Ariannol." sqref="Q69" xr:uid="{5247101B-5721-4895-AF1C-F79F7A82B620}"/>
    <dataValidation allowBlank="1" showInputMessage="1" showErrorMessage="1" prompt="Cyfran o'r isafswm blynyddol gofynnol ad-daliad sy'n gymesur â chyfalaf." sqref="O69" xr:uid="{B8EE54E4-787D-415C-85F0-6060B475FB07}"/>
    <dataValidation allowBlank="1" showInputMessage="1" showErrorMessage="1" prompt="Cyfran o'r isafswm blynyddol gofynnol ad-daliad sy'n gymesur â llog." sqref="N69" xr:uid="{75F1880B-3820-4D51-AD82-4173AAA558FD}"/>
    <dataValidation allowBlank="1" showInputMessage="1" showErrorMessage="1" prompt="Mae hyn yn seiliedig ar gyfanswm yr ad-daliadau blynyddol sy'n ofynnol i ad-dalu'r benthyciad cyfalaf llawn y gofynnir amdano ynghyd â llog erbyn y dyddiad cau ad-dalu." sqref="M69" xr:uid="{107BFCB2-799A-4E07-9647-70AC34E87B6A}"/>
    <dataValidation allowBlank="1" showInputMessage="1" showErrorMessage="1" prompt="Cyfanswm y balans cyfalaf sy'n weddill i'w ad-dalu ar ddechrau pob blwyddyn." sqref="L69 H69" xr:uid="{CD06CD85-B693-420E-8A88-C9850FF25B52}"/>
    <dataValidation allowBlank="1" showInputMessage="1" showErrorMessage="1" prompt="Y Flwyddyn Ariannol y mae'r taliad ynddi." sqref="G69" xr:uid="{6B2CD68E-D377-4898-ABD0-2FA08EC32BE9}"/>
    <dataValidation allowBlank="1" showInputMessage="1" showErrorMessage="1" prompt="Nifer y taliadau sy'n cael eu talu tuag at y llog." sqref="F69" xr:uid="{67B89A83-88B3-4AE3-9FCE-C4A28ADE93C3}"/>
    <dataValidation allowBlank="1" showInputMessage="1" showErrorMessage="1" prompt="Nifer y taliadau sy'n cael eu talu tuag at y cyfalaf." sqref="E69" xr:uid="{C1216DAA-CDA7-4138-87D9-2A6D147698A2}"/>
    <dataValidation allowBlank="1" showInputMessage="1" showErrorMessage="1" prompt="Y dyddiad gorffen pan fydd eich benthyciad yn cael ei gyfuno a bydd llog yn cael ei gasglu." sqref="D69" xr:uid="{87D80C99-B1C3-441A-8149-1B6517186A6D}"/>
    <dataValidation allowBlank="1" showInputMessage="1" showErrorMessage="1" prompt="Y dyddiad cychwyn y bydd eich benthyciad yn dechrau cronni llog." sqref="C69" xr:uid="{BF18D83F-BDE5-4640-AAC1-026741E2865D}"/>
    <dataValidation type="whole" operator="lessThanOrEqual" allowBlank="1" showInputMessage="1" showErrorMessage="1" prompt="Nodwch sawl blwyddyn rydych yn bwriadu ei gymryd i ad-dalu'r benthyciad. Pennir yr uchafswm gwerth a ganiateir gan ad-daliad technegol y mesurau y gwneir cais amdanynt. Gall y cyfnod hwn newid os bydd unrhyw ad-daliadau cynnar. " sqref="N15" xr:uid="{A3B24340-D731-4AED-9E0E-73739D3D4653}">
      <formula1>N12</formula1>
    </dataValidation>
    <dataValidation type="decimal" allowBlank="1" showInputMessage="1" showErrorMessage="1" sqref="M65:N65" xr:uid="{B69A5B7B-8898-44B6-A0BD-803A17A4E1FE}">
      <formula1>0</formula1>
      <formula2>E66</formula2>
    </dataValidation>
    <dataValidation type="list" allowBlank="1" showInputMessage="1" showErrorMessage="1" promptTitle="Ad-daliadau Cynnar " prompt=" Nodwch a ydych yn rhagweld gwneud unrhyw daliadau cynnar. Nodwch y rhain yn y golofn Ad-dalu Cyfalaf Cynnar yn y tabl isod." sqref="N22" xr:uid="{7453FD74-1696-4A9A-A58B-5D7CD774A8FF}">
      <formula1>"Ydy, Nac ydy"</formula1>
    </dataValidation>
    <dataValidation allowBlank="1" showInputMessage="1" showErrorMessage="1" promptTitle="Gwerth Taliad Llog Cyntaf" prompt="Taliad llog cyntaf yw hwn fel y'i cyfrifir yn y tabl isod." sqref="G49" xr:uid="{124E1A13-7401-4968-BD06-E202B9A1C51C}"/>
    <dataValidation type="whole" operator="lessThanOrEqual" allowBlank="1" showErrorMessage="1" promptTitle="Loan Payback Length" prompt="Please input the number of years that you intend to payback " sqref="N16" xr:uid="{CA937624-BFE0-4BBC-B6BD-8086443BDBB1}">
      <formula1>$AO$24</formula1>
    </dataValidation>
    <dataValidation type="list" allowBlank="1" showInputMessage="1" showErrorMessage="1" sqref="N28 L32:L33" xr:uid="{4886DEC3-1E0C-43F2-BA5C-308E30FEC308}">
      <formula1>"Ydy, Nac ydy"</formula1>
    </dataValidation>
    <dataValidation allowBlank="1" showInputMessage="1" showErrorMessage="1" prompt="Dyddiad Tynnu i Lawr Amcangyfrifedig - Bydd y dyddiad tynnu i lawr yn cael ei gyfrifo'n awtomatig, sef 6 wythnos ar ôl y dyddiad cyflwyno, a nodir yn y tab &quot;Achos Busnes&quot;." sqref="D51" xr:uid="{40C1D2D0-5350-44E6-923B-CE084C3D0F4B}"/>
    <dataValidation allowBlank="1" showInputMessage="1" showErrorMessage="1" promptTitle="Cyfanswm y Taliadau Llog" prompt="Dyma werth y taliadau llog fel y'i cyfrifir yn y tabl isod." sqref="G51" xr:uid="{DE134F6D-DE46-4275-9681-80092943EDDD}"/>
    <dataValidation type="list" allowBlank="1" showInputMessage="1" showErrorMessage="1" sqref="M32" xr:uid="{71FD66DA-20A2-4564-9361-0DD1C06606DC}">
      <formula1>$AO$41:$AO$44</formula1>
    </dataValidation>
    <dataValidation type="list" allowBlank="1" showInputMessage="1" showErrorMessage="1" sqref="M33" xr:uid="{0F91832F-1F41-48F6-9431-C121B030FBAA}">
      <formula1>$AO$45:$AO$48</formula1>
    </dataValidation>
    <dataValidation type="whole" operator="lessThan" allowBlank="1" showErrorMessage="1" sqref="Q70:Q84" xr:uid="{40829F95-D713-4698-B1E2-73CE5C78D549}">
      <formula1>SUM(L70-M70)</formula1>
    </dataValidation>
  </dataValidations>
  <pageMargins left="0.7" right="0.7" top="0.75" bottom="0.75" header="0.3" footer="0.3"/>
  <pageSetup paperSize="9" orientation="portrait" r:id="rId1"/>
  <customProperties>
    <customPr name="GUID" r:id="rId2"/>
  </customProperties>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8C6D2-AB96-442B-A13C-5FE050CFD59F}">
  <sheetPr>
    <tabColor rgb="FF382573"/>
    <pageSetUpPr fitToPage="1"/>
  </sheetPr>
  <dimension ref="A1:AH141"/>
  <sheetViews>
    <sheetView showGridLines="0" topLeftCell="A8" zoomScale="76" zoomScaleNormal="76" workbookViewId="0">
      <selection activeCell="F23" sqref="F23"/>
    </sheetView>
  </sheetViews>
  <sheetFormatPr defaultColWidth="9.453125" defaultRowHeight="27" customHeight="1" x14ac:dyDescent="0.5"/>
  <cols>
    <col min="1" max="1" width="3.54296875" style="361" customWidth="1"/>
    <col min="2" max="2" width="3.453125" style="361" customWidth="1"/>
    <col min="3" max="3" width="36.54296875" style="365" customWidth="1"/>
    <col min="4" max="4" width="77.7265625" style="364" customWidth="1"/>
    <col min="5" max="6" width="20.453125" style="364" customWidth="1"/>
    <col min="7" max="7" width="20.453125" style="363" customWidth="1"/>
    <col min="8" max="8" width="3.54296875" style="362" customWidth="1"/>
    <col min="9" max="9" width="10.453125" style="362" customWidth="1"/>
    <col min="10" max="10" width="16.453125" style="361" customWidth="1"/>
    <col min="11" max="11" width="14.54296875" style="361" customWidth="1"/>
    <col min="12" max="12" width="18.1796875" style="361" hidden="1" customWidth="1"/>
    <col min="13" max="13" width="28.54296875" style="361" customWidth="1"/>
    <col min="14" max="14" width="43.54296875" style="361" customWidth="1"/>
    <col min="15" max="15" width="15.81640625" style="361" hidden="1" customWidth="1"/>
    <col min="16" max="16" width="0" style="361" hidden="1" customWidth="1"/>
    <col min="17" max="16384" width="9.453125" style="361"/>
  </cols>
  <sheetData>
    <row r="1" spans="1:34" ht="16.399999999999999" customHeight="1" x14ac:dyDescent="0.5">
      <c r="A1" s="366"/>
      <c r="B1" s="366"/>
      <c r="C1" s="451"/>
      <c r="D1" s="450"/>
      <c r="E1" s="450"/>
      <c r="F1" s="450"/>
      <c r="G1" s="449"/>
      <c r="H1" s="445"/>
      <c r="I1" s="445"/>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row>
    <row r="2" spans="1:34" ht="17.149999999999999" customHeight="1" x14ac:dyDescent="0.5">
      <c r="A2" s="366"/>
      <c r="B2" s="367"/>
      <c r="C2" s="448"/>
      <c r="D2" s="448"/>
      <c r="E2" s="448"/>
      <c r="F2" s="448"/>
      <c r="G2" s="447"/>
      <c r="H2" s="446"/>
      <c r="I2" s="445"/>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row>
    <row r="3" spans="1:34" ht="35.15" customHeight="1" x14ac:dyDescent="0.5">
      <c r="A3" s="366"/>
      <c r="B3" s="367"/>
      <c r="C3" s="957" t="s">
        <v>363</v>
      </c>
      <c r="D3" s="957"/>
      <c r="E3" s="476"/>
      <c r="F3" s="476"/>
      <c r="G3" s="444"/>
      <c r="H3" s="367"/>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row>
    <row r="4" spans="1:34" ht="46.4" customHeight="1" x14ac:dyDescent="0.5">
      <c r="A4" s="366"/>
      <c r="B4" s="367"/>
      <c r="C4" s="958"/>
      <c r="D4" s="958"/>
      <c r="E4" s="477"/>
      <c r="F4" s="477"/>
      <c r="G4" s="443"/>
      <c r="H4" s="367"/>
      <c r="I4" s="366"/>
      <c r="J4" s="366"/>
      <c r="K4" s="366"/>
      <c r="L4" s="366"/>
      <c r="M4" s="366"/>
      <c r="N4" s="366"/>
      <c r="O4" s="366"/>
      <c r="P4" s="366"/>
      <c r="Q4" s="366"/>
      <c r="R4" s="366"/>
      <c r="S4" s="366"/>
      <c r="T4" s="366"/>
      <c r="U4" s="366"/>
      <c r="V4" s="366"/>
      <c r="W4" s="366"/>
      <c r="X4" s="366"/>
      <c r="Y4" s="366"/>
      <c r="Z4" s="366"/>
      <c r="AA4" s="366"/>
      <c r="AB4" s="366"/>
      <c r="AC4" s="366"/>
      <c r="AD4" s="366"/>
      <c r="AE4" s="366"/>
      <c r="AF4" s="366"/>
      <c r="AG4" s="366"/>
      <c r="AH4" s="366"/>
    </row>
    <row r="5" spans="1:34" ht="44.9" customHeight="1" thickBot="1" x14ac:dyDescent="0.55000000000000004">
      <c r="A5" s="366"/>
      <c r="B5" s="367"/>
      <c r="C5" s="959" t="s">
        <v>364</v>
      </c>
      <c r="D5" s="959"/>
      <c r="E5" s="959"/>
      <c r="F5" s="959"/>
      <c r="G5" s="959"/>
      <c r="H5" s="367"/>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row>
    <row r="6" spans="1:34" s="440" customFormat="1" ht="50.5" customHeight="1" thickBot="1" x14ac:dyDescent="0.55000000000000004">
      <c r="A6" s="428"/>
      <c r="B6" s="442"/>
      <c r="C6" s="423" t="s">
        <v>45</v>
      </c>
      <c r="D6" s="441" t="s">
        <v>365</v>
      </c>
      <c r="E6" s="421" t="s">
        <v>366</v>
      </c>
      <c r="F6" s="421" t="s">
        <v>367</v>
      </c>
      <c r="G6" s="420" t="s">
        <v>368</v>
      </c>
      <c r="H6" s="430"/>
      <c r="I6" s="429"/>
      <c r="J6" s="961" t="s">
        <v>369</v>
      </c>
      <c r="K6" s="961"/>
      <c r="L6" s="961"/>
      <c r="M6" s="961"/>
      <c r="N6" s="961"/>
      <c r="O6" s="366"/>
      <c r="P6" s="366"/>
      <c r="Q6" s="366"/>
      <c r="R6" s="366"/>
      <c r="S6" s="428"/>
      <c r="T6" s="428"/>
      <c r="U6" s="428"/>
      <c r="V6" s="428"/>
      <c r="W6" s="428"/>
      <c r="X6" s="428"/>
      <c r="Y6" s="428"/>
      <c r="Z6" s="428"/>
      <c r="AA6" s="428"/>
      <c r="AB6" s="428"/>
      <c r="AC6" s="428"/>
      <c r="AD6" s="428"/>
      <c r="AE6" s="428"/>
      <c r="AF6" s="428"/>
      <c r="AG6" s="428"/>
      <c r="AH6" s="428"/>
    </row>
    <row r="7" spans="1:34" ht="27" customHeight="1" x14ac:dyDescent="0.5">
      <c r="A7" s="366"/>
      <c r="B7" s="367"/>
      <c r="C7" s="384" t="s">
        <v>370</v>
      </c>
      <c r="D7" s="376" t="s">
        <v>371</v>
      </c>
      <c r="E7" s="382" t="s">
        <v>372</v>
      </c>
      <c r="F7" s="439"/>
      <c r="G7" s="381">
        <v>20</v>
      </c>
      <c r="H7" s="379"/>
      <c r="I7" s="378"/>
      <c r="J7" s="960" t="s">
        <v>373</v>
      </c>
      <c r="K7" s="960"/>
      <c r="L7" s="960"/>
      <c r="M7" s="960"/>
      <c r="N7" s="960"/>
      <c r="O7" s="366"/>
      <c r="P7" s="366"/>
      <c r="Q7" s="366"/>
      <c r="R7" s="366"/>
      <c r="S7" s="366"/>
      <c r="T7" s="366"/>
      <c r="U7" s="366"/>
      <c r="V7" s="366"/>
      <c r="W7" s="366"/>
      <c r="X7" s="366"/>
      <c r="Y7" s="366"/>
      <c r="Z7" s="366"/>
      <c r="AA7" s="366"/>
      <c r="AB7" s="366"/>
      <c r="AC7" s="366"/>
      <c r="AD7" s="366"/>
      <c r="AE7" s="366"/>
      <c r="AF7" s="366"/>
      <c r="AG7" s="366"/>
      <c r="AH7" s="366"/>
    </row>
    <row r="8" spans="1:34" ht="27" customHeight="1" x14ac:dyDescent="0.5">
      <c r="A8" s="366"/>
      <c r="B8" s="367"/>
      <c r="C8" s="389"/>
      <c r="D8" s="376" t="s">
        <v>374</v>
      </c>
      <c r="E8" s="387" t="s">
        <v>372</v>
      </c>
      <c r="F8" s="438"/>
      <c r="G8" s="386">
        <v>20</v>
      </c>
      <c r="H8" s="379"/>
      <c r="I8" s="378"/>
      <c r="J8" s="960"/>
      <c r="K8" s="960"/>
      <c r="L8" s="960"/>
      <c r="M8" s="960"/>
      <c r="N8" s="960"/>
      <c r="O8" s="366"/>
      <c r="P8" s="366"/>
      <c r="Q8" s="366"/>
      <c r="R8" s="366"/>
      <c r="S8" s="366"/>
      <c r="T8" s="366"/>
      <c r="U8" s="366"/>
      <c r="V8" s="366"/>
      <c r="W8" s="366"/>
      <c r="X8" s="366"/>
      <c r="Y8" s="366"/>
      <c r="Z8" s="366"/>
      <c r="AA8" s="366"/>
      <c r="AB8" s="366"/>
      <c r="AC8" s="366"/>
      <c r="AD8" s="366"/>
      <c r="AE8" s="366"/>
      <c r="AF8" s="366"/>
      <c r="AG8" s="366"/>
      <c r="AH8" s="366"/>
    </row>
    <row r="9" spans="1:34" ht="27" customHeight="1" x14ac:dyDescent="0.5">
      <c r="A9" s="366"/>
      <c r="B9" s="367"/>
      <c r="C9" s="380"/>
      <c r="D9" s="376" t="s">
        <v>375</v>
      </c>
      <c r="E9" s="375" t="s">
        <v>372</v>
      </c>
      <c r="F9" s="435"/>
      <c r="G9" s="374">
        <v>25</v>
      </c>
      <c r="H9" s="379"/>
      <c r="I9" s="378"/>
      <c r="J9" s="960"/>
      <c r="K9" s="960"/>
      <c r="L9" s="960"/>
      <c r="M9" s="960"/>
      <c r="N9" s="960"/>
      <c r="O9" s="366"/>
      <c r="P9" s="366"/>
      <c r="Q9" s="366"/>
      <c r="R9" s="366"/>
      <c r="S9" s="366"/>
      <c r="T9" s="366"/>
      <c r="U9" s="366"/>
      <c r="V9" s="366"/>
      <c r="W9" s="366"/>
      <c r="X9" s="366"/>
      <c r="Y9" s="366"/>
      <c r="Z9" s="366"/>
      <c r="AA9" s="366"/>
      <c r="AB9" s="366"/>
      <c r="AC9" s="366"/>
      <c r="AD9" s="366"/>
      <c r="AE9" s="366"/>
      <c r="AF9" s="366"/>
      <c r="AG9" s="366"/>
      <c r="AH9" s="366"/>
    </row>
    <row r="10" spans="1:34" ht="27" customHeight="1" x14ac:dyDescent="0.5">
      <c r="A10" s="366"/>
      <c r="B10" s="367"/>
      <c r="C10" s="380"/>
      <c r="D10" s="376" t="s">
        <v>376</v>
      </c>
      <c r="E10" s="375" t="s">
        <v>372</v>
      </c>
      <c r="F10" s="435"/>
      <c r="G10" s="374">
        <v>25</v>
      </c>
      <c r="H10" s="379"/>
      <c r="I10" s="378"/>
      <c r="J10" s="960"/>
      <c r="K10" s="960"/>
      <c r="L10" s="960"/>
      <c r="M10" s="960"/>
      <c r="N10" s="960"/>
      <c r="O10" s="366"/>
      <c r="P10" s="366"/>
      <c r="Q10" s="366"/>
      <c r="R10" s="366"/>
      <c r="S10" s="366"/>
      <c r="T10" s="366"/>
      <c r="U10" s="366"/>
      <c r="V10" s="366"/>
      <c r="W10" s="366"/>
      <c r="X10" s="366"/>
      <c r="Y10" s="366"/>
      <c r="Z10" s="366"/>
      <c r="AA10" s="366"/>
      <c r="AB10" s="366"/>
      <c r="AC10" s="366"/>
      <c r="AD10" s="366"/>
      <c r="AE10" s="366"/>
      <c r="AF10" s="366"/>
      <c r="AG10" s="366"/>
      <c r="AH10" s="366"/>
    </row>
    <row r="11" spans="1:34" s="433" customFormat="1" ht="27" customHeight="1" x14ac:dyDescent="0.5">
      <c r="A11" s="437"/>
      <c r="B11" s="436"/>
      <c r="C11" s="380"/>
      <c r="D11" s="376" t="s">
        <v>377</v>
      </c>
      <c r="E11" s="375" t="s">
        <v>372</v>
      </c>
      <c r="F11" s="435"/>
      <c r="G11" s="434">
        <v>30</v>
      </c>
      <c r="H11" s="379"/>
      <c r="I11" s="378"/>
      <c r="J11" s="960"/>
      <c r="K11" s="960"/>
      <c r="L11" s="960"/>
      <c r="M11" s="960"/>
      <c r="N11" s="960"/>
      <c r="O11" s="366"/>
      <c r="P11" s="366"/>
      <c r="Q11" s="366"/>
      <c r="R11" s="366"/>
      <c r="S11" s="366"/>
      <c r="T11" s="366"/>
      <c r="U11" s="366"/>
      <c r="V11" s="366"/>
      <c r="W11" s="366"/>
      <c r="X11" s="366"/>
      <c r="Y11" s="366"/>
      <c r="Z11" s="366"/>
      <c r="AA11" s="366"/>
      <c r="AB11" s="366"/>
      <c r="AC11" s="366"/>
      <c r="AD11" s="366"/>
      <c r="AE11" s="366"/>
      <c r="AF11" s="366"/>
      <c r="AG11" s="366"/>
      <c r="AH11" s="366"/>
    </row>
    <row r="12" spans="1:34" s="433" customFormat="1" ht="27" customHeight="1" x14ac:dyDescent="0.5">
      <c r="A12" s="437"/>
      <c r="B12" s="436"/>
      <c r="C12" s="418"/>
      <c r="D12" s="417" t="s">
        <v>378</v>
      </c>
      <c r="E12" s="405" t="s">
        <v>372</v>
      </c>
      <c r="F12" s="435"/>
      <c r="G12" s="434">
        <v>10</v>
      </c>
      <c r="H12" s="379"/>
      <c r="I12" s="378"/>
      <c r="J12" s="544"/>
      <c r="K12" s="544"/>
      <c r="L12" s="544"/>
      <c r="M12" s="544"/>
      <c r="N12" s="544"/>
      <c r="O12" s="366"/>
      <c r="P12" s="366"/>
      <c r="Q12" s="366"/>
      <c r="R12" s="366"/>
      <c r="S12" s="366"/>
      <c r="T12" s="366"/>
      <c r="U12" s="366"/>
      <c r="V12" s="366"/>
      <c r="W12" s="366"/>
      <c r="X12" s="366"/>
      <c r="Y12" s="366"/>
      <c r="Z12" s="366"/>
      <c r="AA12" s="366"/>
      <c r="AB12" s="366"/>
      <c r="AC12" s="366"/>
      <c r="AD12" s="366"/>
      <c r="AE12" s="366"/>
      <c r="AF12" s="366"/>
      <c r="AG12" s="366"/>
      <c r="AH12" s="366"/>
    </row>
    <row r="13" spans="1:34" s="427" customFormat="1" ht="27" customHeight="1" x14ac:dyDescent="0.5">
      <c r="A13" s="432"/>
      <c r="B13" s="431"/>
      <c r="C13" s="418"/>
      <c r="D13" s="417" t="s">
        <v>379</v>
      </c>
      <c r="E13" s="405" t="s">
        <v>372</v>
      </c>
      <c r="F13" s="426"/>
      <c r="G13" s="425">
        <v>12</v>
      </c>
      <c r="H13" s="430"/>
      <c r="I13" s="429"/>
      <c r="J13" s="366"/>
      <c r="K13" s="366"/>
      <c r="L13" s="366"/>
      <c r="M13" s="366"/>
      <c r="N13" s="366"/>
      <c r="O13" s="366"/>
      <c r="P13" s="366"/>
      <c r="Q13" s="366"/>
      <c r="R13" s="366"/>
      <c r="S13" s="366"/>
      <c r="T13" s="366"/>
      <c r="U13" s="428"/>
      <c r="V13" s="428"/>
      <c r="W13" s="428"/>
      <c r="X13" s="428"/>
      <c r="Y13" s="428"/>
      <c r="Z13" s="428"/>
      <c r="AA13" s="428"/>
      <c r="AB13" s="428"/>
      <c r="AC13" s="428"/>
      <c r="AD13" s="428"/>
      <c r="AE13" s="428"/>
      <c r="AF13" s="428"/>
      <c r="AG13" s="428"/>
      <c r="AH13" s="428"/>
    </row>
    <row r="14" spans="1:34" ht="27" customHeight="1" thickBot="1" x14ac:dyDescent="0.55000000000000004">
      <c r="A14" s="366"/>
      <c r="B14" s="367"/>
      <c r="C14" s="418"/>
      <c r="D14" s="417" t="s">
        <v>380</v>
      </c>
      <c r="E14" s="405" t="s">
        <v>372</v>
      </c>
      <c r="F14" s="426"/>
      <c r="G14" s="425">
        <v>25</v>
      </c>
      <c r="H14" s="379"/>
      <c r="I14" s="378"/>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6"/>
    </row>
    <row r="15" spans="1:34" ht="27" customHeight="1" thickBot="1" x14ac:dyDescent="0.55000000000000004">
      <c r="A15" s="366"/>
      <c r="B15" s="367"/>
      <c r="C15" s="418"/>
      <c r="D15" s="370" t="s">
        <v>381</v>
      </c>
      <c r="E15" s="369" t="s">
        <v>372</v>
      </c>
      <c r="F15" s="424"/>
      <c r="G15" s="394">
        <v>20</v>
      </c>
      <c r="H15" s="379"/>
      <c r="I15" s="378"/>
      <c r="J15" s="478" t="s">
        <v>382</v>
      </c>
      <c r="K15" s="251"/>
      <c r="L15" s="251"/>
      <c r="M15" s="251"/>
      <c r="N15" s="252"/>
      <c r="O15" s="366"/>
      <c r="P15" s="366"/>
      <c r="Q15" s="366"/>
      <c r="R15" s="366"/>
      <c r="S15" s="366"/>
      <c r="T15" s="366"/>
      <c r="U15" s="366"/>
      <c r="V15" s="366"/>
      <c r="W15" s="366"/>
      <c r="X15" s="366"/>
      <c r="Y15" s="366"/>
      <c r="Z15" s="366"/>
      <c r="AA15" s="366"/>
      <c r="AB15" s="366"/>
      <c r="AC15" s="366"/>
      <c r="AD15" s="366"/>
      <c r="AE15" s="366"/>
      <c r="AF15" s="366"/>
      <c r="AG15" s="366"/>
      <c r="AH15" s="366"/>
    </row>
    <row r="16" spans="1:34" ht="27" customHeight="1" thickBot="1" x14ac:dyDescent="0.55000000000000004">
      <c r="A16" s="366"/>
      <c r="B16" s="367"/>
      <c r="C16" s="423" t="s">
        <v>45</v>
      </c>
      <c r="D16" s="422" t="s">
        <v>365</v>
      </c>
      <c r="E16" s="421" t="s">
        <v>366</v>
      </c>
      <c r="F16" s="421" t="s">
        <v>367</v>
      </c>
      <c r="G16" s="420" t="s">
        <v>383</v>
      </c>
      <c r="H16" s="379"/>
      <c r="I16" s="378"/>
      <c r="J16" s="479" t="s">
        <v>384</v>
      </c>
      <c r="K16" s="480" t="s">
        <v>385</v>
      </c>
      <c r="L16" s="543" t="s">
        <v>386</v>
      </c>
      <c r="M16" s="543"/>
      <c r="N16" s="481"/>
      <c r="O16" s="468" t="s">
        <v>387</v>
      </c>
      <c r="P16" s="469"/>
      <c r="Q16" s="366"/>
      <c r="R16" s="366"/>
      <c r="S16" s="366"/>
      <c r="T16" s="366"/>
      <c r="U16" s="366"/>
      <c r="V16" s="366"/>
      <c r="W16" s="366"/>
      <c r="X16" s="366"/>
      <c r="Y16" s="366"/>
      <c r="Z16" s="366"/>
      <c r="AA16" s="366"/>
      <c r="AB16" s="366"/>
      <c r="AC16" s="366"/>
      <c r="AD16" s="366"/>
      <c r="AE16" s="366"/>
      <c r="AF16" s="366"/>
      <c r="AG16" s="366"/>
      <c r="AH16" s="366"/>
    </row>
    <row r="17" spans="1:34" ht="27" customHeight="1" x14ac:dyDescent="0.5">
      <c r="A17" s="366"/>
      <c r="B17" s="367"/>
      <c r="C17" s="419" t="s">
        <v>388</v>
      </c>
      <c r="D17" s="383" t="s">
        <v>389</v>
      </c>
      <c r="E17" s="382" t="s">
        <v>372</v>
      </c>
      <c r="F17" s="382" t="s">
        <v>372</v>
      </c>
      <c r="G17" s="381">
        <v>6.84</v>
      </c>
      <c r="H17" s="379"/>
      <c r="I17" s="378"/>
      <c r="J17" s="200" t="s">
        <v>65</v>
      </c>
      <c r="K17" s="201">
        <f>0.207074288590604+0.017915111409396</f>
        <v>0.22498940000000001</v>
      </c>
      <c r="L17" s="211">
        <v>45175</v>
      </c>
      <c r="M17" s="212" t="s">
        <v>390</v>
      </c>
      <c r="N17" s="213"/>
      <c r="O17" s="470">
        <v>0.44932</v>
      </c>
      <c r="P17" s="469" t="s">
        <v>391</v>
      </c>
      <c r="Q17" s="366"/>
      <c r="R17" s="366"/>
      <c r="S17" s="366"/>
      <c r="T17" s="366"/>
      <c r="U17" s="366"/>
      <c r="V17" s="366"/>
      <c r="W17" s="366"/>
      <c r="X17" s="366"/>
      <c r="Y17" s="366"/>
      <c r="Z17" s="366"/>
      <c r="AA17" s="366"/>
      <c r="AB17" s="366"/>
      <c r="AC17" s="366"/>
      <c r="AD17" s="366"/>
      <c r="AE17" s="366"/>
      <c r="AF17" s="366"/>
      <c r="AG17" s="366"/>
      <c r="AH17" s="366"/>
    </row>
    <row r="18" spans="1:34" ht="27" customHeight="1" thickBot="1" x14ac:dyDescent="0.55000000000000004">
      <c r="A18" s="366"/>
      <c r="B18" s="367"/>
      <c r="C18" s="418"/>
      <c r="D18" s="417" t="s">
        <v>392</v>
      </c>
      <c r="E18" s="414" t="s">
        <v>372</v>
      </c>
      <c r="F18" s="405" t="s">
        <v>372</v>
      </c>
      <c r="G18" s="416">
        <v>8.4208754827908177</v>
      </c>
      <c r="H18" s="379"/>
      <c r="I18" s="378"/>
      <c r="J18" s="202" t="s">
        <v>393</v>
      </c>
      <c r="K18" s="203">
        <v>0.18315999999999999</v>
      </c>
      <c r="L18" s="211">
        <v>44377</v>
      </c>
      <c r="M18" s="214" t="s">
        <v>394</v>
      </c>
      <c r="N18" s="213"/>
      <c r="O18" s="470">
        <v>0.184</v>
      </c>
      <c r="P18" s="469" t="s">
        <v>395</v>
      </c>
      <c r="Q18" s="366"/>
      <c r="R18" s="366"/>
      <c r="S18" s="366"/>
      <c r="T18" s="366"/>
      <c r="U18" s="366"/>
      <c r="V18" s="366"/>
      <c r="W18" s="366"/>
      <c r="X18" s="366"/>
      <c r="Y18" s="366"/>
      <c r="Z18" s="366"/>
      <c r="AA18" s="366"/>
      <c r="AB18" s="366"/>
      <c r="AC18" s="366"/>
      <c r="AD18" s="366"/>
      <c r="AE18" s="366"/>
      <c r="AF18" s="366"/>
      <c r="AG18" s="366"/>
      <c r="AH18" s="366"/>
    </row>
    <row r="19" spans="1:34" ht="27" customHeight="1" x14ac:dyDescent="0.5">
      <c r="A19" s="366"/>
      <c r="B19" s="367"/>
      <c r="C19" s="384" t="s">
        <v>396</v>
      </c>
      <c r="D19" s="383" t="s">
        <v>397</v>
      </c>
      <c r="E19" s="413"/>
      <c r="F19" s="413" t="s">
        <v>372</v>
      </c>
      <c r="G19" s="381">
        <v>6.84</v>
      </c>
      <c r="H19" s="379"/>
      <c r="I19" s="378"/>
      <c r="J19" s="204" t="s">
        <v>398</v>
      </c>
      <c r="K19" s="203">
        <v>0.25679000000000002</v>
      </c>
      <c r="L19" s="211">
        <v>44377</v>
      </c>
      <c r="M19" s="214" t="s">
        <v>394</v>
      </c>
      <c r="N19" s="213"/>
      <c r="O19" s="471">
        <v>0.27631</v>
      </c>
      <c r="P19" s="469" t="s">
        <v>399</v>
      </c>
      <c r="Q19" s="366"/>
      <c r="R19" s="366"/>
      <c r="S19" s="366"/>
      <c r="T19" s="366"/>
      <c r="U19" s="366"/>
      <c r="V19" s="366"/>
      <c r="W19" s="366"/>
      <c r="X19" s="366"/>
      <c r="Y19" s="366"/>
      <c r="Z19" s="366"/>
      <c r="AA19" s="366"/>
      <c r="AB19" s="366"/>
      <c r="AC19" s="366"/>
      <c r="AD19" s="366"/>
      <c r="AE19" s="366"/>
      <c r="AF19" s="366"/>
      <c r="AG19" s="366"/>
      <c r="AH19" s="366"/>
    </row>
    <row r="20" spans="1:34" ht="27" customHeight="1" x14ac:dyDescent="0.5">
      <c r="A20" s="366"/>
      <c r="B20" s="367"/>
      <c r="C20" s="380"/>
      <c r="D20" s="376" t="s">
        <v>400</v>
      </c>
      <c r="E20" s="405"/>
      <c r="F20" s="405" t="s">
        <v>372</v>
      </c>
      <c r="G20" s="374">
        <v>8.2079999999999984</v>
      </c>
      <c r="H20" s="379"/>
      <c r="I20" s="378"/>
      <c r="J20" s="205" t="s">
        <v>401</v>
      </c>
      <c r="K20" s="206">
        <v>0.26815</v>
      </c>
      <c r="L20" s="211">
        <v>44377</v>
      </c>
      <c r="M20" s="214" t="s">
        <v>394</v>
      </c>
      <c r="N20" s="213" t="s">
        <v>402</v>
      </c>
      <c r="O20" s="471">
        <v>0.26782</v>
      </c>
      <c r="P20" s="469" t="s">
        <v>403</v>
      </c>
      <c r="Q20" s="366"/>
      <c r="R20" s="366"/>
      <c r="S20" s="366"/>
      <c r="T20" s="366"/>
      <c r="U20" s="366"/>
      <c r="V20" s="366"/>
      <c r="W20" s="366"/>
      <c r="X20" s="366"/>
      <c r="Y20" s="366"/>
      <c r="Z20" s="366"/>
      <c r="AA20" s="366"/>
      <c r="AB20" s="366"/>
      <c r="AC20" s="366"/>
      <c r="AD20" s="366"/>
      <c r="AE20" s="366"/>
      <c r="AF20" s="366"/>
      <c r="AG20" s="366"/>
      <c r="AH20" s="366"/>
    </row>
    <row r="21" spans="1:34" ht="27" customHeight="1" x14ac:dyDescent="0.5">
      <c r="A21" s="366"/>
      <c r="B21" s="367"/>
      <c r="C21" s="380"/>
      <c r="D21" s="376" t="s">
        <v>404</v>
      </c>
      <c r="E21" s="405"/>
      <c r="F21" s="405" t="s">
        <v>372</v>
      </c>
      <c r="G21" s="374">
        <v>14.44</v>
      </c>
      <c r="H21" s="379"/>
      <c r="I21" s="378"/>
      <c r="J21" s="205" t="s">
        <v>405</v>
      </c>
      <c r="K21" s="206">
        <v>0.24676999999999999</v>
      </c>
      <c r="L21" s="211">
        <v>44377</v>
      </c>
      <c r="M21" s="214" t="s">
        <v>394</v>
      </c>
      <c r="N21" s="213" t="s">
        <v>406</v>
      </c>
      <c r="O21" s="471">
        <v>0.24665999999999999</v>
      </c>
      <c r="P21" s="469" t="s">
        <v>407</v>
      </c>
      <c r="Q21" s="366"/>
      <c r="R21" s="366"/>
      <c r="S21" s="366"/>
      <c r="T21" s="366"/>
      <c r="U21" s="366"/>
      <c r="V21" s="366"/>
      <c r="W21" s="366"/>
      <c r="X21" s="366"/>
      <c r="Y21" s="366"/>
      <c r="Z21" s="366"/>
      <c r="AA21" s="366"/>
      <c r="AB21" s="366"/>
      <c r="AC21" s="366"/>
      <c r="AD21" s="366"/>
      <c r="AE21" s="366"/>
      <c r="AF21" s="366"/>
      <c r="AG21" s="366"/>
      <c r="AH21" s="366"/>
    </row>
    <row r="22" spans="1:34" ht="27" customHeight="1" x14ac:dyDescent="0.5">
      <c r="A22" s="366"/>
      <c r="B22" s="367"/>
      <c r="C22" s="380"/>
      <c r="D22" s="415" t="s">
        <v>408</v>
      </c>
      <c r="E22" s="405"/>
      <c r="F22" s="405" t="s">
        <v>372</v>
      </c>
      <c r="G22" s="374">
        <v>13.68</v>
      </c>
      <c r="H22" s="379"/>
      <c r="I22" s="378"/>
      <c r="J22" s="207" t="s">
        <v>409</v>
      </c>
      <c r="K22" s="206">
        <v>0.34461999999999998</v>
      </c>
      <c r="L22" s="211">
        <v>44377</v>
      </c>
      <c r="M22" s="214" t="s">
        <v>394</v>
      </c>
      <c r="N22" s="213"/>
      <c r="O22" s="471">
        <v>0.32235000000000003</v>
      </c>
      <c r="P22" s="469" t="s">
        <v>410</v>
      </c>
      <c r="Q22" s="366"/>
      <c r="R22" s="366"/>
      <c r="S22" s="366"/>
      <c r="T22" s="366"/>
      <c r="U22" s="366"/>
      <c r="V22" s="366"/>
      <c r="W22" s="366"/>
      <c r="X22" s="366"/>
      <c r="Y22" s="366"/>
      <c r="Z22" s="366"/>
      <c r="AA22" s="366"/>
      <c r="AB22" s="366"/>
      <c r="AC22" s="366"/>
      <c r="AD22" s="366"/>
      <c r="AE22" s="366"/>
      <c r="AF22" s="366"/>
      <c r="AG22" s="366"/>
      <c r="AH22" s="366"/>
    </row>
    <row r="23" spans="1:34" ht="27" customHeight="1" thickBot="1" x14ac:dyDescent="0.55000000000000004">
      <c r="A23" s="366"/>
      <c r="B23" s="367"/>
      <c r="C23" s="385"/>
      <c r="D23" s="370" t="s">
        <v>411</v>
      </c>
      <c r="E23" s="405"/>
      <c r="F23" s="414" t="s">
        <v>372</v>
      </c>
      <c r="G23" s="368">
        <v>13.68</v>
      </c>
      <c r="H23" s="379"/>
      <c r="I23" s="378"/>
      <c r="J23" s="208" t="s">
        <v>140</v>
      </c>
      <c r="K23" s="206">
        <v>0.21448999999999999</v>
      </c>
      <c r="L23" s="211">
        <v>44377</v>
      </c>
      <c r="M23" s="214" t="s">
        <v>394</v>
      </c>
      <c r="N23" s="213"/>
      <c r="O23" s="471">
        <v>0.21457999999999999</v>
      </c>
      <c r="P23" s="469" t="s">
        <v>412</v>
      </c>
      <c r="Q23" s="366"/>
      <c r="R23" s="366"/>
      <c r="S23" s="366"/>
      <c r="T23" s="366"/>
      <c r="U23" s="366"/>
      <c r="V23" s="366"/>
      <c r="W23" s="366"/>
      <c r="X23" s="366"/>
      <c r="Y23" s="366"/>
      <c r="Z23" s="366"/>
      <c r="AA23" s="366"/>
      <c r="AB23" s="366"/>
      <c r="AC23" s="366"/>
      <c r="AD23" s="366"/>
      <c r="AE23" s="366"/>
      <c r="AF23" s="366"/>
      <c r="AG23" s="366"/>
      <c r="AH23" s="366"/>
    </row>
    <row r="24" spans="1:34" ht="27" customHeight="1" x14ac:dyDescent="0.5">
      <c r="A24" s="366"/>
      <c r="B24" s="367"/>
      <c r="C24" s="384" t="s">
        <v>413</v>
      </c>
      <c r="D24" s="383" t="s">
        <v>414</v>
      </c>
      <c r="E24" s="382" t="s">
        <v>372</v>
      </c>
      <c r="F24" s="413" t="s">
        <v>372</v>
      </c>
      <c r="G24" s="381">
        <v>15.2</v>
      </c>
      <c r="H24" s="379"/>
      <c r="I24" s="378"/>
      <c r="J24" s="209" t="s">
        <v>415</v>
      </c>
      <c r="K24" s="206">
        <v>3.7440000000000001E-2</v>
      </c>
      <c r="L24" s="211">
        <v>44377</v>
      </c>
      <c r="M24" s="214" t="s">
        <v>394</v>
      </c>
      <c r="N24" s="213"/>
      <c r="O24" s="471">
        <v>3.7440000000000001E-2</v>
      </c>
      <c r="P24" s="469" t="s">
        <v>416</v>
      </c>
      <c r="Q24" s="366"/>
      <c r="R24" s="366"/>
      <c r="S24" s="366"/>
      <c r="T24" s="366"/>
      <c r="U24" s="366"/>
      <c r="V24" s="366"/>
      <c r="W24" s="366"/>
      <c r="X24" s="366"/>
      <c r="Y24" s="366"/>
      <c r="Z24" s="366"/>
      <c r="AA24" s="366"/>
      <c r="AB24" s="366"/>
      <c r="AC24" s="366"/>
      <c r="AD24" s="366"/>
      <c r="AE24" s="366"/>
      <c r="AF24" s="366"/>
      <c r="AG24" s="366"/>
      <c r="AH24" s="366"/>
    </row>
    <row r="25" spans="1:34" ht="27" customHeight="1" thickBot="1" x14ac:dyDescent="0.55000000000000004">
      <c r="A25" s="366"/>
      <c r="B25" s="367"/>
      <c r="C25" s="385"/>
      <c r="D25" s="370" t="s">
        <v>417</v>
      </c>
      <c r="E25" s="369" t="s">
        <v>372</v>
      </c>
      <c r="F25" s="369" t="s">
        <v>372</v>
      </c>
      <c r="G25" s="368">
        <v>15.2</v>
      </c>
      <c r="H25" s="379"/>
      <c r="I25" s="378"/>
      <c r="J25" s="815" t="s">
        <v>418</v>
      </c>
      <c r="K25" s="206">
        <v>7.92E-3</v>
      </c>
      <c r="L25" s="211">
        <v>44377</v>
      </c>
      <c r="M25" s="214" t="s">
        <v>394</v>
      </c>
      <c r="N25" s="213"/>
      <c r="O25" s="472">
        <v>7.92E-3</v>
      </c>
      <c r="P25" s="469" t="s">
        <v>419</v>
      </c>
      <c r="Q25" s="366"/>
      <c r="R25" s="366"/>
      <c r="S25" s="366"/>
      <c r="T25" s="366"/>
      <c r="U25" s="366"/>
      <c r="V25" s="366"/>
      <c r="W25" s="366"/>
      <c r="X25" s="366"/>
      <c r="Y25" s="366"/>
      <c r="Z25" s="366"/>
      <c r="AA25" s="366"/>
      <c r="AB25" s="366"/>
      <c r="AC25" s="366"/>
      <c r="AD25" s="366"/>
      <c r="AE25" s="366"/>
      <c r="AF25" s="366"/>
      <c r="AG25" s="366"/>
      <c r="AH25" s="366"/>
    </row>
    <row r="26" spans="1:34" ht="27" customHeight="1" thickBot="1" x14ac:dyDescent="0.55000000000000004">
      <c r="A26" s="366"/>
      <c r="B26" s="367"/>
      <c r="C26" s="412" t="s">
        <v>420</v>
      </c>
      <c r="D26" s="383" t="s">
        <v>421</v>
      </c>
      <c r="E26" s="405" t="s">
        <v>372</v>
      </c>
      <c r="F26" s="405"/>
      <c r="G26" s="381">
        <v>10.83</v>
      </c>
      <c r="H26" s="379"/>
      <c r="I26" s="378"/>
      <c r="J26" s="202" t="s">
        <v>422</v>
      </c>
      <c r="K26" s="210">
        <v>2.4049999999999998E-2</v>
      </c>
      <c r="L26" s="211">
        <v>44377</v>
      </c>
      <c r="M26" s="215" t="s">
        <v>394</v>
      </c>
      <c r="N26" s="216"/>
      <c r="O26" s="473">
        <v>2.6419999999999999E-2</v>
      </c>
      <c r="P26" s="469" t="s">
        <v>423</v>
      </c>
      <c r="Q26" s="366"/>
      <c r="R26" s="366"/>
      <c r="S26" s="366"/>
      <c r="T26" s="366"/>
      <c r="U26" s="366"/>
      <c r="V26" s="366"/>
      <c r="W26" s="366"/>
      <c r="X26" s="366"/>
      <c r="Y26" s="366"/>
      <c r="Z26" s="366"/>
      <c r="AA26" s="366"/>
      <c r="AB26" s="366"/>
      <c r="AC26" s="366"/>
      <c r="AD26" s="366"/>
      <c r="AE26" s="366"/>
      <c r="AF26" s="366"/>
      <c r="AG26" s="366"/>
      <c r="AH26" s="366"/>
    </row>
    <row r="27" spans="1:34" ht="27" customHeight="1" thickBot="1" x14ac:dyDescent="0.55000000000000004">
      <c r="A27" s="366"/>
      <c r="B27" s="367"/>
      <c r="C27" s="411"/>
      <c r="D27" s="410" t="s">
        <v>424</v>
      </c>
      <c r="E27" s="405" t="s">
        <v>372</v>
      </c>
      <c r="F27" s="405"/>
      <c r="G27" s="409">
        <v>6.84</v>
      </c>
      <c r="H27" s="379"/>
      <c r="I27" s="378"/>
      <c r="J27" s="217" t="s">
        <v>425</v>
      </c>
      <c r="K27" s="954" t="s">
        <v>426</v>
      </c>
      <c r="L27" s="955"/>
      <c r="M27" s="955"/>
      <c r="N27" s="956"/>
      <c r="O27" s="474"/>
      <c r="P27" s="469"/>
      <c r="Q27" s="366"/>
      <c r="R27" s="366"/>
      <c r="S27" s="366"/>
      <c r="T27" s="366"/>
      <c r="U27" s="366"/>
      <c r="V27" s="366"/>
      <c r="W27" s="366"/>
      <c r="X27" s="366"/>
      <c r="Y27" s="366"/>
      <c r="Z27" s="366"/>
      <c r="AA27" s="366"/>
      <c r="AB27" s="366"/>
      <c r="AC27" s="366"/>
      <c r="AD27" s="366"/>
      <c r="AE27" s="366"/>
      <c r="AF27" s="366"/>
      <c r="AG27" s="366"/>
      <c r="AH27" s="366"/>
    </row>
    <row r="28" spans="1:34" ht="27" customHeight="1" thickBot="1" x14ac:dyDescent="0.55000000000000004">
      <c r="A28" s="366"/>
      <c r="B28" s="367"/>
      <c r="C28" s="408"/>
      <c r="D28" s="407" t="s">
        <v>427</v>
      </c>
      <c r="E28" s="405" t="s">
        <v>372</v>
      </c>
      <c r="F28" s="405"/>
      <c r="G28" s="406">
        <v>15.2</v>
      </c>
      <c r="H28" s="379"/>
      <c r="I28" s="378"/>
      <c r="J28" s="218"/>
      <c r="K28" s="219"/>
      <c r="L28" s="219"/>
      <c r="M28" s="219"/>
      <c r="N28" s="220"/>
      <c r="O28" s="366"/>
      <c r="P28" s="366"/>
      <c r="Q28" s="366"/>
      <c r="R28" s="366"/>
      <c r="S28" s="366"/>
      <c r="T28" s="366"/>
      <c r="U28" s="366"/>
      <c r="V28" s="366"/>
      <c r="W28" s="366"/>
      <c r="X28" s="366"/>
      <c r="Y28" s="366"/>
      <c r="Z28" s="366"/>
      <c r="AA28" s="366"/>
      <c r="AB28" s="366"/>
      <c r="AC28" s="366"/>
      <c r="AD28" s="366"/>
      <c r="AE28" s="366"/>
      <c r="AF28" s="366"/>
      <c r="AG28" s="366"/>
      <c r="AH28" s="366"/>
    </row>
    <row r="29" spans="1:34" ht="27" customHeight="1" x14ac:dyDescent="0.5">
      <c r="A29" s="366"/>
      <c r="B29" s="367"/>
      <c r="C29" s="380"/>
      <c r="D29" s="407" t="s">
        <v>428</v>
      </c>
      <c r="E29" s="405" t="s">
        <v>372</v>
      </c>
      <c r="F29" s="405"/>
      <c r="G29" s="406">
        <v>11.88</v>
      </c>
      <c r="H29" s="379"/>
      <c r="I29" s="378"/>
      <c r="J29" s="366"/>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6"/>
      <c r="AH29" s="366"/>
    </row>
    <row r="30" spans="1:34" ht="27" customHeight="1" x14ac:dyDescent="0.5">
      <c r="A30" s="366"/>
      <c r="B30" s="367"/>
      <c r="C30" s="380"/>
      <c r="D30" s="376" t="s">
        <v>429</v>
      </c>
      <c r="E30" s="405" t="s">
        <v>372</v>
      </c>
      <c r="F30" s="405"/>
      <c r="G30" s="374">
        <v>28.5</v>
      </c>
      <c r="H30" s="379"/>
      <c r="I30" s="378"/>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row>
    <row r="31" spans="1:34" ht="27" customHeight="1" x14ac:dyDescent="0.5">
      <c r="A31" s="366"/>
      <c r="B31" s="367"/>
      <c r="C31" s="380"/>
      <c r="D31" s="376" t="s">
        <v>430</v>
      </c>
      <c r="E31" s="405" t="s">
        <v>372</v>
      </c>
      <c r="F31" s="405"/>
      <c r="G31" s="374">
        <v>15.2</v>
      </c>
      <c r="H31" s="379"/>
      <c r="I31" s="378"/>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row>
    <row r="32" spans="1:34" ht="27" customHeight="1" thickBot="1" x14ac:dyDescent="0.55000000000000004">
      <c r="A32" s="366"/>
      <c r="B32" s="367"/>
      <c r="C32" s="385"/>
      <c r="D32" s="370" t="s">
        <v>431</v>
      </c>
      <c r="E32" s="405" t="s">
        <v>372</v>
      </c>
      <c r="F32" s="405"/>
      <c r="G32" s="368">
        <v>18</v>
      </c>
      <c r="H32" s="379"/>
      <c r="I32" s="378"/>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row>
    <row r="33" spans="1:34" ht="27" customHeight="1" x14ac:dyDescent="0.5">
      <c r="A33" s="366"/>
      <c r="B33" s="367"/>
      <c r="C33" s="384" t="s">
        <v>432</v>
      </c>
      <c r="D33" s="383" t="s">
        <v>433</v>
      </c>
      <c r="E33" s="382" t="s">
        <v>372</v>
      </c>
      <c r="F33" s="382"/>
      <c r="G33" s="381">
        <v>14</v>
      </c>
      <c r="H33" s="379"/>
      <c r="I33" s="378"/>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row>
    <row r="34" spans="1:34" ht="27" customHeight="1" x14ac:dyDescent="0.5">
      <c r="A34" s="366"/>
      <c r="B34" s="367"/>
      <c r="C34" s="380"/>
      <c r="D34" s="376" t="s">
        <v>434</v>
      </c>
      <c r="E34" s="405" t="s">
        <v>372</v>
      </c>
      <c r="F34" s="405"/>
      <c r="G34" s="374">
        <v>18</v>
      </c>
      <c r="H34" s="379"/>
      <c r="I34" s="378"/>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6"/>
      <c r="AH34" s="366"/>
    </row>
    <row r="35" spans="1:34" ht="27" customHeight="1" thickBot="1" x14ac:dyDescent="0.55000000000000004">
      <c r="A35" s="366"/>
      <c r="B35" s="367"/>
      <c r="C35" s="380"/>
      <c r="D35" s="376" t="s">
        <v>435</v>
      </c>
      <c r="E35" s="405" t="s">
        <v>372</v>
      </c>
      <c r="F35" s="405"/>
      <c r="G35" s="374">
        <v>11</v>
      </c>
      <c r="H35" s="379"/>
      <c r="I35" s="378"/>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row>
    <row r="36" spans="1:34" ht="27" customHeight="1" x14ac:dyDescent="0.5">
      <c r="A36" s="366"/>
      <c r="B36" s="367"/>
      <c r="C36" s="384" t="s">
        <v>436</v>
      </c>
      <c r="D36" s="383" t="s">
        <v>437</v>
      </c>
      <c r="E36" s="382" t="s">
        <v>372</v>
      </c>
      <c r="F36" s="382"/>
      <c r="G36" s="381">
        <v>30</v>
      </c>
      <c r="H36" s="379"/>
      <c r="I36" s="378"/>
      <c r="J36" s="366"/>
      <c r="K36" s="366"/>
      <c r="L36" s="366"/>
      <c r="M36" s="366"/>
      <c r="N36" s="366"/>
      <c r="O36" s="366"/>
      <c r="P36" s="366"/>
      <c r="Q36" s="366"/>
      <c r="R36" s="366"/>
      <c r="S36" s="366"/>
      <c r="T36" s="366"/>
      <c r="U36" s="366"/>
      <c r="V36" s="366"/>
      <c r="W36" s="366"/>
      <c r="X36" s="366"/>
      <c r="Y36" s="366"/>
      <c r="Z36" s="366"/>
      <c r="AA36" s="366"/>
      <c r="AB36" s="366"/>
      <c r="AC36" s="366"/>
      <c r="AD36" s="366"/>
      <c r="AE36" s="366"/>
      <c r="AF36" s="366"/>
      <c r="AG36" s="366"/>
      <c r="AH36" s="366"/>
    </row>
    <row r="37" spans="1:34" ht="27" customHeight="1" x14ac:dyDescent="0.5">
      <c r="A37" s="366"/>
      <c r="B37" s="367"/>
      <c r="C37" s="380"/>
      <c r="D37" s="376" t="s">
        <v>438</v>
      </c>
      <c r="E37" s="405" t="s">
        <v>372</v>
      </c>
      <c r="F37" s="405"/>
      <c r="G37" s="374">
        <v>28</v>
      </c>
      <c r="H37" s="379"/>
      <c r="I37" s="378"/>
      <c r="J37" s="366"/>
      <c r="K37" s="366"/>
      <c r="L37" s="366"/>
      <c r="M37" s="366"/>
      <c r="N37" s="366"/>
      <c r="O37" s="366"/>
      <c r="P37" s="366"/>
      <c r="Q37" s="366"/>
      <c r="R37" s="366"/>
      <c r="S37" s="366"/>
      <c r="T37" s="366"/>
      <c r="U37" s="366"/>
      <c r="V37" s="366"/>
      <c r="W37" s="366"/>
      <c r="X37" s="366"/>
      <c r="Y37" s="366"/>
      <c r="Z37" s="366"/>
      <c r="AA37" s="366"/>
      <c r="AB37" s="366"/>
      <c r="AC37" s="366"/>
      <c r="AD37" s="366"/>
      <c r="AE37" s="366"/>
      <c r="AF37" s="366"/>
      <c r="AG37" s="366"/>
      <c r="AH37" s="366"/>
    </row>
    <row r="38" spans="1:34" ht="27" customHeight="1" x14ac:dyDescent="0.5">
      <c r="A38" s="366"/>
      <c r="B38" s="367"/>
      <c r="C38" s="380"/>
      <c r="D38" s="376" t="s">
        <v>439</v>
      </c>
      <c r="E38" s="405" t="s">
        <v>372</v>
      </c>
      <c r="F38" s="405"/>
      <c r="G38" s="374">
        <v>30</v>
      </c>
      <c r="H38" s="379"/>
      <c r="I38" s="378"/>
      <c r="J38" s="366"/>
      <c r="K38" s="366"/>
      <c r="L38" s="366"/>
      <c r="M38" s="366"/>
      <c r="N38" s="366"/>
      <c r="O38" s="366"/>
      <c r="P38" s="366"/>
      <c r="Q38" s="366"/>
      <c r="R38" s="366"/>
      <c r="S38" s="366"/>
      <c r="T38" s="366"/>
      <c r="U38" s="366"/>
      <c r="V38" s="366"/>
      <c r="W38" s="366"/>
      <c r="X38" s="366"/>
      <c r="Y38" s="366"/>
      <c r="Z38" s="366"/>
      <c r="AA38" s="366"/>
      <c r="AB38" s="366"/>
      <c r="AC38" s="366"/>
      <c r="AD38" s="366"/>
      <c r="AE38" s="366"/>
      <c r="AF38" s="366"/>
      <c r="AG38" s="366"/>
      <c r="AH38" s="366"/>
    </row>
    <row r="39" spans="1:34" ht="27" customHeight="1" x14ac:dyDescent="0.5">
      <c r="A39" s="366"/>
      <c r="B39" s="367"/>
      <c r="C39" s="380"/>
      <c r="D39" s="376" t="s">
        <v>440</v>
      </c>
      <c r="E39" s="405" t="s">
        <v>372</v>
      </c>
      <c r="F39" s="405"/>
      <c r="G39" s="374">
        <v>27</v>
      </c>
      <c r="H39" s="379"/>
      <c r="I39" s="378"/>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row>
    <row r="40" spans="1:34" ht="27" customHeight="1" x14ac:dyDescent="0.5">
      <c r="A40" s="366"/>
      <c r="B40" s="367"/>
      <c r="C40" s="380"/>
      <c r="D40" s="376" t="s">
        <v>441</v>
      </c>
      <c r="E40" s="405" t="s">
        <v>372</v>
      </c>
      <c r="F40" s="405"/>
      <c r="G40" s="374">
        <v>27</v>
      </c>
      <c r="H40" s="379"/>
      <c r="I40" s="378"/>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row>
    <row r="41" spans="1:34" ht="27" customHeight="1" x14ac:dyDescent="0.5">
      <c r="A41" s="366"/>
      <c r="B41" s="367"/>
      <c r="C41" s="380"/>
      <c r="D41" s="376" t="s">
        <v>442</v>
      </c>
      <c r="E41" s="405" t="s">
        <v>372</v>
      </c>
      <c r="F41" s="405"/>
      <c r="G41" s="374">
        <v>30</v>
      </c>
      <c r="H41" s="379"/>
      <c r="I41" s="378"/>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row>
    <row r="42" spans="1:34" ht="27" customHeight="1" x14ac:dyDescent="0.5">
      <c r="A42" s="366"/>
      <c r="B42" s="367"/>
      <c r="C42" s="380"/>
      <c r="D42" s="376" t="s">
        <v>443</v>
      </c>
      <c r="E42" s="405" t="s">
        <v>372</v>
      </c>
      <c r="F42" s="405"/>
      <c r="G42" s="374">
        <v>30</v>
      </c>
      <c r="H42" s="379"/>
      <c r="I42" s="378"/>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row>
    <row r="43" spans="1:34" ht="27" customHeight="1" thickBot="1" x14ac:dyDescent="0.55000000000000004">
      <c r="A43" s="366"/>
      <c r="B43" s="367"/>
      <c r="C43" s="385"/>
      <c r="D43" s="370" t="s">
        <v>444</v>
      </c>
      <c r="E43" s="405" t="s">
        <v>372</v>
      </c>
      <c r="F43" s="405"/>
      <c r="G43" s="368">
        <v>7.92</v>
      </c>
      <c r="H43" s="379"/>
      <c r="I43" s="378"/>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366"/>
    </row>
    <row r="44" spans="1:34" ht="27" customHeight="1" thickBot="1" x14ac:dyDescent="0.55000000000000004">
      <c r="A44" s="366"/>
      <c r="B44" s="367"/>
      <c r="C44" s="393" t="s">
        <v>445</v>
      </c>
      <c r="D44" s="392" t="s">
        <v>445</v>
      </c>
      <c r="E44" s="391" t="s">
        <v>372</v>
      </c>
      <c r="F44" s="391"/>
      <c r="G44" s="390">
        <v>29.25</v>
      </c>
      <c r="H44" s="379"/>
      <c r="I44" s="378"/>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6"/>
      <c r="AG44" s="366"/>
      <c r="AH44" s="366"/>
    </row>
    <row r="45" spans="1:34" ht="27" customHeight="1" x14ac:dyDescent="0.5">
      <c r="A45" s="366"/>
      <c r="B45" s="367"/>
      <c r="C45" s="404" t="s">
        <v>446</v>
      </c>
      <c r="D45" s="403" t="s">
        <v>447</v>
      </c>
      <c r="E45" s="402" t="s">
        <v>372</v>
      </c>
      <c r="F45" s="402"/>
      <c r="G45" s="374">
        <v>8.4534454454067696</v>
      </c>
      <c r="H45" s="379"/>
      <c r="I45" s="378"/>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row>
    <row r="46" spans="1:34" ht="27" customHeight="1" x14ac:dyDescent="0.5">
      <c r="A46" s="366"/>
      <c r="B46" s="367"/>
      <c r="C46" s="380"/>
      <c r="D46" s="376" t="s">
        <v>448</v>
      </c>
      <c r="E46" s="402" t="s">
        <v>372</v>
      </c>
      <c r="F46" s="402"/>
      <c r="G46" s="374">
        <v>8.4534454454067696</v>
      </c>
      <c r="H46" s="379"/>
      <c r="I46" s="378"/>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row>
    <row r="47" spans="1:34" ht="27" customHeight="1" x14ac:dyDescent="0.5">
      <c r="A47" s="366"/>
      <c r="B47" s="367"/>
      <c r="C47" s="380"/>
      <c r="D47" s="376" t="s">
        <v>449</v>
      </c>
      <c r="E47" s="402" t="s">
        <v>372</v>
      </c>
      <c r="F47" s="402"/>
      <c r="G47" s="374">
        <v>29.25</v>
      </c>
      <c r="H47" s="379"/>
      <c r="I47" s="378"/>
      <c r="J47" s="366"/>
      <c r="K47" s="366"/>
      <c r="L47" s="366"/>
      <c r="M47" s="366"/>
      <c r="N47" s="366"/>
      <c r="O47" s="366"/>
      <c r="P47" s="366"/>
      <c r="Q47" s="366"/>
      <c r="R47" s="366"/>
      <c r="S47" s="366"/>
      <c r="T47" s="366"/>
      <c r="U47" s="366"/>
      <c r="V47" s="366"/>
      <c r="W47" s="366"/>
      <c r="X47" s="366"/>
      <c r="Y47" s="366"/>
      <c r="Z47" s="366"/>
      <c r="AA47" s="366"/>
      <c r="AB47" s="366"/>
      <c r="AC47" s="366"/>
      <c r="AD47" s="366"/>
      <c r="AE47" s="366"/>
      <c r="AF47" s="366"/>
      <c r="AG47" s="366"/>
      <c r="AH47" s="366"/>
    </row>
    <row r="48" spans="1:34" ht="27" customHeight="1" x14ac:dyDescent="0.5">
      <c r="A48" s="366"/>
      <c r="B48" s="367"/>
      <c r="C48" s="380"/>
      <c r="D48" s="376" t="s">
        <v>450</v>
      </c>
      <c r="E48" s="402" t="s">
        <v>372</v>
      </c>
      <c r="F48" s="402"/>
      <c r="G48" s="374">
        <v>29.25</v>
      </c>
      <c r="H48" s="379"/>
      <c r="I48" s="378"/>
      <c r="J48" s="366"/>
      <c r="K48" s="366"/>
      <c r="L48" s="366"/>
      <c r="M48" s="366"/>
      <c r="N48" s="366"/>
      <c r="O48" s="366"/>
      <c r="P48" s="366"/>
      <c r="Q48" s="366"/>
      <c r="R48" s="366"/>
      <c r="S48" s="366"/>
      <c r="T48" s="366"/>
      <c r="U48" s="366"/>
      <c r="V48" s="366"/>
      <c r="W48" s="366"/>
      <c r="X48" s="366"/>
      <c r="Y48" s="366"/>
      <c r="Z48" s="366"/>
      <c r="AA48" s="366"/>
      <c r="AB48" s="366"/>
      <c r="AC48" s="366"/>
      <c r="AD48" s="366"/>
      <c r="AE48" s="366"/>
      <c r="AF48" s="366"/>
      <c r="AG48" s="366"/>
      <c r="AH48" s="366"/>
    </row>
    <row r="49" spans="1:34" ht="27" customHeight="1" thickBot="1" x14ac:dyDescent="0.55000000000000004">
      <c r="A49" s="366"/>
      <c r="B49" s="367"/>
      <c r="C49" s="385"/>
      <c r="D49" s="370" t="s">
        <v>451</v>
      </c>
      <c r="E49" s="402" t="s">
        <v>372</v>
      </c>
      <c r="F49" s="402"/>
      <c r="G49" s="368">
        <v>8</v>
      </c>
      <c r="H49" s="379"/>
      <c r="I49" s="378"/>
      <c r="J49" s="366"/>
      <c r="K49" s="366"/>
      <c r="L49" s="366"/>
      <c r="M49" s="366"/>
      <c r="N49" s="366"/>
      <c r="O49" s="366"/>
      <c r="P49" s="366"/>
      <c r="Q49" s="366"/>
      <c r="R49" s="366"/>
      <c r="S49" s="366"/>
      <c r="T49" s="366"/>
      <c r="U49" s="366"/>
      <c r="V49" s="366"/>
      <c r="W49" s="366"/>
      <c r="X49" s="366"/>
      <c r="Y49" s="366"/>
      <c r="Z49" s="366"/>
      <c r="AA49" s="366"/>
      <c r="AB49" s="366"/>
      <c r="AC49" s="366"/>
      <c r="AD49" s="366"/>
      <c r="AE49" s="366"/>
      <c r="AF49" s="366"/>
      <c r="AG49" s="366"/>
      <c r="AH49" s="366"/>
    </row>
    <row r="50" spans="1:34" ht="27" customHeight="1" x14ac:dyDescent="0.5">
      <c r="A50" s="366"/>
      <c r="B50" s="367"/>
      <c r="C50" s="384" t="s">
        <v>452</v>
      </c>
      <c r="D50" s="383" t="s">
        <v>453</v>
      </c>
      <c r="E50" s="382" t="s">
        <v>372</v>
      </c>
      <c r="F50" s="382"/>
      <c r="G50" s="381">
        <v>9</v>
      </c>
      <c r="H50" s="379"/>
      <c r="I50" s="378"/>
      <c r="J50" s="366"/>
      <c r="K50" s="366"/>
      <c r="L50" s="366"/>
      <c r="M50" s="366"/>
      <c r="N50" s="366"/>
      <c r="O50" s="366"/>
      <c r="P50" s="366"/>
      <c r="Q50" s="366"/>
      <c r="R50" s="366"/>
      <c r="S50" s="366"/>
      <c r="T50" s="366"/>
      <c r="U50" s="366"/>
      <c r="V50" s="366"/>
      <c r="W50" s="366"/>
      <c r="X50" s="366"/>
      <c r="Y50" s="366"/>
      <c r="Z50" s="366"/>
      <c r="AA50" s="366"/>
      <c r="AB50" s="366"/>
      <c r="AC50" s="366"/>
      <c r="AD50" s="366"/>
      <c r="AE50" s="366"/>
      <c r="AF50" s="366"/>
      <c r="AG50" s="366"/>
      <c r="AH50" s="366"/>
    </row>
    <row r="51" spans="1:34" ht="27" customHeight="1" thickBot="1" x14ac:dyDescent="0.55000000000000004">
      <c r="A51" s="366"/>
      <c r="B51" s="367"/>
      <c r="C51" s="385"/>
      <c r="D51" s="370" t="s">
        <v>454</v>
      </c>
      <c r="E51" s="369" t="s">
        <v>372</v>
      </c>
      <c r="F51" s="369"/>
      <c r="G51" s="368">
        <v>22.5</v>
      </c>
      <c r="H51" s="379"/>
      <c r="I51" s="378"/>
      <c r="J51" s="366"/>
      <c r="K51" s="366"/>
      <c r="L51" s="366"/>
      <c r="M51" s="366"/>
      <c r="N51" s="366"/>
      <c r="O51" s="366"/>
      <c r="P51" s="366"/>
      <c r="Q51" s="366"/>
      <c r="R51" s="366"/>
      <c r="S51" s="366"/>
      <c r="T51" s="366"/>
      <c r="U51" s="366"/>
      <c r="V51" s="366"/>
      <c r="W51" s="366"/>
      <c r="X51" s="366"/>
      <c r="Y51" s="366"/>
      <c r="Z51" s="366"/>
      <c r="AA51" s="366"/>
      <c r="AB51" s="366"/>
      <c r="AC51" s="366"/>
      <c r="AD51" s="366"/>
      <c r="AE51" s="366"/>
      <c r="AF51" s="366"/>
      <c r="AG51" s="366"/>
      <c r="AH51" s="366"/>
    </row>
    <row r="52" spans="1:34" ht="27" customHeight="1" x14ac:dyDescent="0.5">
      <c r="A52" s="366"/>
      <c r="B52" s="367"/>
      <c r="C52" s="384" t="s">
        <v>66</v>
      </c>
      <c r="D52" s="401" t="s">
        <v>67</v>
      </c>
      <c r="E52" s="400"/>
      <c r="F52" s="400" t="s">
        <v>372</v>
      </c>
      <c r="G52" s="381">
        <v>25</v>
      </c>
      <c r="H52" s="379"/>
      <c r="I52" s="378"/>
      <c r="J52" s="366"/>
      <c r="K52" s="366"/>
      <c r="L52" s="366"/>
      <c r="M52" s="366"/>
      <c r="N52" s="366"/>
      <c r="O52" s="366"/>
      <c r="P52" s="366"/>
      <c r="Q52" s="366"/>
      <c r="R52" s="366"/>
      <c r="S52" s="366"/>
      <c r="T52" s="366"/>
      <c r="U52" s="366"/>
      <c r="V52" s="366"/>
      <c r="W52" s="366"/>
      <c r="X52" s="366"/>
      <c r="Y52" s="366"/>
      <c r="Z52" s="366"/>
      <c r="AA52" s="366"/>
      <c r="AB52" s="366"/>
      <c r="AC52" s="366"/>
      <c r="AD52" s="366"/>
      <c r="AE52" s="366"/>
      <c r="AF52" s="366"/>
      <c r="AG52" s="366"/>
      <c r="AH52" s="366"/>
    </row>
    <row r="53" spans="1:34" ht="27" customHeight="1" thickBot="1" x14ac:dyDescent="0.55000000000000004">
      <c r="A53" s="366"/>
      <c r="B53" s="367"/>
      <c r="C53" s="385"/>
      <c r="D53" s="399" t="s">
        <v>455</v>
      </c>
      <c r="E53" s="398"/>
      <c r="F53" s="398" t="s">
        <v>372</v>
      </c>
      <c r="G53" s="368">
        <v>13</v>
      </c>
      <c r="H53" s="379"/>
      <c r="I53" s="378"/>
      <c r="J53" s="366"/>
      <c r="K53" s="366"/>
      <c r="L53" s="366"/>
      <c r="M53" s="366"/>
      <c r="N53" s="366"/>
      <c r="O53" s="366"/>
      <c r="P53" s="366"/>
      <c r="Q53" s="366"/>
      <c r="R53" s="366"/>
      <c r="S53" s="366"/>
      <c r="T53" s="366"/>
      <c r="U53" s="366"/>
      <c r="V53" s="366"/>
      <c r="W53" s="366"/>
      <c r="X53" s="366"/>
      <c r="Y53" s="366"/>
      <c r="Z53" s="366"/>
      <c r="AA53" s="366"/>
      <c r="AB53" s="366"/>
      <c r="AC53" s="366"/>
      <c r="AD53" s="366"/>
      <c r="AE53" s="366"/>
      <c r="AF53" s="366"/>
      <c r="AG53" s="366"/>
      <c r="AH53" s="366"/>
    </row>
    <row r="54" spans="1:34" ht="27" customHeight="1" x14ac:dyDescent="0.5">
      <c r="A54" s="366"/>
      <c r="B54" s="367"/>
      <c r="C54" s="389" t="s">
        <v>456</v>
      </c>
      <c r="D54" s="388" t="s">
        <v>457</v>
      </c>
      <c r="E54" s="387"/>
      <c r="F54" s="387" t="s">
        <v>372</v>
      </c>
      <c r="G54" s="386">
        <v>8.8919999999999995</v>
      </c>
      <c r="H54" s="379"/>
      <c r="I54" s="378"/>
      <c r="J54" s="366"/>
      <c r="K54" s="366"/>
      <c r="L54" s="366"/>
      <c r="M54" s="366"/>
      <c r="N54" s="366"/>
      <c r="O54" s="366"/>
      <c r="P54" s="366"/>
      <c r="Q54" s="366"/>
      <c r="R54" s="366"/>
      <c r="S54" s="366"/>
      <c r="T54" s="366"/>
      <c r="U54" s="366"/>
      <c r="V54" s="366"/>
      <c r="W54" s="366"/>
      <c r="X54" s="366"/>
      <c r="Y54" s="366"/>
      <c r="Z54" s="366"/>
      <c r="AA54" s="366"/>
      <c r="AB54" s="366"/>
      <c r="AC54" s="366"/>
      <c r="AD54" s="366"/>
      <c r="AE54" s="366"/>
      <c r="AF54" s="366"/>
      <c r="AG54" s="366"/>
      <c r="AH54" s="366"/>
    </row>
    <row r="55" spans="1:34" ht="27" customHeight="1" thickBot="1" x14ac:dyDescent="0.55000000000000004">
      <c r="A55" s="366"/>
      <c r="B55" s="367"/>
      <c r="C55" s="385"/>
      <c r="D55" s="370" t="s">
        <v>458</v>
      </c>
      <c r="E55" s="369"/>
      <c r="F55" s="369" t="s">
        <v>372</v>
      </c>
      <c r="G55" s="368">
        <v>10.26</v>
      </c>
      <c r="H55" s="379"/>
      <c r="I55" s="378"/>
      <c r="J55" s="366"/>
      <c r="K55" s="366"/>
      <c r="L55" s="366"/>
      <c r="M55" s="366"/>
      <c r="N55" s="366"/>
      <c r="O55" s="366"/>
      <c r="P55" s="366"/>
      <c r="Q55" s="366"/>
      <c r="R55" s="366"/>
      <c r="S55" s="366"/>
      <c r="T55" s="366"/>
      <c r="U55" s="366"/>
      <c r="V55" s="366"/>
      <c r="W55" s="366"/>
      <c r="X55" s="366"/>
      <c r="Y55" s="366"/>
      <c r="Z55" s="366"/>
      <c r="AA55" s="366"/>
      <c r="AB55" s="366"/>
      <c r="AC55" s="366"/>
      <c r="AD55" s="366"/>
      <c r="AE55" s="366"/>
      <c r="AF55" s="366"/>
      <c r="AG55" s="366"/>
      <c r="AH55" s="366"/>
    </row>
    <row r="56" spans="1:34" ht="27" customHeight="1" x14ac:dyDescent="0.5">
      <c r="A56" s="366"/>
      <c r="B56" s="367"/>
      <c r="C56" s="389" t="s">
        <v>459</v>
      </c>
      <c r="D56" s="388" t="s">
        <v>460</v>
      </c>
      <c r="E56" s="387" t="s">
        <v>372</v>
      </c>
      <c r="F56" s="387" t="s">
        <v>372</v>
      </c>
      <c r="G56" s="386">
        <v>11.4</v>
      </c>
      <c r="H56" s="379"/>
      <c r="I56" s="378"/>
      <c r="J56" s="366"/>
      <c r="K56" s="366"/>
      <c r="L56" s="366"/>
      <c r="M56" s="366"/>
      <c r="N56" s="366"/>
      <c r="O56" s="366"/>
      <c r="P56" s="366"/>
      <c r="Q56" s="366"/>
      <c r="R56" s="366"/>
      <c r="S56" s="366"/>
      <c r="T56" s="366"/>
      <c r="U56" s="366"/>
      <c r="V56" s="366"/>
      <c r="W56" s="366"/>
      <c r="X56" s="366"/>
      <c r="Y56" s="366"/>
      <c r="Z56" s="366"/>
      <c r="AA56" s="366"/>
      <c r="AB56" s="366"/>
      <c r="AC56" s="366"/>
      <c r="AD56" s="366"/>
      <c r="AE56" s="366"/>
      <c r="AF56" s="366"/>
      <c r="AG56" s="366"/>
      <c r="AH56" s="366"/>
    </row>
    <row r="57" spans="1:34" ht="27" customHeight="1" x14ac:dyDescent="0.5">
      <c r="A57" s="366"/>
      <c r="B57" s="367"/>
      <c r="C57" s="380"/>
      <c r="D57" s="376" t="s">
        <v>461</v>
      </c>
      <c r="E57" s="375" t="s">
        <v>372</v>
      </c>
      <c r="F57" s="375" t="s">
        <v>372</v>
      </c>
      <c r="G57" s="374">
        <v>11.4</v>
      </c>
      <c r="H57" s="379"/>
      <c r="I57" s="378"/>
      <c r="J57" s="366"/>
      <c r="K57" s="366"/>
      <c r="L57" s="366"/>
      <c r="M57" s="366"/>
      <c r="N57" s="366"/>
      <c r="O57" s="366"/>
      <c r="P57" s="366"/>
      <c r="Q57" s="366"/>
      <c r="R57" s="366"/>
      <c r="S57" s="366"/>
      <c r="T57" s="366"/>
      <c r="U57" s="366"/>
      <c r="V57" s="366"/>
      <c r="W57" s="366"/>
      <c r="X57" s="366"/>
      <c r="Y57" s="366"/>
      <c r="Z57" s="366"/>
      <c r="AA57" s="366"/>
      <c r="AB57" s="366"/>
      <c r="AC57" s="366"/>
      <c r="AD57" s="366"/>
      <c r="AE57" s="366"/>
      <c r="AF57" s="366"/>
      <c r="AG57" s="366"/>
      <c r="AH57" s="366"/>
    </row>
    <row r="58" spans="1:34" ht="27" customHeight="1" thickBot="1" x14ac:dyDescent="0.55000000000000004">
      <c r="A58" s="366"/>
      <c r="B58" s="367"/>
      <c r="C58" s="385"/>
      <c r="D58" s="370" t="s">
        <v>462</v>
      </c>
      <c r="E58" s="369" t="s">
        <v>372</v>
      </c>
      <c r="F58" s="369" t="s">
        <v>372</v>
      </c>
      <c r="G58" s="368">
        <v>10.26</v>
      </c>
      <c r="H58" s="379"/>
      <c r="I58" s="378"/>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c r="AH58" s="366"/>
    </row>
    <row r="59" spans="1:34" ht="27" customHeight="1" thickBot="1" x14ac:dyDescent="0.55000000000000004">
      <c r="A59" s="366"/>
      <c r="B59" s="367"/>
      <c r="C59" s="393" t="s">
        <v>463</v>
      </c>
      <c r="D59" s="392" t="s">
        <v>464</v>
      </c>
      <c r="E59" s="391" t="s">
        <v>372</v>
      </c>
      <c r="F59" s="391" t="s">
        <v>372</v>
      </c>
      <c r="G59" s="390">
        <v>15</v>
      </c>
      <c r="H59" s="379"/>
      <c r="I59" s="378"/>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c r="AH59" s="366"/>
    </row>
    <row r="60" spans="1:34" ht="27" customHeight="1" x14ac:dyDescent="0.5">
      <c r="A60" s="366"/>
      <c r="B60" s="367"/>
      <c r="C60" s="384" t="s">
        <v>465</v>
      </c>
      <c r="D60" s="383" t="s">
        <v>466</v>
      </c>
      <c r="E60" s="382"/>
      <c r="F60" s="382" t="s">
        <v>372</v>
      </c>
      <c r="G60" s="381">
        <v>22.8</v>
      </c>
      <c r="H60" s="379"/>
      <c r="I60" s="378"/>
      <c r="J60" s="366"/>
      <c r="K60" s="366"/>
      <c r="L60" s="366"/>
      <c r="M60" s="366"/>
      <c r="N60" s="366"/>
      <c r="O60" s="366"/>
      <c r="P60" s="366"/>
      <c r="Q60" s="366"/>
      <c r="R60" s="366"/>
      <c r="S60" s="366"/>
      <c r="T60" s="366"/>
      <c r="U60" s="366"/>
      <c r="V60" s="366"/>
      <c r="W60" s="366"/>
      <c r="X60" s="366"/>
      <c r="Y60" s="366"/>
      <c r="Z60" s="366"/>
      <c r="AA60" s="366"/>
      <c r="AB60" s="366"/>
      <c r="AC60" s="366"/>
      <c r="AD60" s="366"/>
      <c r="AE60" s="366"/>
      <c r="AF60" s="366"/>
      <c r="AG60" s="366"/>
      <c r="AH60" s="366"/>
    </row>
    <row r="61" spans="1:34" ht="27" customHeight="1" x14ac:dyDescent="0.5">
      <c r="A61" s="366"/>
      <c r="B61" s="367"/>
      <c r="C61" s="377"/>
      <c r="D61" s="376" t="s">
        <v>467</v>
      </c>
      <c r="E61" s="375"/>
      <c r="F61" s="375" t="s">
        <v>372</v>
      </c>
      <c r="G61" s="374">
        <v>22.5</v>
      </c>
      <c r="H61" s="379"/>
      <c r="I61" s="378"/>
      <c r="J61" s="366"/>
      <c r="K61" s="366"/>
      <c r="L61" s="366"/>
      <c r="M61" s="366"/>
      <c r="N61" s="366"/>
      <c r="O61" s="366"/>
      <c r="P61" s="366"/>
      <c r="Q61" s="366"/>
      <c r="R61" s="366"/>
      <c r="S61" s="366"/>
      <c r="T61" s="366"/>
      <c r="U61" s="366"/>
      <c r="V61" s="366"/>
      <c r="W61" s="366"/>
      <c r="X61" s="366"/>
      <c r="Y61" s="366"/>
      <c r="Z61" s="366"/>
      <c r="AA61" s="366"/>
      <c r="AB61" s="366"/>
      <c r="AC61" s="366"/>
      <c r="AD61" s="366"/>
      <c r="AE61" s="366"/>
      <c r="AF61" s="366"/>
      <c r="AG61" s="366"/>
      <c r="AH61" s="366"/>
    </row>
    <row r="62" spans="1:34" ht="27" customHeight="1" thickBot="1" x14ac:dyDescent="0.55000000000000004">
      <c r="A62" s="366"/>
      <c r="B62" s="367"/>
      <c r="C62" s="397"/>
      <c r="D62" s="396" t="s">
        <v>468</v>
      </c>
      <c r="E62" s="395"/>
      <c r="F62" s="395" t="s">
        <v>372</v>
      </c>
      <c r="G62" s="394">
        <v>17.600000000000001</v>
      </c>
      <c r="H62" s="379"/>
      <c r="I62" s="378"/>
      <c r="J62" s="366"/>
      <c r="K62" s="366"/>
      <c r="L62" s="366"/>
      <c r="M62" s="366"/>
      <c r="N62" s="366"/>
      <c r="O62" s="366"/>
      <c r="P62" s="366"/>
      <c r="Q62" s="366"/>
      <c r="R62" s="366"/>
      <c r="S62" s="366"/>
      <c r="T62" s="366"/>
      <c r="U62" s="366"/>
      <c r="V62" s="366"/>
      <c r="W62" s="366"/>
      <c r="X62" s="366"/>
      <c r="Y62" s="366"/>
      <c r="Z62" s="366"/>
      <c r="AA62" s="366"/>
      <c r="AB62" s="366"/>
      <c r="AC62" s="366"/>
      <c r="AD62" s="366"/>
      <c r="AE62" s="366"/>
      <c r="AF62" s="366"/>
      <c r="AG62" s="366"/>
      <c r="AH62" s="366"/>
    </row>
    <row r="63" spans="1:34" ht="27" customHeight="1" thickBot="1" x14ac:dyDescent="0.55000000000000004">
      <c r="A63" s="366"/>
      <c r="B63" s="367"/>
      <c r="C63" s="393" t="s">
        <v>469</v>
      </c>
      <c r="D63" s="392" t="s">
        <v>469</v>
      </c>
      <c r="E63" s="391" t="s">
        <v>372</v>
      </c>
      <c r="F63" s="391" t="s">
        <v>372</v>
      </c>
      <c r="G63" s="390">
        <v>6.84</v>
      </c>
      <c r="H63" s="379"/>
      <c r="I63" s="378"/>
      <c r="J63" s="366"/>
      <c r="K63" s="366"/>
      <c r="L63" s="366"/>
      <c r="M63" s="366"/>
      <c r="N63" s="366"/>
      <c r="O63" s="366"/>
      <c r="P63" s="366"/>
      <c r="Q63" s="366"/>
      <c r="R63" s="366"/>
      <c r="S63" s="366"/>
      <c r="T63" s="366"/>
      <c r="U63" s="366"/>
      <c r="V63" s="366"/>
      <c r="W63" s="366"/>
      <c r="X63" s="366"/>
      <c r="Y63" s="366"/>
      <c r="Z63" s="366"/>
      <c r="AA63" s="366"/>
      <c r="AB63" s="366"/>
      <c r="AC63" s="366"/>
      <c r="AD63" s="366"/>
      <c r="AE63" s="366"/>
      <c r="AF63" s="366"/>
      <c r="AG63" s="366"/>
      <c r="AH63" s="366"/>
    </row>
    <row r="64" spans="1:34" ht="27" customHeight="1" x14ac:dyDescent="0.5">
      <c r="A64" s="366"/>
      <c r="B64" s="367"/>
      <c r="C64" s="384" t="s">
        <v>470</v>
      </c>
      <c r="D64" s="383" t="s">
        <v>471</v>
      </c>
      <c r="E64" s="382"/>
      <c r="F64" s="382" t="s">
        <v>372</v>
      </c>
      <c r="G64" s="381">
        <v>23.75</v>
      </c>
      <c r="H64" s="379"/>
      <c r="I64" s="378"/>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row>
    <row r="65" spans="1:34" ht="27" customHeight="1" x14ac:dyDescent="0.5">
      <c r="A65" s="366"/>
      <c r="B65" s="367"/>
      <c r="C65" s="380"/>
      <c r="D65" s="376" t="s">
        <v>472</v>
      </c>
      <c r="E65" s="375"/>
      <c r="F65" s="375" t="s">
        <v>372</v>
      </c>
      <c r="G65" s="374">
        <v>14.25</v>
      </c>
      <c r="H65" s="379"/>
      <c r="I65" s="378"/>
      <c r="J65" s="366"/>
      <c r="K65" s="366"/>
      <c r="L65" s="366"/>
      <c r="M65" s="366"/>
      <c r="N65" s="366"/>
      <c r="O65" s="366"/>
      <c r="P65" s="366"/>
      <c r="Q65" s="366"/>
      <c r="R65" s="366"/>
      <c r="S65" s="366"/>
      <c r="T65" s="366"/>
      <c r="U65" s="366"/>
      <c r="V65" s="366"/>
      <c r="W65" s="366"/>
      <c r="X65" s="366"/>
      <c r="Y65" s="366"/>
      <c r="Z65" s="366"/>
      <c r="AA65" s="366"/>
      <c r="AB65" s="366"/>
      <c r="AC65" s="366"/>
      <c r="AD65" s="366"/>
      <c r="AE65" s="366"/>
      <c r="AF65" s="366"/>
      <c r="AG65" s="366"/>
      <c r="AH65" s="366"/>
    </row>
    <row r="66" spans="1:34" ht="27" customHeight="1" x14ac:dyDescent="0.5">
      <c r="A66" s="366"/>
      <c r="B66" s="367"/>
      <c r="C66" s="377"/>
      <c r="D66" s="376" t="s">
        <v>473</v>
      </c>
      <c r="E66" s="375"/>
      <c r="F66" s="375" t="s">
        <v>372</v>
      </c>
      <c r="G66" s="374">
        <v>23.75</v>
      </c>
      <c r="H66" s="379"/>
      <c r="I66" s="378"/>
      <c r="J66" s="366"/>
      <c r="K66" s="366"/>
      <c r="L66" s="366"/>
      <c r="M66" s="366"/>
      <c r="N66" s="366"/>
      <c r="O66" s="366"/>
      <c r="P66" s="366"/>
      <c r="Q66" s="366"/>
      <c r="R66" s="366"/>
      <c r="S66" s="366"/>
      <c r="T66" s="366"/>
      <c r="U66" s="366"/>
      <c r="V66" s="366"/>
      <c r="W66" s="366"/>
      <c r="X66" s="366"/>
      <c r="Y66" s="366"/>
      <c r="Z66" s="366"/>
      <c r="AA66" s="366"/>
      <c r="AB66" s="366"/>
      <c r="AC66" s="366"/>
      <c r="AD66" s="366"/>
      <c r="AE66" s="366"/>
      <c r="AF66" s="366"/>
      <c r="AG66" s="366"/>
      <c r="AH66" s="366"/>
    </row>
    <row r="67" spans="1:34" ht="27" customHeight="1" x14ac:dyDescent="0.5">
      <c r="A67" s="366"/>
      <c r="B67" s="367"/>
      <c r="C67" s="377"/>
      <c r="D67" s="376" t="s">
        <v>474</v>
      </c>
      <c r="E67" s="375"/>
      <c r="F67" s="375" t="s">
        <v>372</v>
      </c>
      <c r="G67" s="374">
        <v>7.22</v>
      </c>
      <c r="H67" s="379"/>
      <c r="I67" s="378"/>
      <c r="J67" s="366"/>
      <c r="K67" s="366"/>
      <c r="L67" s="366"/>
      <c r="M67" s="366"/>
      <c r="N67" s="366"/>
      <c r="O67" s="366"/>
      <c r="P67" s="366"/>
      <c r="Q67" s="366"/>
      <c r="R67" s="366"/>
      <c r="S67" s="366"/>
      <c r="T67" s="366"/>
      <c r="U67" s="366"/>
      <c r="V67" s="366"/>
      <c r="W67" s="366"/>
      <c r="X67" s="366"/>
      <c r="Y67" s="366"/>
      <c r="Z67" s="366"/>
      <c r="AA67" s="366"/>
      <c r="AB67" s="366"/>
      <c r="AC67" s="366"/>
      <c r="AD67" s="366"/>
      <c r="AE67" s="366"/>
      <c r="AF67" s="366"/>
      <c r="AG67" s="366"/>
      <c r="AH67" s="366"/>
    </row>
    <row r="68" spans="1:34" ht="27" customHeight="1" x14ac:dyDescent="0.5">
      <c r="A68" s="366"/>
      <c r="B68" s="367"/>
      <c r="C68" s="377"/>
      <c r="D68" s="376" t="s">
        <v>475</v>
      </c>
      <c r="E68" s="375"/>
      <c r="F68" s="375" t="s">
        <v>372</v>
      </c>
      <c r="G68" s="374">
        <v>30</v>
      </c>
      <c r="H68" s="373"/>
      <c r="I68" s="372"/>
      <c r="J68" s="366"/>
      <c r="K68" s="366"/>
      <c r="L68" s="366"/>
      <c r="M68" s="366"/>
      <c r="N68" s="366"/>
      <c r="O68" s="366"/>
      <c r="P68" s="366"/>
      <c r="Q68" s="366"/>
      <c r="R68" s="366"/>
      <c r="S68" s="366"/>
      <c r="T68" s="366"/>
      <c r="U68" s="366"/>
      <c r="V68" s="366"/>
      <c r="W68" s="366"/>
      <c r="X68" s="366"/>
      <c r="Y68" s="366"/>
      <c r="Z68" s="366"/>
      <c r="AA68" s="366"/>
      <c r="AB68" s="366"/>
      <c r="AC68" s="366"/>
      <c r="AD68" s="366"/>
      <c r="AE68" s="366"/>
      <c r="AF68" s="366"/>
      <c r="AG68" s="366"/>
      <c r="AH68" s="366"/>
    </row>
    <row r="69" spans="1:34" ht="27" customHeight="1" thickBot="1" x14ac:dyDescent="0.55000000000000004">
      <c r="A69" s="366"/>
      <c r="B69" s="367"/>
      <c r="C69" s="371"/>
      <c r="D69" s="370" t="s">
        <v>476</v>
      </c>
      <c r="E69" s="369"/>
      <c r="F69" s="369" t="s">
        <v>372</v>
      </c>
      <c r="G69" s="368">
        <v>6.84</v>
      </c>
      <c r="H69" s="367"/>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row>
    <row r="70" spans="1:34" ht="27" customHeight="1" x14ac:dyDescent="0.5">
      <c r="A70" s="366"/>
      <c r="B70" s="367"/>
      <c r="C70" s="367"/>
      <c r="D70" s="367"/>
      <c r="E70" s="367"/>
      <c r="F70" s="367"/>
      <c r="G70" s="367"/>
      <c r="H70" s="367"/>
      <c r="I70" s="366"/>
      <c r="J70" s="366"/>
      <c r="K70" s="366"/>
      <c r="L70" s="366"/>
      <c r="M70" s="366"/>
      <c r="N70" s="366"/>
      <c r="O70" s="366"/>
      <c r="P70" s="366"/>
      <c r="Q70" s="366"/>
      <c r="R70" s="366"/>
      <c r="S70" s="366"/>
      <c r="T70" s="366"/>
      <c r="U70" s="366"/>
      <c r="V70" s="366"/>
      <c r="W70" s="366"/>
      <c r="X70" s="366"/>
      <c r="Y70" s="366"/>
      <c r="Z70" s="366"/>
      <c r="AA70" s="366"/>
      <c r="AB70" s="366"/>
      <c r="AC70" s="366"/>
      <c r="AD70" s="366"/>
      <c r="AE70" s="366"/>
      <c r="AF70" s="366"/>
      <c r="AG70" s="366"/>
      <c r="AH70" s="366"/>
    </row>
    <row r="71" spans="1:34" ht="27" customHeight="1" x14ac:dyDescent="0.5">
      <c r="A71" s="366"/>
      <c r="B71" s="366"/>
      <c r="C71" s="366"/>
      <c r="D71" s="366"/>
      <c r="E71" s="366"/>
      <c r="F71" s="366"/>
      <c r="G71" s="366"/>
      <c r="H71" s="366"/>
      <c r="I71" s="366"/>
      <c r="J71" s="366"/>
      <c r="K71" s="366"/>
      <c r="L71" s="366"/>
      <c r="M71" s="366"/>
      <c r="N71" s="366"/>
      <c r="O71" s="366"/>
      <c r="P71" s="366"/>
      <c r="Q71" s="366"/>
      <c r="R71" s="366"/>
      <c r="S71" s="366"/>
      <c r="T71" s="366"/>
      <c r="U71" s="366"/>
      <c r="V71" s="366"/>
      <c r="W71" s="366"/>
      <c r="X71" s="366"/>
      <c r="Y71" s="366"/>
      <c r="Z71" s="366"/>
      <c r="AA71" s="366"/>
      <c r="AB71" s="366"/>
      <c r="AC71" s="366"/>
      <c r="AD71" s="366"/>
      <c r="AE71" s="366"/>
      <c r="AF71" s="366"/>
      <c r="AG71" s="366"/>
      <c r="AH71" s="366"/>
    </row>
    <row r="72" spans="1:34" ht="27" customHeight="1" x14ac:dyDescent="0.5">
      <c r="A72" s="366"/>
      <c r="B72" s="366"/>
      <c r="C72" s="366"/>
      <c r="D72" s="366"/>
      <c r="E72" s="366"/>
      <c r="F72" s="366"/>
      <c r="G72" s="366"/>
      <c r="H72" s="366"/>
      <c r="I72" s="366"/>
      <c r="J72" s="366"/>
      <c r="K72" s="366"/>
      <c r="L72" s="366"/>
      <c r="M72" s="366"/>
      <c r="N72" s="366"/>
      <c r="O72" s="366"/>
      <c r="P72" s="366"/>
      <c r="Q72" s="366"/>
      <c r="R72" s="366"/>
      <c r="S72" s="366"/>
      <c r="T72" s="366"/>
      <c r="U72" s="366"/>
      <c r="V72" s="366"/>
      <c r="W72" s="366"/>
      <c r="X72" s="366"/>
      <c r="Y72" s="366"/>
      <c r="Z72" s="366"/>
      <c r="AA72" s="366"/>
      <c r="AB72" s="366"/>
      <c r="AC72" s="366"/>
      <c r="AD72" s="366"/>
      <c r="AE72" s="366"/>
      <c r="AF72" s="366"/>
      <c r="AG72" s="366"/>
      <c r="AH72" s="366"/>
    </row>
    <row r="73" spans="1:34" ht="27" customHeight="1" x14ac:dyDescent="0.5">
      <c r="A73" s="366"/>
      <c r="B73" s="366"/>
      <c r="C73" s="366"/>
      <c r="D73" s="366"/>
      <c r="E73" s="366"/>
      <c r="F73" s="366"/>
      <c r="G73" s="366"/>
      <c r="H73" s="366"/>
      <c r="I73" s="366"/>
      <c r="J73" s="366"/>
      <c r="K73" s="366"/>
      <c r="L73" s="366"/>
      <c r="M73" s="366"/>
      <c r="N73" s="366"/>
      <c r="O73" s="366"/>
      <c r="P73" s="366"/>
      <c r="Q73" s="366"/>
      <c r="R73" s="366"/>
      <c r="S73" s="366"/>
      <c r="T73" s="366"/>
      <c r="U73" s="366"/>
      <c r="V73" s="366"/>
      <c r="W73" s="366"/>
      <c r="X73" s="366"/>
      <c r="Y73" s="366"/>
      <c r="Z73" s="366"/>
      <c r="AA73" s="366"/>
      <c r="AB73" s="366"/>
      <c r="AC73" s="366"/>
      <c r="AD73" s="366"/>
      <c r="AE73" s="366"/>
      <c r="AF73" s="366"/>
      <c r="AG73" s="366"/>
      <c r="AH73" s="366"/>
    </row>
    <row r="74" spans="1:34" ht="27" customHeight="1" x14ac:dyDescent="0.5">
      <c r="A74" s="366"/>
      <c r="B74" s="366"/>
      <c r="C74" s="366"/>
      <c r="D74" s="366"/>
      <c r="E74" s="366"/>
      <c r="F74" s="366"/>
      <c r="G74" s="366"/>
      <c r="H74" s="366"/>
      <c r="I74" s="366"/>
      <c r="J74" s="366"/>
      <c r="K74" s="366"/>
      <c r="L74" s="366"/>
      <c r="M74" s="366"/>
      <c r="N74" s="366"/>
      <c r="O74" s="366"/>
      <c r="P74" s="366"/>
      <c r="Q74" s="366"/>
      <c r="R74" s="366"/>
      <c r="S74" s="366"/>
      <c r="T74" s="366"/>
      <c r="U74" s="366"/>
      <c r="V74" s="366"/>
      <c r="W74" s="366"/>
      <c r="X74" s="366"/>
      <c r="Y74" s="366"/>
      <c r="Z74" s="366"/>
      <c r="AA74" s="366"/>
      <c r="AB74" s="366"/>
      <c r="AC74" s="366"/>
      <c r="AD74" s="366"/>
      <c r="AE74" s="366"/>
      <c r="AF74" s="366"/>
      <c r="AG74" s="366"/>
      <c r="AH74" s="366"/>
    </row>
    <row r="75" spans="1:34" ht="27" customHeight="1" x14ac:dyDescent="0.5">
      <c r="A75" s="366"/>
      <c r="B75" s="366"/>
      <c r="C75" s="366"/>
      <c r="D75" s="366"/>
      <c r="E75" s="366"/>
      <c r="F75" s="366"/>
      <c r="G75" s="366"/>
      <c r="H75" s="366"/>
      <c r="I75" s="366"/>
      <c r="J75" s="366"/>
      <c r="K75" s="366"/>
      <c r="L75" s="366"/>
      <c r="M75" s="366"/>
      <c r="N75" s="366"/>
      <c r="O75" s="366"/>
      <c r="P75" s="366"/>
      <c r="Q75" s="366"/>
      <c r="R75" s="366"/>
      <c r="S75" s="366"/>
      <c r="T75" s="366"/>
      <c r="U75" s="366"/>
      <c r="V75" s="366"/>
      <c r="W75" s="366"/>
      <c r="X75" s="366"/>
      <c r="Y75" s="366"/>
      <c r="Z75" s="366"/>
      <c r="AA75" s="366"/>
      <c r="AB75" s="366"/>
      <c r="AC75" s="366"/>
      <c r="AD75" s="366"/>
      <c r="AE75" s="366"/>
      <c r="AF75" s="366"/>
      <c r="AG75" s="366"/>
      <c r="AH75" s="366"/>
    </row>
    <row r="76" spans="1:34" ht="27" customHeight="1" x14ac:dyDescent="0.5">
      <c r="A76" s="366"/>
      <c r="B76" s="366"/>
      <c r="C76" s="366"/>
      <c r="D76" s="366"/>
      <c r="E76" s="366"/>
      <c r="F76" s="366"/>
      <c r="G76" s="366"/>
      <c r="H76" s="366"/>
      <c r="I76" s="366"/>
      <c r="J76" s="366"/>
      <c r="K76" s="366"/>
      <c r="L76" s="366"/>
      <c r="M76" s="366"/>
      <c r="N76" s="366"/>
      <c r="O76" s="366"/>
      <c r="P76" s="366"/>
      <c r="Q76" s="366"/>
      <c r="R76" s="366"/>
      <c r="S76" s="366"/>
      <c r="T76" s="366"/>
      <c r="U76" s="366"/>
      <c r="V76" s="366"/>
      <c r="W76" s="366"/>
      <c r="X76" s="366"/>
      <c r="Y76" s="366"/>
      <c r="Z76" s="366"/>
      <c r="AA76" s="366"/>
      <c r="AB76" s="366"/>
      <c r="AC76" s="366"/>
      <c r="AD76" s="366"/>
      <c r="AE76" s="366"/>
      <c r="AF76" s="366"/>
      <c r="AG76" s="366"/>
      <c r="AH76" s="366"/>
    </row>
    <row r="77" spans="1:34" ht="27" customHeight="1" x14ac:dyDescent="0.5">
      <c r="A77" s="366"/>
      <c r="B77" s="366"/>
      <c r="C77" s="366"/>
      <c r="D77" s="366"/>
      <c r="E77" s="366"/>
      <c r="F77" s="366"/>
      <c r="G77" s="366"/>
      <c r="H77" s="366"/>
      <c r="I77" s="366"/>
      <c r="J77" s="366"/>
      <c r="K77" s="366"/>
      <c r="L77" s="366"/>
      <c r="M77" s="366"/>
      <c r="N77" s="366"/>
      <c r="O77" s="366"/>
      <c r="P77" s="366"/>
      <c r="Q77" s="366"/>
      <c r="R77" s="366"/>
      <c r="S77" s="366"/>
      <c r="T77" s="366"/>
      <c r="U77" s="366"/>
      <c r="V77" s="366"/>
      <c r="W77" s="366"/>
      <c r="X77" s="366"/>
      <c r="Y77" s="366"/>
      <c r="Z77" s="366"/>
      <c r="AA77" s="366"/>
      <c r="AB77" s="366"/>
      <c r="AC77" s="366"/>
      <c r="AD77" s="366"/>
      <c r="AE77" s="366"/>
      <c r="AF77" s="366"/>
      <c r="AG77" s="366"/>
      <c r="AH77" s="366"/>
    </row>
    <row r="78" spans="1:34" ht="27" customHeight="1" x14ac:dyDescent="0.5">
      <c r="A78" s="366"/>
      <c r="B78" s="366"/>
      <c r="C78" s="366"/>
      <c r="D78" s="366"/>
      <c r="E78" s="366"/>
      <c r="F78" s="366"/>
      <c r="G78" s="366"/>
      <c r="H78" s="366"/>
      <c r="I78" s="366"/>
      <c r="J78" s="366"/>
      <c r="K78" s="366"/>
      <c r="L78" s="366"/>
      <c r="M78" s="366"/>
      <c r="N78" s="366"/>
      <c r="O78" s="366"/>
      <c r="P78" s="366"/>
      <c r="Q78" s="366"/>
      <c r="R78" s="366"/>
      <c r="S78" s="366"/>
      <c r="T78" s="366"/>
      <c r="U78" s="366"/>
      <c r="V78" s="366"/>
      <c r="W78" s="366"/>
      <c r="X78" s="366"/>
      <c r="Y78" s="366"/>
      <c r="Z78" s="366"/>
      <c r="AA78" s="366"/>
      <c r="AB78" s="366"/>
      <c r="AC78" s="366"/>
      <c r="AD78" s="366"/>
      <c r="AE78" s="366"/>
      <c r="AF78" s="366"/>
      <c r="AG78" s="366"/>
      <c r="AH78" s="366"/>
    </row>
    <row r="79" spans="1:34" ht="27" customHeight="1" x14ac:dyDescent="0.5">
      <c r="A79" s="366"/>
      <c r="B79" s="366"/>
      <c r="C79" s="366"/>
      <c r="D79" s="366"/>
      <c r="E79" s="366"/>
      <c r="F79" s="366"/>
      <c r="G79" s="366"/>
      <c r="H79" s="366"/>
      <c r="I79" s="366"/>
      <c r="J79" s="366"/>
      <c r="K79" s="366"/>
      <c r="L79" s="366"/>
      <c r="M79" s="366"/>
      <c r="N79" s="366"/>
      <c r="O79" s="366"/>
      <c r="P79" s="366"/>
      <c r="Q79" s="366"/>
      <c r="R79" s="366"/>
      <c r="S79" s="366"/>
      <c r="T79" s="366"/>
      <c r="U79" s="366"/>
      <c r="V79" s="366"/>
      <c r="W79" s="366"/>
      <c r="X79" s="366"/>
      <c r="Y79" s="366"/>
      <c r="Z79" s="366"/>
      <c r="AA79" s="366"/>
      <c r="AB79" s="366"/>
      <c r="AC79" s="366"/>
      <c r="AD79" s="366"/>
      <c r="AE79" s="366"/>
      <c r="AF79" s="366"/>
      <c r="AG79" s="366"/>
      <c r="AH79" s="366"/>
    </row>
    <row r="80" spans="1:34" ht="27" customHeight="1" x14ac:dyDescent="0.5">
      <c r="A80" s="366"/>
      <c r="B80" s="366"/>
      <c r="C80" s="366"/>
      <c r="D80" s="366"/>
      <c r="E80" s="366"/>
      <c r="F80" s="366"/>
      <c r="G80" s="366"/>
      <c r="H80" s="366"/>
      <c r="I80" s="366"/>
      <c r="J80" s="366"/>
      <c r="K80" s="366"/>
      <c r="L80" s="366"/>
      <c r="M80" s="366"/>
      <c r="N80" s="366"/>
      <c r="O80" s="366"/>
      <c r="P80" s="366"/>
      <c r="Q80" s="366"/>
      <c r="R80" s="366"/>
      <c r="S80" s="366"/>
      <c r="T80" s="366"/>
      <c r="U80" s="366"/>
      <c r="V80" s="366"/>
      <c r="W80" s="366"/>
      <c r="X80" s="366"/>
      <c r="Y80" s="366"/>
      <c r="Z80" s="366"/>
      <c r="AA80" s="366"/>
      <c r="AB80" s="366"/>
      <c r="AC80" s="366"/>
      <c r="AD80" s="366"/>
      <c r="AE80" s="366"/>
      <c r="AF80" s="366"/>
      <c r="AG80" s="366"/>
      <c r="AH80" s="366"/>
    </row>
    <row r="81" spans="1:34" ht="27" customHeight="1" x14ac:dyDescent="0.5">
      <c r="A81" s="366"/>
      <c r="B81" s="366"/>
      <c r="C81" s="366"/>
      <c r="D81" s="366"/>
      <c r="E81" s="366"/>
      <c r="F81" s="366"/>
      <c r="G81" s="366"/>
      <c r="H81" s="366"/>
      <c r="I81" s="366"/>
      <c r="J81" s="366"/>
      <c r="K81" s="366"/>
      <c r="L81" s="366"/>
      <c r="M81" s="366"/>
      <c r="N81" s="366"/>
      <c r="O81" s="366"/>
      <c r="P81" s="366"/>
      <c r="Q81" s="366"/>
      <c r="R81" s="366"/>
      <c r="S81" s="366"/>
      <c r="T81" s="366"/>
      <c r="U81" s="366"/>
      <c r="V81" s="366"/>
      <c r="W81" s="366"/>
      <c r="X81" s="366"/>
      <c r="Y81" s="366"/>
      <c r="Z81" s="366"/>
      <c r="AA81" s="366"/>
      <c r="AB81" s="366"/>
      <c r="AC81" s="366"/>
      <c r="AD81" s="366"/>
      <c r="AE81" s="366"/>
      <c r="AF81" s="366"/>
      <c r="AG81" s="366"/>
      <c r="AH81" s="366"/>
    </row>
    <row r="82" spans="1:34" ht="27" customHeight="1" x14ac:dyDescent="0.5">
      <c r="A82" s="366"/>
      <c r="B82" s="366"/>
      <c r="C82" s="366"/>
      <c r="D82" s="366"/>
      <c r="E82" s="366"/>
      <c r="F82" s="366"/>
      <c r="G82" s="366"/>
      <c r="H82" s="366"/>
      <c r="I82" s="366"/>
      <c r="J82" s="366"/>
      <c r="K82" s="366"/>
      <c r="L82" s="366"/>
      <c r="M82" s="366"/>
      <c r="N82" s="366"/>
      <c r="O82" s="366"/>
      <c r="P82" s="366"/>
      <c r="Q82" s="366"/>
      <c r="R82" s="366"/>
      <c r="S82" s="366"/>
      <c r="T82" s="366"/>
      <c r="U82" s="366"/>
      <c r="V82" s="366"/>
      <c r="W82" s="366"/>
      <c r="X82" s="366"/>
      <c r="Y82" s="366"/>
      <c r="Z82" s="366"/>
      <c r="AA82" s="366"/>
      <c r="AB82" s="366"/>
      <c r="AC82" s="366"/>
      <c r="AD82" s="366"/>
      <c r="AE82" s="366"/>
      <c r="AF82" s="366"/>
      <c r="AG82" s="366"/>
      <c r="AH82" s="366"/>
    </row>
    <row r="83" spans="1:34" ht="27" customHeight="1" x14ac:dyDescent="0.5">
      <c r="A83" s="366"/>
      <c r="B83" s="366"/>
      <c r="C83" s="366"/>
      <c r="D83" s="366"/>
      <c r="E83" s="366"/>
      <c r="F83" s="366"/>
      <c r="G83" s="366"/>
      <c r="H83" s="366"/>
      <c r="I83" s="366"/>
      <c r="J83" s="366"/>
      <c r="K83" s="366"/>
      <c r="L83" s="366"/>
      <c r="M83" s="366"/>
      <c r="N83" s="366"/>
      <c r="O83" s="366"/>
      <c r="P83" s="366"/>
      <c r="Q83" s="366"/>
      <c r="R83" s="366"/>
      <c r="S83" s="366"/>
      <c r="T83" s="366"/>
      <c r="U83" s="366"/>
      <c r="V83" s="366"/>
      <c r="W83" s="366"/>
      <c r="X83" s="366"/>
      <c r="Y83" s="366"/>
      <c r="Z83" s="366"/>
      <c r="AA83" s="366"/>
      <c r="AB83" s="366"/>
      <c r="AC83" s="366"/>
      <c r="AD83" s="366"/>
      <c r="AE83" s="366"/>
      <c r="AF83" s="366"/>
      <c r="AG83" s="366"/>
      <c r="AH83" s="366"/>
    </row>
    <row r="84" spans="1:34" ht="27" customHeight="1" x14ac:dyDescent="0.5">
      <c r="A84" s="366"/>
      <c r="B84" s="366"/>
      <c r="C84" s="366"/>
      <c r="D84" s="366"/>
      <c r="E84" s="366"/>
      <c r="F84" s="366"/>
      <c r="G84" s="366"/>
      <c r="H84" s="366"/>
      <c r="I84" s="366"/>
      <c r="J84" s="366"/>
      <c r="K84" s="366"/>
      <c r="L84" s="366"/>
      <c r="M84" s="366"/>
      <c r="N84" s="366"/>
      <c r="O84" s="366"/>
      <c r="P84" s="366"/>
      <c r="Q84" s="366"/>
      <c r="R84" s="366"/>
      <c r="S84" s="366"/>
      <c r="T84" s="366"/>
      <c r="U84" s="366"/>
      <c r="V84" s="366"/>
      <c r="W84" s="366"/>
      <c r="X84" s="366"/>
      <c r="Y84" s="366"/>
      <c r="Z84" s="366"/>
      <c r="AA84" s="366"/>
      <c r="AB84" s="366"/>
      <c r="AC84" s="366"/>
      <c r="AD84" s="366"/>
      <c r="AE84" s="366"/>
      <c r="AF84" s="366"/>
      <c r="AG84" s="366"/>
      <c r="AH84" s="366"/>
    </row>
    <row r="85" spans="1:34" ht="27" customHeight="1" x14ac:dyDescent="0.5">
      <c r="A85" s="366"/>
      <c r="B85" s="366"/>
      <c r="C85" s="366"/>
      <c r="D85" s="366"/>
      <c r="E85" s="366"/>
      <c r="F85" s="366"/>
      <c r="G85" s="366"/>
      <c r="H85" s="366"/>
      <c r="I85" s="366"/>
      <c r="J85" s="366"/>
      <c r="K85" s="366"/>
      <c r="L85" s="366"/>
      <c r="M85" s="366"/>
      <c r="N85" s="366"/>
      <c r="O85" s="366"/>
      <c r="P85" s="366"/>
      <c r="Q85" s="366"/>
      <c r="R85" s="366"/>
      <c r="S85" s="366"/>
      <c r="T85" s="366"/>
      <c r="U85" s="366"/>
      <c r="V85" s="366"/>
      <c r="W85" s="366"/>
      <c r="X85" s="366"/>
      <c r="Y85" s="366"/>
      <c r="Z85" s="366"/>
      <c r="AA85" s="366"/>
      <c r="AB85" s="366"/>
      <c r="AC85" s="366"/>
      <c r="AD85" s="366"/>
      <c r="AE85" s="366"/>
      <c r="AF85" s="366"/>
      <c r="AG85" s="366"/>
      <c r="AH85" s="366"/>
    </row>
    <row r="86" spans="1:34" ht="27" customHeight="1" x14ac:dyDescent="0.5">
      <c r="A86" s="366"/>
      <c r="B86" s="366"/>
      <c r="C86" s="366"/>
      <c r="D86" s="366"/>
      <c r="E86" s="366"/>
      <c r="F86" s="366"/>
      <c r="G86" s="366"/>
      <c r="H86" s="366"/>
      <c r="I86" s="366"/>
      <c r="J86" s="366"/>
      <c r="K86" s="366"/>
      <c r="L86" s="366"/>
      <c r="M86" s="366"/>
      <c r="N86" s="366"/>
      <c r="O86" s="366"/>
      <c r="P86" s="366"/>
      <c r="Q86" s="366"/>
      <c r="R86" s="366"/>
      <c r="S86" s="366"/>
      <c r="T86" s="366"/>
      <c r="U86" s="366"/>
      <c r="V86" s="366"/>
      <c r="W86" s="366"/>
      <c r="X86" s="366"/>
      <c r="Y86" s="366"/>
      <c r="Z86" s="366"/>
      <c r="AA86" s="366"/>
      <c r="AB86" s="366"/>
      <c r="AC86" s="366"/>
      <c r="AD86" s="366"/>
      <c r="AE86" s="366"/>
      <c r="AF86" s="366"/>
      <c r="AG86" s="366"/>
      <c r="AH86" s="366"/>
    </row>
    <row r="87" spans="1:34" ht="27" customHeight="1" x14ac:dyDescent="0.5">
      <c r="A87" s="366"/>
      <c r="B87" s="366"/>
      <c r="C87" s="366"/>
      <c r="D87" s="366"/>
      <c r="E87" s="366"/>
      <c r="F87" s="366"/>
      <c r="G87" s="366"/>
      <c r="H87" s="366"/>
      <c r="I87" s="366"/>
      <c r="J87" s="366"/>
      <c r="K87" s="366"/>
      <c r="L87" s="366"/>
      <c r="M87" s="366"/>
      <c r="N87" s="366"/>
      <c r="O87" s="366"/>
      <c r="P87" s="366"/>
      <c r="Q87" s="366"/>
      <c r="R87" s="366"/>
      <c r="S87" s="366"/>
      <c r="T87" s="366"/>
      <c r="U87" s="366"/>
      <c r="V87" s="366"/>
      <c r="W87" s="366"/>
      <c r="X87" s="366"/>
      <c r="Y87" s="366"/>
      <c r="Z87" s="366"/>
      <c r="AA87" s="366"/>
      <c r="AB87" s="366"/>
      <c r="AC87" s="366"/>
      <c r="AD87" s="366"/>
      <c r="AE87" s="366"/>
      <c r="AF87" s="366"/>
      <c r="AG87" s="366"/>
      <c r="AH87" s="366"/>
    </row>
    <row r="88" spans="1:34" ht="27" customHeight="1" x14ac:dyDescent="0.5">
      <c r="A88" s="366"/>
      <c r="B88" s="366"/>
      <c r="C88" s="366"/>
      <c r="D88" s="366"/>
      <c r="E88" s="366"/>
      <c r="F88" s="366"/>
      <c r="G88" s="366"/>
      <c r="H88" s="366"/>
      <c r="I88" s="366"/>
      <c r="J88" s="366"/>
      <c r="K88" s="366"/>
      <c r="L88" s="366"/>
      <c r="M88" s="366"/>
      <c r="N88" s="366"/>
      <c r="O88" s="366"/>
      <c r="P88" s="366"/>
      <c r="Q88" s="366"/>
      <c r="R88" s="366"/>
      <c r="S88" s="366"/>
      <c r="T88" s="366"/>
      <c r="U88" s="366"/>
      <c r="V88" s="366"/>
      <c r="W88" s="366"/>
      <c r="X88" s="366"/>
      <c r="Y88" s="366"/>
      <c r="Z88" s="366"/>
      <c r="AA88" s="366"/>
      <c r="AB88" s="366"/>
      <c r="AC88" s="366"/>
      <c r="AD88" s="366"/>
      <c r="AE88" s="366"/>
      <c r="AF88" s="366"/>
      <c r="AG88" s="366"/>
      <c r="AH88" s="366"/>
    </row>
    <row r="89" spans="1:34" ht="27" customHeight="1" x14ac:dyDescent="0.5">
      <c r="A89" s="366"/>
      <c r="B89" s="366"/>
      <c r="C89" s="366"/>
      <c r="D89" s="366"/>
      <c r="E89" s="366"/>
      <c r="F89" s="366"/>
      <c r="G89" s="366"/>
      <c r="H89" s="366"/>
      <c r="I89" s="366"/>
      <c r="J89" s="366"/>
      <c r="K89" s="366"/>
      <c r="L89" s="366"/>
      <c r="M89" s="366"/>
      <c r="N89" s="366"/>
      <c r="O89" s="366"/>
      <c r="P89" s="366"/>
      <c r="Q89" s="366"/>
      <c r="R89" s="366"/>
      <c r="S89" s="366"/>
      <c r="T89" s="366"/>
      <c r="U89" s="366"/>
      <c r="V89" s="366"/>
      <c r="W89" s="366"/>
      <c r="X89" s="366"/>
      <c r="Y89" s="366"/>
      <c r="Z89" s="366"/>
      <c r="AA89" s="366"/>
      <c r="AB89" s="366"/>
      <c r="AC89" s="366"/>
      <c r="AD89" s="366"/>
      <c r="AE89" s="366"/>
      <c r="AF89" s="366"/>
      <c r="AG89" s="366"/>
      <c r="AH89" s="366"/>
    </row>
    <row r="90" spans="1:34" ht="27" customHeight="1" x14ac:dyDescent="0.5">
      <c r="A90" s="366"/>
      <c r="B90" s="366"/>
      <c r="C90" s="366"/>
      <c r="D90" s="366"/>
      <c r="E90" s="366"/>
      <c r="F90" s="366"/>
      <c r="G90" s="366"/>
      <c r="H90" s="366"/>
      <c r="I90" s="366"/>
      <c r="J90" s="366"/>
      <c r="K90" s="366"/>
      <c r="L90" s="366"/>
      <c r="M90" s="366"/>
      <c r="N90" s="366"/>
      <c r="O90" s="366"/>
      <c r="P90" s="366"/>
      <c r="Q90" s="366"/>
      <c r="R90" s="366"/>
      <c r="S90" s="366"/>
      <c r="T90" s="366"/>
      <c r="U90" s="366"/>
      <c r="V90" s="366"/>
      <c r="W90" s="366"/>
      <c r="X90" s="366"/>
      <c r="Y90" s="366"/>
      <c r="Z90" s="366"/>
      <c r="AA90" s="366"/>
      <c r="AB90" s="366"/>
      <c r="AC90" s="366"/>
      <c r="AD90" s="366"/>
      <c r="AE90" s="366"/>
      <c r="AF90" s="366"/>
      <c r="AG90" s="366"/>
      <c r="AH90" s="366"/>
    </row>
    <row r="91" spans="1:34" ht="27" customHeight="1" x14ac:dyDescent="0.5">
      <c r="A91" s="366"/>
      <c r="B91" s="366"/>
      <c r="C91" s="366"/>
      <c r="D91" s="366"/>
      <c r="E91" s="366"/>
      <c r="F91" s="366"/>
      <c r="G91" s="366"/>
      <c r="H91" s="366"/>
      <c r="I91" s="366"/>
      <c r="J91" s="366"/>
      <c r="K91" s="366"/>
      <c r="L91" s="366"/>
      <c r="M91" s="366"/>
      <c r="N91" s="366"/>
      <c r="O91" s="366"/>
      <c r="P91" s="366"/>
      <c r="Q91" s="366"/>
      <c r="R91" s="366"/>
      <c r="S91" s="366"/>
      <c r="T91" s="366"/>
      <c r="U91" s="366"/>
      <c r="V91" s="366"/>
      <c r="W91" s="366"/>
      <c r="X91" s="366"/>
      <c r="Y91" s="366"/>
      <c r="Z91" s="366"/>
      <c r="AA91" s="366"/>
      <c r="AB91" s="366"/>
      <c r="AC91" s="366"/>
      <c r="AD91" s="366"/>
      <c r="AE91" s="366"/>
      <c r="AF91" s="366"/>
      <c r="AG91" s="366"/>
      <c r="AH91" s="366"/>
    </row>
    <row r="92" spans="1:34" ht="27" customHeight="1" x14ac:dyDescent="0.5">
      <c r="A92" s="366"/>
      <c r="B92" s="366"/>
      <c r="C92" s="366"/>
      <c r="D92" s="366"/>
      <c r="E92" s="366"/>
      <c r="F92" s="366"/>
      <c r="G92" s="366"/>
      <c r="H92" s="366"/>
      <c r="I92" s="366"/>
      <c r="J92" s="366"/>
      <c r="K92" s="366"/>
      <c r="L92" s="366"/>
      <c r="M92" s="366"/>
      <c r="N92" s="366"/>
      <c r="O92" s="366"/>
      <c r="P92" s="366"/>
      <c r="Q92" s="366"/>
      <c r="R92" s="366"/>
      <c r="S92" s="366"/>
      <c r="T92" s="366"/>
      <c r="U92" s="366"/>
      <c r="V92" s="366"/>
      <c r="W92" s="366"/>
      <c r="X92" s="366"/>
      <c r="Y92" s="366"/>
      <c r="Z92" s="366"/>
      <c r="AA92" s="366"/>
      <c r="AB92" s="366"/>
      <c r="AC92" s="366"/>
      <c r="AD92" s="366"/>
      <c r="AE92" s="366"/>
      <c r="AF92" s="366"/>
      <c r="AG92" s="366"/>
      <c r="AH92" s="366"/>
    </row>
    <row r="93" spans="1:34" ht="27" customHeight="1" x14ac:dyDescent="0.5">
      <c r="A93" s="366"/>
      <c r="B93" s="366"/>
      <c r="C93" s="366"/>
      <c r="D93" s="366"/>
      <c r="E93" s="366"/>
      <c r="F93" s="366"/>
      <c r="G93" s="366"/>
      <c r="H93" s="366"/>
      <c r="I93" s="366"/>
      <c r="J93" s="366"/>
      <c r="K93" s="366"/>
      <c r="L93" s="366"/>
      <c r="M93" s="366"/>
      <c r="N93" s="366"/>
      <c r="O93" s="366"/>
      <c r="P93" s="366"/>
      <c r="Q93" s="366"/>
      <c r="R93" s="366"/>
      <c r="S93" s="366"/>
      <c r="T93" s="366"/>
      <c r="U93" s="366"/>
      <c r="V93" s="366"/>
      <c r="W93" s="366"/>
      <c r="X93" s="366"/>
      <c r="Y93" s="366"/>
      <c r="Z93" s="366"/>
      <c r="AA93" s="366"/>
      <c r="AB93" s="366"/>
      <c r="AC93" s="366"/>
      <c r="AD93" s="366"/>
      <c r="AE93" s="366"/>
      <c r="AF93" s="366"/>
      <c r="AG93" s="366"/>
      <c r="AH93" s="366"/>
    </row>
    <row r="94" spans="1:34" ht="27" customHeight="1" x14ac:dyDescent="0.5">
      <c r="A94" s="366"/>
      <c r="B94" s="366"/>
      <c r="C94" s="366"/>
      <c r="D94" s="366"/>
      <c r="E94" s="366"/>
      <c r="F94" s="366"/>
      <c r="G94" s="366"/>
      <c r="H94" s="366"/>
      <c r="I94" s="366"/>
      <c r="J94" s="366"/>
      <c r="K94" s="366"/>
      <c r="L94" s="366"/>
      <c r="M94" s="366"/>
      <c r="N94" s="366"/>
      <c r="O94" s="366"/>
      <c r="P94" s="366"/>
      <c r="Q94" s="366"/>
      <c r="R94" s="366"/>
      <c r="S94" s="366"/>
      <c r="T94" s="366"/>
      <c r="U94" s="366"/>
      <c r="V94" s="366"/>
      <c r="W94" s="366"/>
      <c r="X94" s="366"/>
      <c r="Y94" s="366"/>
      <c r="Z94" s="366"/>
      <c r="AA94" s="366"/>
      <c r="AB94" s="366"/>
      <c r="AC94" s="366"/>
      <c r="AD94" s="366"/>
      <c r="AE94" s="366"/>
      <c r="AF94" s="366"/>
      <c r="AG94" s="366"/>
      <c r="AH94" s="366"/>
    </row>
    <row r="95" spans="1:34" ht="27" customHeight="1" x14ac:dyDescent="0.5">
      <c r="A95" s="366"/>
      <c r="B95" s="366"/>
      <c r="C95" s="366"/>
      <c r="D95" s="366"/>
      <c r="E95" s="366"/>
      <c r="F95" s="366"/>
      <c r="G95" s="366"/>
      <c r="H95" s="366"/>
      <c r="I95" s="366"/>
      <c r="J95" s="366"/>
      <c r="K95" s="366"/>
      <c r="L95" s="366"/>
      <c r="M95" s="366"/>
      <c r="N95" s="366"/>
      <c r="O95" s="366"/>
      <c r="P95" s="366"/>
      <c r="Q95" s="366"/>
      <c r="R95" s="366"/>
      <c r="S95" s="366"/>
      <c r="T95" s="366"/>
      <c r="U95" s="366"/>
      <c r="V95" s="366"/>
      <c r="W95" s="366"/>
      <c r="X95" s="366"/>
      <c r="Y95" s="366"/>
      <c r="Z95" s="366"/>
      <c r="AA95" s="366"/>
      <c r="AB95" s="366"/>
      <c r="AC95" s="366"/>
      <c r="AD95" s="366"/>
      <c r="AE95" s="366"/>
      <c r="AF95" s="366"/>
      <c r="AG95" s="366"/>
      <c r="AH95" s="366"/>
    </row>
    <row r="96" spans="1:34" ht="27" customHeight="1" x14ac:dyDescent="0.5">
      <c r="A96" s="366"/>
      <c r="B96" s="366"/>
      <c r="C96" s="366"/>
      <c r="D96" s="366"/>
      <c r="E96" s="366"/>
      <c r="F96" s="366"/>
      <c r="G96" s="366"/>
      <c r="H96" s="366"/>
      <c r="I96" s="366"/>
      <c r="J96" s="366"/>
      <c r="K96" s="366"/>
      <c r="L96" s="366"/>
      <c r="M96" s="366"/>
      <c r="N96" s="366"/>
      <c r="O96" s="366"/>
      <c r="P96" s="366"/>
      <c r="Q96" s="366"/>
      <c r="R96" s="366"/>
      <c r="S96" s="366"/>
      <c r="T96" s="366"/>
      <c r="U96" s="366"/>
      <c r="V96" s="366"/>
      <c r="W96" s="366"/>
      <c r="X96" s="366"/>
      <c r="Y96" s="366"/>
      <c r="Z96" s="366"/>
      <c r="AA96" s="366"/>
      <c r="AB96" s="366"/>
      <c r="AC96" s="366"/>
      <c r="AD96" s="366"/>
      <c r="AE96" s="366"/>
      <c r="AF96" s="366"/>
      <c r="AG96" s="366"/>
      <c r="AH96" s="366"/>
    </row>
    <row r="97" spans="1:34" ht="27" customHeight="1" x14ac:dyDescent="0.5">
      <c r="A97" s="366"/>
      <c r="B97" s="366"/>
      <c r="C97" s="366"/>
      <c r="D97" s="366"/>
      <c r="E97" s="366"/>
      <c r="F97" s="366"/>
      <c r="G97" s="366"/>
      <c r="H97" s="366"/>
      <c r="I97" s="366"/>
      <c r="J97" s="366"/>
      <c r="K97" s="366"/>
      <c r="L97" s="366"/>
      <c r="M97" s="366"/>
      <c r="N97" s="366"/>
      <c r="O97" s="366"/>
      <c r="P97" s="366"/>
      <c r="Q97" s="366"/>
      <c r="R97" s="366"/>
      <c r="S97" s="366"/>
      <c r="T97" s="366"/>
      <c r="U97" s="366"/>
      <c r="V97" s="366"/>
      <c r="W97" s="366"/>
      <c r="X97" s="366"/>
      <c r="Y97" s="366"/>
      <c r="Z97" s="366"/>
      <c r="AA97" s="366"/>
      <c r="AB97" s="366"/>
      <c r="AC97" s="366"/>
      <c r="AD97" s="366"/>
      <c r="AE97" s="366"/>
      <c r="AF97" s="366"/>
      <c r="AG97" s="366"/>
      <c r="AH97" s="366"/>
    </row>
    <row r="98" spans="1:34" ht="27" customHeight="1" x14ac:dyDescent="0.5">
      <c r="A98" s="366"/>
      <c r="B98" s="366"/>
      <c r="C98" s="366"/>
      <c r="D98" s="366"/>
      <c r="E98" s="366"/>
      <c r="F98" s="366"/>
      <c r="G98" s="366"/>
      <c r="H98" s="366"/>
      <c r="I98" s="366"/>
      <c r="J98" s="366"/>
      <c r="K98" s="366"/>
      <c r="L98" s="366"/>
      <c r="M98" s="366"/>
      <c r="N98" s="366"/>
      <c r="O98" s="366"/>
      <c r="P98" s="366"/>
      <c r="Q98" s="366"/>
      <c r="R98" s="366"/>
      <c r="S98" s="366"/>
      <c r="T98" s="366"/>
      <c r="U98" s="366"/>
      <c r="V98" s="366"/>
      <c r="W98" s="366"/>
      <c r="X98" s="366"/>
      <c r="Y98" s="366"/>
      <c r="Z98" s="366"/>
      <c r="AA98" s="366"/>
      <c r="AB98" s="366"/>
      <c r="AC98" s="366"/>
      <c r="AD98" s="366"/>
      <c r="AE98" s="366"/>
      <c r="AF98" s="366"/>
      <c r="AG98" s="366"/>
      <c r="AH98" s="366"/>
    </row>
    <row r="99" spans="1:34" ht="27" customHeight="1" x14ac:dyDescent="0.5">
      <c r="A99" s="366"/>
      <c r="B99" s="366"/>
      <c r="C99" s="366"/>
      <c r="D99" s="366"/>
      <c r="E99" s="366"/>
      <c r="F99" s="366"/>
      <c r="G99" s="366"/>
      <c r="H99" s="366"/>
      <c r="I99" s="366"/>
      <c r="J99" s="366"/>
      <c r="K99" s="366"/>
      <c r="L99" s="366"/>
      <c r="M99" s="366"/>
      <c r="N99" s="366"/>
      <c r="O99" s="366"/>
      <c r="P99" s="366"/>
      <c r="Q99" s="366"/>
      <c r="R99" s="366"/>
      <c r="S99" s="366"/>
      <c r="T99" s="366"/>
      <c r="U99" s="366"/>
      <c r="V99" s="366"/>
      <c r="W99" s="366"/>
      <c r="X99" s="366"/>
      <c r="Y99" s="366"/>
      <c r="Z99" s="366"/>
      <c r="AA99" s="366"/>
      <c r="AB99" s="366"/>
      <c r="AC99" s="366"/>
      <c r="AD99" s="366"/>
      <c r="AE99" s="366"/>
      <c r="AF99" s="366"/>
      <c r="AG99" s="366"/>
      <c r="AH99" s="366"/>
    </row>
    <row r="100" spans="1:34" ht="27" customHeight="1" x14ac:dyDescent="0.5">
      <c r="A100" s="366"/>
      <c r="B100" s="366"/>
      <c r="C100" s="366"/>
      <c r="D100" s="366"/>
      <c r="E100" s="366"/>
      <c r="F100" s="366"/>
      <c r="G100" s="366"/>
      <c r="H100" s="366"/>
      <c r="I100" s="366"/>
      <c r="J100" s="366"/>
      <c r="K100" s="366"/>
      <c r="L100" s="366"/>
      <c r="M100" s="366"/>
      <c r="N100" s="366"/>
      <c r="O100" s="366"/>
      <c r="P100" s="366"/>
      <c r="Q100" s="366"/>
      <c r="R100" s="366"/>
      <c r="S100" s="366"/>
      <c r="T100" s="366"/>
      <c r="U100" s="366"/>
      <c r="V100" s="366"/>
      <c r="W100" s="366"/>
      <c r="X100" s="366"/>
      <c r="Y100" s="366"/>
      <c r="Z100" s="366"/>
      <c r="AA100" s="366"/>
      <c r="AB100" s="366"/>
      <c r="AC100" s="366"/>
      <c r="AD100" s="366"/>
      <c r="AE100" s="366"/>
      <c r="AF100" s="366"/>
      <c r="AG100" s="366"/>
      <c r="AH100" s="366"/>
    </row>
    <row r="101" spans="1:34" ht="27" customHeight="1" x14ac:dyDescent="0.5">
      <c r="A101" s="366"/>
      <c r="B101" s="366"/>
      <c r="C101" s="366"/>
      <c r="D101" s="366"/>
      <c r="E101" s="366"/>
      <c r="F101" s="366"/>
      <c r="G101" s="366"/>
      <c r="H101" s="366"/>
      <c r="I101" s="366"/>
      <c r="J101" s="366"/>
      <c r="K101" s="366"/>
      <c r="L101" s="366"/>
      <c r="M101" s="366"/>
      <c r="N101" s="366"/>
      <c r="O101" s="366"/>
      <c r="P101" s="366"/>
      <c r="Q101" s="366"/>
      <c r="R101" s="366"/>
      <c r="S101" s="366"/>
      <c r="T101" s="366"/>
      <c r="U101" s="366"/>
      <c r="V101" s="366"/>
      <c r="W101" s="366"/>
      <c r="X101" s="366"/>
      <c r="Y101" s="366"/>
      <c r="Z101" s="366"/>
      <c r="AA101" s="366"/>
      <c r="AB101" s="366"/>
      <c r="AC101" s="366"/>
      <c r="AD101" s="366"/>
      <c r="AE101" s="366"/>
      <c r="AF101" s="366"/>
      <c r="AG101" s="366"/>
      <c r="AH101" s="366"/>
    </row>
    <row r="102" spans="1:34" ht="27" customHeight="1" x14ac:dyDescent="0.5">
      <c r="A102" s="366"/>
      <c r="B102" s="366"/>
      <c r="C102" s="366"/>
      <c r="D102" s="366"/>
      <c r="E102" s="366"/>
      <c r="F102" s="366"/>
      <c r="G102" s="366"/>
      <c r="H102" s="366"/>
      <c r="I102" s="366"/>
      <c r="J102" s="366"/>
      <c r="K102" s="366"/>
      <c r="L102" s="366"/>
      <c r="M102" s="366"/>
      <c r="N102" s="366"/>
      <c r="O102" s="366"/>
      <c r="P102" s="366"/>
      <c r="Q102" s="366"/>
      <c r="R102" s="366"/>
      <c r="S102" s="366"/>
      <c r="T102" s="366"/>
      <c r="U102" s="366"/>
      <c r="V102" s="366"/>
      <c r="W102" s="366"/>
      <c r="X102" s="366"/>
      <c r="Y102" s="366"/>
      <c r="Z102" s="366"/>
      <c r="AA102" s="366"/>
      <c r="AB102" s="366"/>
      <c r="AC102" s="366"/>
      <c r="AD102" s="366"/>
      <c r="AE102" s="366"/>
      <c r="AF102" s="366"/>
      <c r="AG102" s="366"/>
      <c r="AH102" s="366"/>
    </row>
    <row r="103" spans="1:34" ht="27" customHeight="1" x14ac:dyDescent="0.5">
      <c r="A103" s="366"/>
      <c r="B103" s="366"/>
      <c r="C103" s="366"/>
      <c r="D103" s="366"/>
      <c r="E103" s="366"/>
      <c r="F103" s="366"/>
      <c r="G103" s="366"/>
      <c r="H103" s="366"/>
      <c r="I103" s="366"/>
      <c r="J103" s="366"/>
      <c r="K103" s="366"/>
      <c r="L103" s="366"/>
      <c r="M103" s="366"/>
      <c r="N103" s="366"/>
      <c r="O103" s="366"/>
      <c r="P103" s="366"/>
      <c r="Q103" s="366"/>
      <c r="R103" s="366"/>
      <c r="S103" s="366"/>
      <c r="T103" s="366"/>
      <c r="U103" s="366"/>
      <c r="V103" s="366"/>
      <c r="W103" s="366"/>
      <c r="X103" s="366"/>
      <c r="Y103" s="366"/>
      <c r="Z103" s="366"/>
      <c r="AA103" s="366"/>
      <c r="AB103" s="366"/>
      <c r="AC103" s="366"/>
      <c r="AD103" s="366"/>
      <c r="AE103" s="366"/>
      <c r="AF103" s="366"/>
      <c r="AG103" s="366"/>
      <c r="AH103" s="366"/>
    </row>
    <row r="104" spans="1:34" ht="27" customHeight="1" x14ac:dyDescent="0.5">
      <c r="A104" s="366"/>
      <c r="B104" s="366"/>
      <c r="C104" s="366"/>
      <c r="D104" s="366"/>
      <c r="E104" s="366"/>
      <c r="F104" s="366"/>
      <c r="G104" s="366"/>
      <c r="H104" s="366"/>
      <c r="I104" s="366"/>
      <c r="J104" s="366"/>
      <c r="K104" s="366"/>
      <c r="L104" s="366"/>
      <c r="M104" s="366"/>
      <c r="N104" s="366"/>
      <c r="O104" s="366"/>
      <c r="P104" s="366"/>
      <c r="Q104" s="366"/>
      <c r="R104" s="366"/>
      <c r="S104" s="366"/>
      <c r="T104" s="366"/>
      <c r="U104" s="366"/>
      <c r="V104" s="366"/>
      <c r="W104" s="366"/>
      <c r="X104" s="366"/>
      <c r="Y104" s="366"/>
      <c r="Z104" s="366"/>
      <c r="AA104" s="366"/>
      <c r="AB104" s="366"/>
      <c r="AC104" s="366"/>
      <c r="AD104" s="366"/>
      <c r="AE104" s="366"/>
      <c r="AF104" s="366"/>
      <c r="AG104" s="366"/>
      <c r="AH104" s="366"/>
    </row>
    <row r="105" spans="1:34" ht="27" customHeight="1" x14ac:dyDescent="0.5">
      <c r="A105" s="366"/>
      <c r="B105" s="366"/>
      <c r="C105" s="366"/>
      <c r="D105" s="366"/>
      <c r="E105" s="366"/>
      <c r="F105" s="366"/>
      <c r="G105" s="366"/>
      <c r="H105" s="366"/>
      <c r="I105" s="366"/>
      <c r="J105" s="366"/>
      <c r="K105" s="366"/>
      <c r="L105" s="366"/>
      <c r="M105" s="366"/>
      <c r="N105" s="366"/>
      <c r="O105" s="366"/>
      <c r="P105" s="366"/>
      <c r="Q105" s="366"/>
      <c r="R105" s="366"/>
      <c r="S105" s="366"/>
      <c r="T105" s="366"/>
      <c r="U105" s="366"/>
      <c r="V105" s="366"/>
      <c r="W105" s="366"/>
      <c r="X105" s="366"/>
      <c r="Y105" s="366"/>
      <c r="Z105" s="366"/>
      <c r="AA105" s="366"/>
      <c r="AB105" s="366"/>
      <c r="AC105" s="366"/>
      <c r="AD105" s="366"/>
      <c r="AE105" s="366"/>
      <c r="AF105" s="366"/>
      <c r="AG105" s="366"/>
      <c r="AH105" s="366"/>
    </row>
    <row r="106" spans="1:34" ht="27" customHeight="1" x14ac:dyDescent="0.5">
      <c r="A106" s="366"/>
      <c r="B106" s="366"/>
      <c r="C106" s="366"/>
      <c r="D106" s="366"/>
      <c r="E106" s="366"/>
      <c r="F106" s="366"/>
      <c r="G106" s="366"/>
      <c r="H106" s="366"/>
      <c r="I106" s="366"/>
      <c r="J106" s="366"/>
      <c r="K106" s="366"/>
      <c r="L106" s="366"/>
      <c r="M106" s="366"/>
      <c r="N106" s="366"/>
      <c r="O106" s="366"/>
      <c r="P106" s="366"/>
      <c r="Q106" s="366"/>
      <c r="R106" s="366"/>
      <c r="S106" s="366"/>
      <c r="T106" s="366"/>
      <c r="U106" s="366"/>
      <c r="V106" s="366"/>
      <c r="W106" s="366"/>
      <c r="X106" s="366"/>
      <c r="Y106" s="366"/>
      <c r="Z106" s="366"/>
      <c r="AA106" s="366"/>
      <c r="AB106" s="366"/>
      <c r="AC106" s="366"/>
      <c r="AD106" s="366"/>
      <c r="AE106" s="366"/>
      <c r="AF106" s="366"/>
      <c r="AG106" s="366"/>
      <c r="AH106" s="366"/>
    </row>
    <row r="107" spans="1:34" ht="27" customHeight="1" x14ac:dyDescent="0.5">
      <c r="A107" s="366"/>
      <c r="B107" s="366"/>
      <c r="C107" s="366"/>
      <c r="D107" s="366"/>
      <c r="E107" s="366"/>
      <c r="F107" s="366"/>
      <c r="G107" s="366"/>
      <c r="H107" s="366"/>
      <c r="I107" s="366"/>
      <c r="J107" s="366"/>
      <c r="K107" s="366"/>
      <c r="L107" s="366"/>
      <c r="M107" s="366"/>
      <c r="N107" s="366"/>
      <c r="O107" s="366"/>
      <c r="P107" s="366"/>
      <c r="Q107" s="366"/>
      <c r="R107" s="366"/>
      <c r="S107" s="366"/>
      <c r="T107" s="366"/>
      <c r="U107" s="366"/>
      <c r="V107" s="366"/>
      <c r="W107" s="366"/>
      <c r="X107" s="366"/>
      <c r="Y107" s="366"/>
      <c r="Z107" s="366"/>
      <c r="AA107" s="366"/>
      <c r="AB107" s="366"/>
      <c r="AC107" s="366"/>
      <c r="AD107" s="366"/>
      <c r="AE107" s="366"/>
      <c r="AF107" s="366"/>
      <c r="AG107" s="366"/>
      <c r="AH107" s="366"/>
    </row>
    <row r="108" spans="1:34" ht="27" customHeight="1" x14ac:dyDescent="0.5">
      <c r="A108" s="366"/>
      <c r="B108" s="366"/>
      <c r="C108" s="366"/>
      <c r="D108" s="366"/>
      <c r="E108" s="366"/>
      <c r="F108" s="366"/>
      <c r="G108" s="366"/>
      <c r="H108" s="366"/>
      <c r="I108" s="366"/>
      <c r="J108" s="366"/>
      <c r="K108" s="366"/>
      <c r="L108" s="366"/>
      <c r="M108" s="366"/>
      <c r="N108" s="366"/>
      <c r="O108" s="366"/>
      <c r="P108" s="366"/>
      <c r="Q108" s="366"/>
      <c r="R108" s="366"/>
      <c r="S108" s="366"/>
      <c r="T108" s="366"/>
      <c r="U108" s="366"/>
      <c r="V108" s="366"/>
      <c r="W108" s="366"/>
      <c r="X108" s="366"/>
      <c r="Y108" s="366"/>
      <c r="Z108" s="366"/>
      <c r="AA108" s="366"/>
      <c r="AB108" s="366"/>
      <c r="AC108" s="366"/>
      <c r="AD108" s="366"/>
      <c r="AE108" s="366"/>
      <c r="AF108" s="366"/>
      <c r="AG108" s="366"/>
      <c r="AH108" s="366"/>
    </row>
    <row r="109" spans="1:34" ht="27" customHeight="1" x14ac:dyDescent="0.5">
      <c r="A109" s="366"/>
      <c r="B109" s="366"/>
      <c r="C109" s="366"/>
      <c r="D109" s="366"/>
      <c r="E109" s="366"/>
      <c r="F109" s="366"/>
      <c r="G109" s="366"/>
      <c r="H109" s="366"/>
      <c r="I109" s="366"/>
      <c r="J109" s="366"/>
      <c r="K109" s="366"/>
      <c r="L109" s="366"/>
      <c r="M109" s="366"/>
      <c r="N109" s="366"/>
      <c r="O109" s="366"/>
      <c r="P109" s="366"/>
      <c r="Q109" s="366"/>
      <c r="R109" s="366"/>
      <c r="S109" s="366"/>
      <c r="T109" s="366"/>
      <c r="U109" s="366"/>
      <c r="V109" s="366"/>
      <c r="W109" s="366"/>
      <c r="X109" s="366"/>
      <c r="Y109" s="366"/>
      <c r="Z109" s="366"/>
      <c r="AA109" s="366"/>
      <c r="AB109" s="366"/>
      <c r="AC109" s="366"/>
      <c r="AD109" s="366"/>
      <c r="AE109" s="366"/>
      <c r="AF109" s="366"/>
      <c r="AG109" s="366"/>
      <c r="AH109" s="366"/>
    </row>
    <row r="110" spans="1:34" ht="27" customHeight="1" x14ac:dyDescent="0.5">
      <c r="A110" s="366"/>
      <c r="B110" s="366"/>
      <c r="C110" s="366"/>
      <c r="D110" s="366"/>
      <c r="E110" s="366"/>
      <c r="F110" s="366"/>
      <c r="G110" s="366"/>
      <c r="H110" s="366"/>
      <c r="I110" s="366"/>
      <c r="J110" s="366"/>
      <c r="K110" s="366"/>
      <c r="L110" s="366"/>
      <c r="M110" s="366"/>
      <c r="N110" s="366"/>
      <c r="O110" s="366"/>
      <c r="P110" s="366"/>
      <c r="Q110" s="366"/>
      <c r="R110" s="366"/>
      <c r="S110" s="366"/>
      <c r="T110" s="366"/>
      <c r="U110" s="366"/>
      <c r="V110" s="366"/>
      <c r="W110" s="366"/>
      <c r="X110" s="366"/>
      <c r="Y110" s="366"/>
      <c r="Z110" s="366"/>
      <c r="AA110" s="366"/>
      <c r="AB110" s="366"/>
      <c r="AC110" s="366"/>
      <c r="AD110" s="366"/>
      <c r="AE110" s="366"/>
      <c r="AF110" s="366"/>
      <c r="AG110" s="366"/>
      <c r="AH110" s="366"/>
    </row>
    <row r="111" spans="1:34" ht="27" customHeight="1" x14ac:dyDescent="0.5">
      <c r="A111" s="366"/>
      <c r="B111" s="366"/>
      <c r="C111" s="366"/>
      <c r="D111" s="366"/>
      <c r="E111" s="366"/>
      <c r="F111" s="366"/>
      <c r="G111" s="366"/>
      <c r="H111" s="366"/>
      <c r="I111" s="366"/>
      <c r="J111" s="366"/>
      <c r="K111" s="366"/>
      <c r="L111" s="366"/>
      <c r="M111" s="366"/>
      <c r="N111" s="366"/>
      <c r="O111" s="366"/>
      <c r="P111" s="366"/>
      <c r="Q111" s="366"/>
      <c r="R111" s="366"/>
      <c r="S111" s="366"/>
      <c r="T111" s="366"/>
      <c r="U111" s="366"/>
      <c r="V111" s="366"/>
      <c r="W111" s="366"/>
      <c r="X111" s="366"/>
      <c r="Y111" s="366"/>
      <c r="Z111" s="366"/>
      <c r="AA111" s="366"/>
      <c r="AB111" s="366"/>
      <c r="AC111" s="366"/>
      <c r="AD111" s="366"/>
      <c r="AE111" s="366"/>
      <c r="AF111" s="366"/>
      <c r="AG111" s="366"/>
      <c r="AH111" s="366"/>
    </row>
    <row r="112" spans="1:34" ht="27" customHeight="1" x14ac:dyDescent="0.5">
      <c r="A112" s="366"/>
      <c r="B112" s="366"/>
      <c r="C112" s="366"/>
      <c r="D112" s="366"/>
      <c r="E112" s="366"/>
      <c r="F112" s="366"/>
      <c r="G112" s="366"/>
      <c r="H112" s="366"/>
      <c r="I112" s="366"/>
      <c r="J112" s="366"/>
      <c r="K112" s="366"/>
      <c r="L112" s="366"/>
      <c r="M112" s="366"/>
      <c r="N112" s="366"/>
      <c r="O112" s="366"/>
      <c r="P112" s="366"/>
      <c r="Q112" s="366"/>
      <c r="R112" s="366"/>
      <c r="S112" s="366"/>
      <c r="T112" s="366"/>
      <c r="U112" s="366"/>
      <c r="V112" s="366"/>
      <c r="W112" s="366"/>
      <c r="X112" s="366"/>
      <c r="Y112" s="366"/>
      <c r="Z112" s="366"/>
      <c r="AA112" s="366"/>
      <c r="AB112" s="366"/>
      <c r="AC112" s="366"/>
      <c r="AD112" s="366"/>
      <c r="AE112" s="366"/>
      <c r="AF112" s="366"/>
      <c r="AG112" s="366"/>
      <c r="AH112" s="366"/>
    </row>
    <row r="113" spans="1:34" ht="27" customHeight="1" x14ac:dyDescent="0.5">
      <c r="A113" s="366"/>
      <c r="B113" s="366"/>
      <c r="C113" s="366"/>
      <c r="D113" s="366"/>
      <c r="E113" s="366"/>
      <c r="F113" s="366"/>
      <c r="G113" s="366"/>
      <c r="H113" s="366"/>
      <c r="I113" s="366"/>
      <c r="J113" s="366"/>
      <c r="K113" s="366"/>
      <c r="L113" s="366"/>
      <c r="M113" s="366"/>
      <c r="N113" s="366"/>
      <c r="O113" s="366"/>
      <c r="P113" s="366"/>
      <c r="Q113" s="366"/>
      <c r="R113" s="366"/>
      <c r="S113" s="366"/>
      <c r="T113" s="366"/>
      <c r="U113" s="366"/>
      <c r="V113" s="366"/>
      <c r="W113" s="366"/>
      <c r="X113" s="366"/>
      <c r="Y113" s="366"/>
      <c r="Z113" s="366"/>
      <c r="AA113" s="366"/>
      <c r="AB113" s="366"/>
      <c r="AC113" s="366"/>
      <c r="AD113" s="366"/>
      <c r="AE113" s="366"/>
      <c r="AF113" s="366"/>
      <c r="AG113" s="366"/>
      <c r="AH113" s="366"/>
    </row>
    <row r="114" spans="1:34" ht="27" customHeight="1" x14ac:dyDescent="0.5">
      <c r="A114" s="366"/>
      <c r="B114" s="366"/>
      <c r="C114" s="366"/>
      <c r="D114" s="366"/>
      <c r="E114" s="366"/>
      <c r="F114" s="366"/>
      <c r="G114" s="366"/>
      <c r="H114" s="366"/>
      <c r="I114" s="366"/>
      <c r="J114" s="366"/>
      <c r="K114" s="366"/>
      <c r="L114" s="366"/>
      <c r="M114" s="366"/>
      <c r="N114" s="366"/>
      <c r="O114" s="366"/>
      <c r="P114" s="366"/>
      <c r="Q114" s="366"/>
      <c r="R114" s="366"/>
      <c r="S114" s="366"/>
      <c r="T114" s="366"/>
      <c r="U114" s="366"/>
      <c r="V114" s="366"/>
      <c r="W114" s="366"/>
      <c r="X114" s="366"/>
      <c r="Y114" s="366"/>
      <c r="Z114" s="366"/>
      <c r="AA114" s="366"/>
      <c r="AB114" s="366"/>
      <c r="AC114" s="366"/>
      <c r="AD114" s="366"/>
      <c r="AE114" s="366"/>
      <c r="AF114" s="366"/>
      <c r="AG114" s="366"/>
      <c r="AH114" s="366"/>
    </row>
    <row r="115" spans="1:34" ht="27" customHeight="1" x14ac:dyDescent="0.5">
      <c r="A115" s="366"/>
      <c r="B115" s="366"/>
      <c r="C115" s="366"/>
      <c r="D115" s="366"/>
      <c r="E115" s="366"/>
      <c r="F115" s="366"/>
      <c r="G115" s="366"/>
      <c r="H115" s="366"/>
      <c r="I115" s="366"/>
      <c r="J115" s="366"/>
      <c r="K115" s="366"/>
      <c r="L115" s="366"/>
      <c r="M115" s="366"/>
      <c r="N115" s="366"/>
      <c r="O115" s="366"/>
      <c r="P115" s="366"/>
      <c r="Q115" s="366"/>
      <c r="R115" s="366"/>
      <c r="S115" s="366"/>
      <c r="T115" s="366"/>
      <c r="U115" s="366"/>
      <c r="V115" s="366"/>
      <c r="W115" s="366"/>
      <c r="X115" s="366"/>
      <c r="Y115" s="366"/>
      <c r="Z115" s="366"/>
      <c r="AA115" s="366"/>
      <c r="AB115" s="366"/>
      <c r="AC115" s="366"/>
      <c r="AD115" s="366"/>
      <c r="AE115" s="366"/>
      <c r="AF115" s="366"/>
      <c r="AG115" s="366"/>
      <c r="AH115" s="366"/>
    </row>
    <row r="116" spans="1:34" ht="27" customHeight="1" x14ac:dyDescent="0.5">
      <c r="A116" s="366"/>
      <c r="B116" s="366"/>
      <c r="C116" s="366"/>
      <c r="D116" s="366"/>
      <c r="E116" s="366"/>
      <c r="F116" s="366"/>
      <c r="G116" s="366"/>
      <c r="H116" s="366"/>
      <c r="I116" s="366"/>
      <c r="J116" s="366"/>
      <c r="K116" s="366"/>
      <c r="L116" s="366"/>
      <c r="M116" s="366"/>
      <c r="N116" s="366"/>
      <c r="O116" s="366"/>
      <c r="P116" s="366"/>
      <c r="Q116" s="366"/>
      <c r="R116" s="366"/>
      <c r="S116" s="366"/>
      <c r="T116" s="366"/>
      <c r="U116" s="366"/>
      <c r="V116" s="366"/>
      <c r="W116" s="366"/>
      <c r="X116" s="366"/>
      <c r="Y116" s="366"/>
      <c r="Z116" s="366"/>
      <c r="AA116" s="366"/>
      <c r="AB116" s="366"/>
      <c r="AC116" s="366"/>
      <c r="AD116" s="366"/>
      <c r="AE116" s="366"/>
      <c r="AF116" s="366"/>
      <c r="AG116" s="366"/>
      <c r="AH116" s="366"/>
    </row>
    <row r="117" spans="1:34" ht="27" customHeight="1" x14ac:dyDescent="0.5">
      <c r="A117" s="366"/>
      <c r="B117" s="366"/>
      <c r="C117" s="366"/>
      <c r="D117" s="366"/>
      <c r="E117" s="366"/>
      <c r="F117" s="366"/>
      <c r="G117" s="366"/>
      <c r="H117" s="366"/>
      <c r="I117" s="366"/>
      <c r="J117" s="366"/>
      <c r="K117" s="366"/>
      <c r="L117" s="366"/>
      <c r="M117" s="366"/>
      <c r="N117" s="366"/>
      <c r="O117" s="366"/>
      <c r="P117" s="366"/>
      <c r="Q117" s="366"/>
      <c r="R117" s="366"/>
      <c r="S117" s="366"/>
      <c r="T117" s="366"/>
      <c r="U117" s="366"/>
      <c r="V117" s="366"/>
      <c r="W117" s="366"/>
      <c r="X117" s="366"/>
      <c r="Y117" s="366"/>
      <c r="Z117" s="366"/>
      <c r="AA117" s="366"/>
      <c r="AB117" s="366"/>
      <c r="AC117" s="366"/>
      <c r="AD117" s="366"/>
      <c r="AE117" s="366"/>
      <c r="AF117" s="366"/>
      <c r="AG117" s="366"/>
      <c r="AH117" s="366"/>
    </row>
    <row r="118" spans="1:34" ht="27" customHeight="1" x14ac:dyDescent="0.5">
      <c r="A118" s="366"/>
      <c r="B118" s="366"/>
      <c r="C118" s="366"/>
      <c r="D118" s="366"/>
      <c r="E118" s="366"/>
      <c r="F118" s="366"/>
      <c r="G118" s="366"/>
      <c r="H118" s="366"/>
      <c r="I118" s="366"/>
      <c r="J118" s="366"/>
      <c r="K118" s="366"/>
      <c r="L118" s="366"/>
      <c r="M118" s="366"/>
      <c r="N118" s="366"/>
      <c r="O118" s="366"/>
      <c r="P118" s="366"/>
      <c r="Q118" s="366"/>
      <c r="R118" s="366"/>
      <c r="S118" s="366"/>
      <c r="T118" s="366"/>
      <c r="U118" s="366"/>
      <c r="V118" s="366"/>
      <c r="W118" s="366"/>
      <c r="X118" s="366"/>
      <c r="Y118" s="366"/>
      <c r="Z118" s="366"/>
      <c r="AA118" s="366"/>
      <c r="AB118" s="366"/>
      <c r="AC118" s="366"/>
      <c r="AD118" s="366"/>
      <c r="AE118" s="366"/>
      <c r="AF118" s="366"/>
      <c r="AG118" s="366"/>
      <c r="AH118" s="366"/>
    </row>
    <row r="119" spans="1:34" ht="27" customHeight="1" x14ac:dyDescent="0.5">
      <c r="A119" s="366"/>
      <c r="B119" s="366"/>
      <c r="C119" s="366"/>
      <c r="D119" s="366"/>
      <c r="E119" s="366"/>
      <c r="F119" s="366"/>
      <c r="G119" s="366"/>
      <c r="H119" s="366"/>
      <c r="I119" s="366"/>
      <c r="J119" s="366"/>
      <c r="K119" s="366"/>
      <c r="L119" s="366"/>
      <c r="M119" s="366"/>
      <c r="N119" s="366"/>
      <c r="O119" s="366"/>
      <c r="P119" s="366"/>
      <c r="Q119" s="366"/>
      <c r="R119" s="366"/>
      <c r="S119" s="366"/>
      <c r="T119" s="366"/>
      <c r="U119" s="366"/>
      <c r="V119" s="366"/>
      <c r="W119" s="366"/>
      <c r="X119" s="366"/>
      <c r="Y119" s="366"/>
      <c r="Z119" s="366"/>
      <c r="AA119" s="366"/>
      <c r="AB119" s="366"/>
      <c r="AC119" s="366"/>
      <c r="AD119" s="366"/>
      <c r="AE119" s="366"/>
      <c r="AF119" s="366"/>
      <c r="AG119" s="366"/>
      <c r="AH119" s="366"/>
    </row>
    <row r="120" spans="1:34" ht="27" customHeight="1" x14ac:dyDescent="0.5">
      <c r="A120" s="366"/>
      <c r="B120" s="366"/>
      <c r="C120" s="366"/>
      <c r="D120" s="366"/>
      <c r="E120" s="366"/>
      <c r="F120" s="366"/>
      <c r="G120" s="366"/>
      <c r="H120" s="366"/>
      <c r="I120" s="366"/>
      <c r="J120" s="366"/>
      <c r="K120" s="366"/>
      <c r="L120" s="366"/>
      <c r="M120" s="366"/>
      <c r="N120" s="366"/>
      <c r="O120" s="366"/>
      <c r="P120" s="366"/>
      <c r="Q120" s="366"/>
      <c r="R120" s="366"/>
      <c r="S120" s="366"/>
      <c r="T120" s="366"/>
      <c r="U120" s="366"/>
      <c r="V120" s="366"/>
      <c r="W120" s="366"/>
      <c r="X120" s="366"/>
      <c r="Y120" s="366"/>
      <c r="Z120" s="366"/>
      <c r="AA120" s="366"/>
      <c r="AB120" s="366"/>
      <c r="AC120" s="366"/>
      <c r="AD120" s="366"/>
      <c r="AE120" s="366"/>
      <c r="AF120" s="366"/>
      <c r="AG120" s="366"/>
      <c r="AH120" s="366"/>
    </row>
    <row r="121" spans="1:34" ht="27" customHeight="1" x14ac:dyDescent="0.5">
      <c r="A121" s="366"/>
      <c r="B121" s="366"/>
      <c r="C121" s="366"/>
      <c r="D121" s="366"/>
      <c r="E121" s="366"/>
      <c r="F121" s="366"/>
      <c r="G121" s="366"/>
      <c r="H121" s="366"/>
      <c r="I121" s="366"/>
      <c r="J121" s="366"/>
      <c r="K121" s="366"/>
      <c r="L121" s="366"/>
      <c r="M121" s="366"/>
      <c r="N121" s="366"/>
      <c r="O121" s="366"/>
      <c r="P121" s="366"/>
      <c r="Q121" s="366"/>
      <c r="R121" s="366"/>
      <c r="S121" s="366"/>
      <c r="T121" s="366"/>
      <c r="U121" s="366"/>
      <c r="V121" s="366"/>
      <c r="W121" s="366"/>
      <c r="X121" s="366"/>
      <c r="Y121" s="366"/>
      <c r="Z121" s="366"/>
      <c r="AA121" s="366"/>
      <c r="AB121" s="366"/>
      <c r="AC121" s="366"/>
      <c r="AD121" s="366"/>
      <c r="AE121" s="366"/>
      <c r="AF121" s="366"/>
      <c r="AG121" s="366"/>
      <c r="AH121" s="366"/>
    </row>
    <row r="122" spans="1:34" ht="27" customHeight="1" x14ac:dyDescent="0.5">
      <c r="A122" s="366"/>
      <c r="B122" s="366"/>
      <c r="C122" s="366"/>
      <c r="D122" s="366"/>
      <c r="E122" s="366"/>
      <c r="F122" s="366"/>
      <c r="G122" s="366"/>
      <c r="H122" s="366"/>
      <c r="I122" s="366"/>
      <c r="J122" s="366"/>
      <c r="K122" s="366"/>
      <c r="L122" s="366"/>
      <c r="M122" s="366"/>
      <c r="N122" s="366"/>
      <c r="O122" s="366"/>
      <c r="P122" s="366"/>
      <c r="Q122" s="366"/>
      <c r="R122" s="366"/>
      <c r="S122" s="366"/>
      <c r="T122" s="366"/>
      <c r="U122" s="366"/>
      <c r="V122" s="366"/>
      <c r="W122" s="366"/>
      <c r="X122" s="366"/>
      <c r="Y122" s="366"/>
      <c r="Z122" s="366"/>
      <c r="AA122" s="366"/>
      <c r="AB122" s="366"/>
      <c r="AC122" s="366"/>
      <c r="AD122" s="366"/>
      <c r="AE122" s="366"/>
      <c r="AF122" s="366"/>
      <c r="AG122" s="366"/>
      <c r="AH122" s="366"/>
    </row>
    <row r="123" spans="1:34" ht="27" customHeight="1" x14ac:dyDescent="0.5">
      <c r="A123" s="366"/>
      <c r="B123" s="366"/>
      <c r="C123" s="366"/>
      <c r="D123" s="366"/>
      <c r="E123" s="366"/>
      <c r="F123" s="366"/>
      <c r="G123" s="366"/>
      <c r="H123" s="366"/>
      <c r="I123" s="366"/>
      <c r="J123" s="366"/>
      <c r="K123" s="366"/>
      <c r="L123" s="366"/>
      <c r="M123" s="366"/>
      <c r="N123" s="366"/>
      <c r="O123" s="366"/>
      <c r="P123" s="366"/>
      <c r="Q123" s="366"/>
      <c r="R123" s="366"/>
      <c r="S123" s="366"/>
      <c r="T123" s="366"/>
      <c r="U123" s="366"/>
      <c r="V123" s="366"/>
      <c r="W123" s="366"/>
      <c r="X123" s="366"/>
      <c r="Y123" s="366"/>
      <c r="Z123" s="366"/>
      <c r="AA123" s="366"/>
      <c r="AB123" s="366"/>
      <c r="AC123" s="366"/>
      <c r="AD123" s="366"/>
      <c r="AE123" s="366"/>
      <c r="AF123" s="366"/>
      <c r="AG123" s="366"/>
      <c r="AH123" s="366"/>
    </row>
    <row r="124" spans="1:34" ht="27" customHeight="1" x14ac:dyDescent="0.5">
      <c r="A124" s="366"/>
      <c r="B124" s="366"/>
      <c r="C124" s="366"/>
      <c r="D124" s="366"/>
      <c r="E124" s="366"/>
      <c r="F124" s="366"/>
      <c r="G124" s="366"/>
      <c r="H124" s="366"/>
      <c r="I124" s="366"/>
      <c r="J124" s="366"/>
      <c r="K124" s="366"/>
      <c r="L124" s="366"/>
      <c r="M124" s="366"/>
      <c r="N124" s="366"/>
      <c r="O124" s="366"/>
      <c r="P124" s="366"/>
      <c r="Q124" s="366"/>
      <c r="R124" s="366"/>
      <c r="S124" s="366"/>
      <c r="T124" s="366"/>
      <c r="U124" s="366"/>
      <c r="V124" s="366"/>
      <c r="W124" s="366"/>
      <c r="X124" s="366"/>
      <c r="Y124" s="366"/>
      <c r="Z124" s="366"/>
      <c r="AA124" s="366"/>
      <c r="AB124" s="366"/>
      <c r="AC124" s="366"/>
      <c r="AD124" s="366"/>
      <c r="AE124" s="366"/>
      <c r="AF124" s="366"/>
      <c r="AG124" s="366"/>
      <c r="AH124" s="366"/>
    </row>
    <row r="125" spans="1:34" ht="27" customHeight="1" x14ac:dyDescent="0.5">
      <c r="A125" s="366"/>
      <c r="B125" s="366"/>
      <c r="C125" s="366"/>
      <c r="D125" s="366"/>
      <c r="E125" s="366"/>
      <c r="F125" s="366"/>
      <c r="G125" s="366"/>
      <c r="H125" s="366"/>
      <c r="I125" s="366"/>
      <c r="J125" s="366"/>
      <c r="K125" s="366"/>
      <c r="L125" s="366"/>
      <c r="M125" s="366"/>
      <c r="N125" s="366"/>
      <c r="O125" s="366"/>
      <c r="P125" s="366"/>
      <c r="Q125" s="366"/>
      <c r="R125" s="366"/>
      <c r="S125" s="366"/>
      <c r="T125" s="366"/>
      <c r="U125" s="366"/>
      <c r="V125" s="366"/>
      <c r="W125" s="366"/>
      <c r="X125" s="366"/>
      <c r="Y125" s="366"/>
      <c r="Z125" s="366"/>
      <c r="AA125" s="366"/>
      <c r="AB125" s="366"/>
      <c r="AC125" s="366"/>
      <c r="AD125" s="366"/>
      <c r="AE125" s="366"/>
      <c r="AF125" s="366"/>
      <c r="AG125" s="366"/>
      <c r="AH125" s="366"/>
    </row>
    <row r="126" spans="1:34" ht="27" customHeight="1" x14ac:dyDescent="0.5">
      <c r="A126" s="366"/>
      <c r="B126" s="366"/>
      <c r="C126" s="366"/>
      <c r="D126" s="366"/>
      <c r="E126" s="366"/>
      <c r="F126" s="366"/>
      <c r="G126" s="366"/>
      <c r="H126" s="366"/>
      <c r="I126" s="366"/>
      <c r="J126" s="366"/>
      <c r="K126" s="366"/>
      <c r="L126" s="366"/>
      <c r="M126" s="366"/>
      <c r="N126" s="366"/>
      <c r="O126" s="366"/>
      <c r="P126" s="366"/>
      <c r="Q126" s="366"/>
      <c r="R126" s="366"/>
      <c r="S126" s="366"/>
      <c r="T126" s="366"/>
      <c r="U126" s="366"/>
      <c r="V126" s="366"/>
      <c r="W126" s="366"/>
      <c r="X126" s="366"/>
      <c r="Y126" s="366"/>
      <c r="Z126" s="366"/>
      <c r="AA126" s="366"/>
      <c r="AB126" s="366"/>
      <c r="AC126" s="366"/>
      <c r="AD126" s="366"/>
      <c r="AE126" s="366"/>
      <c r="AF126" s="366"/>
      <c r="AG126" s="366"/>
      <c r="AH126" s="366"/>
    </row>
    <row r="127" spans="1:34" ht="27" customHeight="1" x14ac:dyDescent="0.5">
      <c r="A127" s="366"/>
      <c r="B127" s="366"/>
      <c r="C127" s="366"/>
      <c r="D127" s="366"/>
      <c r="E127" s="366"/>
      <c r="F127" s="366"/>
      <c r="G127" s="366"/>
      <c r="H127" s="366"/>
      <c r="I127" s="366"/>
      <c r="J127" s="366"/>
      <c r="K127" s="366"/>
      <c r="L127" s="366"/>
      <c r="M127" s="366"/>
      <c r="N127" s="366"/>
      <c r="O127" s="366"/>
      <c r="P127" s="366"/>
      <c r="Q127" s="366"/>
      <c r="R127" s="366"/>
      <c r="S127" s="366"/>
      <c r="T127" s="366"/>
      <c r="U127" s="366"/>
      <c r="V127" s="366"/>
      <c r="W127" s="366"/>
      <c r="X127" s="366"/>
      <c r="Y127" s="366"/>
      <c r="Z127" s="366"/>
      <c r="AA127" s="366"/>
      <c r="AB127" s="366"/>
      <c r="AC127" s="366"/>
      <c r="AD127" s="366"/>
      <c r="AE127" s="366"/>
      <c r="AF127" s="366"/>
      <c r="AG127" s="366"/>
      <c r="AH127" s="366"/>
    </row>
    <row r="128" spans="1:34" ht="27" customHeight="1" x14ac:dyDescent="0.5">
      <c r="A128" s="366"/>
      <c r="B128" s="366"/>
      <c r="C128" s="366"/>
      <c r="D128" s="366"/>
      <c r="E128" s="366"/>
      <c r="F128" s="366"/>
      <c r="G128" s="366"/>
      <c r="H128" s="366"/>
      <c r="I128" s="366"/>
      <c r="J128" s="366"/>
      <c r="K128" s="366"/>
      <c r="L128" s="366"/>
      <c r="M128" s="366"/>
      <c r="N128" s="366"/>
      <c r="O128" s="366"/>
      <c r="P128" s="366"/>
      <c r="Q128" s="366"/>
      <c r="R128" s="366"/>
      <c r="S128" s="366"/>
      <c r="T128" s="366"/>
      <c r="U128" s="366"/>
      <c r="V128" s="366"/>
      <c r="W128" s="366"/>
      <c r="X128" s="366"/>
      <c r="Y128" s="366"/>
      <c r="Z128" s="366"/>
      <c r="AA128" s="366"/>
      <c r="AB128" s="366"/>
      <c r="AC128" s="366"/>
      <c r="AD128" s="366"/>
      <c r="AE128" s="366"/>
      <c r="AF128" s="366"/>
      <c r="AG128" s="366"/>
      <c r="AH128" s="366"/>
    </row>
    <row r="129" spans="1:34" ht="27" customHeight="1" x14ac:dyDescent="0.5">
      <c r="A129" s="366"/>
      <c r="B129" s="366"/>
      <c r="C129" s="366"/>
      <c r="D129" s="366"/>
      <c r="E129" s="366"/>
      <c r="F129" s="366"/>
      <c r="G129" s="366"/>
      <c r="H129" s="366"/>
      <c r="I129" s="366"/>
      <c r="J129" s="366"/>
      <c r="K129" s="366"/>
      <c r="L129" s="366"/>
      <c r="M129" s="366"/>
      <c r="N129" s="366"/>
      <c r="O129" s="366"/>
      <c r="P129" s="366"/>
      <c r="Q129" s="366"/>
      <c r="R129" s="366"/>
      <c r="S129" s="366"/>
      <c r="T129" s="366"/>
      <c r="U129" s="366"/>
      <c r="V129" s="366"/>
      <c r="W129" s="366"/>
      <c r="X129" s="366"/>
      <c r="Y129" s="366"/>
      <c r="Z129" s="366"/>
      <c r="AA129" s="366"/>
      <c r="AB129" s="366"/>
      <c r="AC129" s="366"/>
      <c r="AD129" s="366"/>
      <c r="AE129" s="366"/>
      <c r="AF129" s="366"/>
      <c r="AG129" s="366"/>
      <c r="AH129" s="366"/>
    </row>
    <row r="130" spans="1:34" ht="27" customHeight="1" x14ac:dyDescent="0.5">
      <c r="A130" s="366"/>
      <c r="B130" s="366"/>
      <c r="C130" s="366"/>
      <c r="D130" s="366"/>
      <c r="E130" s="366"/>
      <c r="F130" s="366"/>
      <c r="G130" s="366"/>
      <c r="H130" s="366"/>
      <c r="I130" s="366"/>
      <c r="J130" s="366"/>
      <c r="K130" s="366"/>
      <c r="L130" s="366"/>
      <c r="M130" s="366"/>
      <c r="N130" s="366"/>
      <c r="O130" s="366"/>
      <c r="P130" s="366"/>
      <c r="Q130" s="366"/>
      <c r="R130" s="366"/>
      <c r="S130" s="366"/>
      <c r="T130" s="366"/>
      <c r="U130" s="366"/>
      <c r="V130" s="366"/>
      <c r="W130" s="366"/>
      <c r="X130" s="366"/>
      <c r="Y130" s="366"/>
      <c r="Z130" s="366"/>
      <c r="AA130" s="366"/>
      <c r="AB130" s="366"/>
      <c r="AC130" s="366"/>
      <c r="AD130" s="366"/>
      <c r="AE130" s="366"/>
      <c r="AF130" s="366"/>
      <c r="AG130" s="366"/>
      <c r="AH130" s="366"/>
    </row>
    <row r="131" spans="1:34" ht="27" customHeight="1" x14ac:dyDescent="0.5">
      <c r="A131" s="366"/>
      <c r="B131" s="366"/>
      <c r="C131" s="366"/>
      <c r="D131" s="366"/>
      <c r="E131" s="366"/>
      <c r="F131" s="366"/>
      <c r="G131" s="366"/>
      <c r="H131" s="366"/>
      <c r="I131" s="366"/>
      <c r="J131" s="366"/>
      <c r="K131" s="366"/>
      <c r="L131" s="366"/>
      <c r="M131" s="366"/>
      <c r="N131" s="366"/>
      <c r="O131" s="366"/>
      <c r="P131" s="366"/>
      <c r="Q131" s="366"/>
      <c r="R131" s="366"/>
      <c r="S131" s="366"/>
      <c r="T131" s="366"/>
      <c r="U131" s="366"/>
      <c r="V131" s="366"/>
      <c r="W131" s="366"/>
      <c r="X131" s="366"/>
      <c r="Y131" s="366"/>
      <c r="Z131" s="366"/>
      <c r="AA131" s="366"/>
      <c r="AB131" s="366"/>
      <c r="AC131" s="366"/>
      <c r="AD131" s="366"/>
      <c r="AE131" s="366"/>
      <c r="AF131" s="366"/>
      <c r="AG131" s="366"/>
      <c r="AH131" s="366"/>
    </row>
    <row r="132" spans="1:34" ht="27" customHeight="1" x14ac:dyDescent="0.5">
      <c r="A132" s="366"/>
      <c r="B132" s="366"/>
      <c r="C132" s="366"/>
      <c r="D132" s="366"/>
      <c r="E132" s="366"/>
      <c r="F132" s="366"/>
      <c r="G132" s="366"/>
      <c r="H132" s="366"/>
      <c r="I132" s="366"/>
      <c r="J132" s="366"/>
      <c r="K132" s="366"/>
      <c r="L132" s="366"/>
      <c r="M132" s="366"/>
      <c r="N132" s="366"/>
      <c r="O132" s="366"/>
      <c r="P132" s="366"/>
      <c r="Q132" s="366"/>
      <c r="R132" s="366"/>
      <c r="S132" s="366"/>
      <c r="T132" s="366"/>
      <c r="U132" s="366"/>
      <c r="V132" s="366"/>
      <c r="W132" s="366"/>
      <c r="X132" s="366"/>
      <c r="Y132" s="366"/>
      <c r="Z132" s="366"/>
      <c r="AA132" s="366"/>
      <c r="AB132" s="366"/>
      <c r="AC132" s="366"/>
      <c r="AD132" s="366"/>
      <c r="AE132" s="366"/>
      <c r="AF132" s="366"/>
      <c r="AG132" s="366"/>
      <c r="AH132" s="366"/>
    </row>
    <row r="133" spans="1:34" ht="27" customHeight="1" x14ac:dyDescent="0.5">
      <c r="A133" s="366"/>
      <c r="B133" s="366"/>
      <c r="C133" s="366"/>
      <c r="D133" s="366"/>
      <c r="E133" s="366"/>
      <c r="F133" s="366"/>
      <c r="G133" s="366"/>
      <c r="H133" s="366"/>
      <c r="I133" s="366"/>
      <c r="J133" s="366"/>
      <c r="K133" s="366"/>
      <c r="L133" s="366"/>
      <c r="M133" s="366"/>
      <c r="N133" s="366"/>
      <c r="O133" s="366"/>
      <c r="P133" s="366"/>
      <c r="Q133" s="366"/>
      <c r="R133" s="366"/>
      <c r="S133" s="366"/>
      <c r="T133" s="366"/>
      <c r="U133" s="366"/>
      <c r="V133" s="366"/>
      <c r="W133" s="366"/>
      <c r="X133" s="366"/>
      <c r="Y133" s="366"/>
      <c r="Z133" s="366"/>
      <c r="AA133" s="366"/>
      <c r="AB133" s="366"/>
      <c r="AC133" s="366"/>
      <c r="AD133" s="366"/>
      <c r="AE133" s="366"/>
      <c r="AF133" s="366"/>
      <c r="AG133" s="366"/>
      <c r="AH133" s="366"/>
    </row>
    <row r="134" spans="1:34" ht="27" customHeight="1" x14ac:dyDescent="0.5">
      <c r="A134" s="366"/>
      <c r="B134" s="366"/>
      <c r="C134" s="366"/>
      <c r="D134" s="366"/>
      <c r="E134" s="366"/>
      <c r="F134" s="366"/>
      <c r="G134" s="366"/>
      <c r="H134" s="366"/>
      <c r="I134" s="366"/>
      <c r="J134" s="366"/>
      <c r="K134" s="366"/>
      <c r="L134" s="366"/>
      <c r="M134" s="366"/>
      <c r="N134" s="366"/>
      <c r="O134" s="366"/>
      <c r="P134" s="366"/>
      <c r="Q134" s="366"/>
      <c r="R134" s="366"/>
      <c r="S134" s="366"/>
      <c r="T134" s="366"/>
      <c r="U134" s="366"/>
      <c r="V134" s="366"/>
      <c r="W134" s="366"/>
      <c r="X134" s="366"/>
      <c r="Y134" s="366"/>
      <c r="Z134" s="366"/>
      <c r="AA134" s="366"/>
      <c r="AB134" s="366"/>
      <c r="AC134" s="366"/>
      <c r="AD134" s="366"/>
      <c r="AE134" s="366"/>
      <c r="AF134" s="366"/>
      <c r="AG134" s="366"/>
      <c r="AH134" s="366"/>
    </row>
    <row r="135" spans="1:34" ht="27" customHeight="1" x14ac:dyDescent="0.5">
      <c r="A135" s="366"/>
      <c r="B135" s="366"/>
      <c r="C135" s="366"/>
      <c r="D135" s="366"/>
      <c r="E135" s="366"/>
      <c r="F135" s="366"/>
      <c r="G135" s="366"/>
      <c r="H135" s="366"/>
      <c r="I135" s="366"/>
      <c r="J135" s="366"/>
      <c r="K135" s="366"/>
      <c r="L135" s="366"/>
      <c r="M135" s="366"/>
      <c r="N135" s="366"/>
      <c r="O135" s="366"/>
      <c r="P135" s="366"/>
      <c r="Q135" s="366"/>
      <c r="R135" s="366"/>
      <c r="S135" s="366"/>
      <c r="T135" s="366"/>
      <c r="U135" s="366"/>
      <c r="V135" s="366"/>
      <c r="W135" s="366"/>
      <c r="X135" s="366"/>
      <c r="Y135" s="366"/>
      <c r="Z135" s="366"/>
      <c r="AA135" s="366"/>
      <c r="AB135" s="366"/>
      <c r="AC135" s="366"/>
      <c r="AD135" s="366"/>
      <c r="AE135" s="366"/>
      <c r="AF135" s="366"/>
      <c r="AG135" s="366"/>
      <c r="AH135" s="366"/>
    </row>
    <row r="136" spans="1:34" ht="27" customHeight="1" x14ac:dyDescent="0.5">
      <c r="A136" s="366"/>
      <c r="B136" s="366"/>
      <c r="C136" s="366"/>
      <c r="D136" s="366"/>
      <c r="E136" s="366"/>
      <c r="F136" s="366"/>
      <c r="G136" s="366"/>
      <c r="H136" s="366"/>
      <c r="I136" s="366"/>
      <c r="J136" s="366"/>
      <c r="K136" s="366"/>
      <c r="L136" s="366"/>
      <c r="M136" s="366"/>
      <c r="N136" s="366"/>
      <c r="O136" s="366"/>
      <c r="P136" s="366"/>
      <c r="Q136" s="366"/>
      <c r="R136" s="366"/>
      <c r="S136" s="366"/>
      <c r="T136" s="366"/>
      <c r="U136" s="366"/>
      <c r="V136" s="366"/>
      <c r="W136" s="366"/>
      <c r="X136" s="366"/>
      <c r="Y136" s="366"/>
      <c r="Z136" s="366"/>
      <c r="AA136" s="366"/>
      <c r="AB136" s="366"/>
      <c r="AC136" s="366"/>
      <c r="AD136" s="366"/>
      <c r="AE136" s="366"/>
      <c r="AF136" s="366"/>
      <c r="AG136" s="366"/>
      <c r="AH136" s="366"/>
    </row>
    <row r="137" spans="1:34" ht="27" customHeight="1" x14ac:dyDescent="0.5">
      <c r="A137" s="366"/>
      <c r="B137" s="366"/>
      <c r="C137" s="366"/>
      <c r="D137" s="366"/>
      <c r="E137" s="366"/>
      <c r="F137" s="366"/>
      <c r="G137" s="366"/>
      <c r="H137" s="366"/>
      <c r="I137" s="366"/>
      <c r="J137" s="366"/>
      <c r="K137" s="366"/>
      <c r="L137" s="366"/>
      <c r="M137" s="366"/>
      <c r="N137" s="366"/>
      <c r="O137" s="366"/>
      <c r="P137" s="366"/>
      <c r="Q137" s="366"/>
      <c r="R137" s="366"/>
      <c r="S137" s="366"/>
      <c r="T137" s="366"/>
      <c r="U137" s="366"/>
      <c r="V137" s="366"/>
      <c r="W137" s="366"/>
      <c r="X137" s="366"/>
      <c r="Y137" s="366"/>
      <c r="Z137" s="366"/>
      <c r="AA137" s="366"/>
      <c r="AB137" s="366"/>
      <c r="AC137" s="366"/>
      <c r="AD137" s="366"/>
      <c r="AE137" s="366"/>
      <c r="AF137" s="366"/>
      <c r="AG137" s="366"/>
      <c r="AH137" s="366"/>
    </row>
    <row r="138" spans="1:34" ht="27" customHeight="1" x14ac:dyDescent="0.5">
      <c r="A138" s="366"/>
      <c r="B138" s="366"/>
      <c r="C138" s="366"/>
      <c r="D138" s="366"/>
      <c r="E138" s="366"/>
      <c r="F138" s="366"/>
      <c r="G138" s="366"/>
      <c r="H138" s="366"/>
      <c r="I138" s="366"/>
      <c r="J138" s="366"/>
      <c r="K138" s="366"/>
      <c r="L138" s="366"/>
      <c r="M138" s="366"/>
      <c r="N138" s="366"/>
      <c r="O138" s="366"/>
      <c r="P138" s="366"/>
      <c r="Q138" s="366"/>
      <c r="R138" s="366"/>
      <c r="S138" s="366"/>
      <c r="T138" s="366"/>
      <c r="U138" s="366"/>
      <c r="V138" s="366"/>
      <c r="W138" s="366"/>
      <c r="X138" s="366"/>
      <c r="Y138" s="366"/>
      <c r="Z138" s="366"/>
      <c r="AA138" s="366"/>
      <c r="AB138" s="366"/>
      <c r="AC138" s="366"/>
      <c r="AD138" s="366"/>
      <c r="AE138" s="366"/>
      <c r="AF138" s="366"/>
      <c r="AG138" s="366"/>
      <c r="AH138" s="366"/>
    </row>
    <row r="139" spans="1:34" ht="27" customHeight="1" x14ac:dyDescent="0.5">
      <c r="A139" s="366"/>
      <c r="B139" s="366"/>
      <c r="C139" s="366"/>
      <c r="D139" s="366"/>
      <c r="E139" s="366"/>
      <c r="F139" s="366"/>
      <c r="G139" s="366"/>
      <c r="H139" s="366"/>
      <c r="I139" s="366"/>
      <c r="J139" s="366"/>
      <c r="K139" s="366"/>
      <c r="L139" s="366"/>
      <c r="M139" s="366"/>
      <c r="N139" s="366"/>
      <c r="O139" s="366"/>
      <c r="P139" s="366"/>
      <c r="Q139" s="366"/>
      <c r="R139" s="366"/>
      <c r="S139" s="366"/>
      <c r="T139" s="366"/>
      <c r="U139" s="366"/>
      <c r="V139" s="366"/>
      <c r="W139" s="366"/>
      <c r="X139" s="366"/>
      <c r="Y139" s="366"/>
      <c r="Z139" s="366"/>
      <c r="AA139" s="366"/>
      <c r="AB139" s="366"/>
      <c r="AC139" s="366"/>
      <c r="AD139" s="366"/>
      <c r="AE139" s="366"/>
      <c r="AF139" s="366"/>
      <c r="AG139" s="366"/>
      <c r="AH139" s="366"/>
    </row>
    <row r="140" spans="1:34" ht="27" customHeight="1" x14ac:dyDescent="0.5">
      <c r="A140" s="366"/>
      <c r="B140" s="366"/>
      <c r="C140" s="366"/>
      <c r="D140" s="366"/>
      <c r="E140" s="366"/>
      <c r="F140" s="366"/>
      <c r="G140" s="366"/>
      <c r="H140" s="366"/>
      <c r="I140" s="366"/>
      <c r="J140" s="366"/>
      <c r="K140" s="366"/>
      <c r="L140" s="366"/>
      <c r="M140" s="366"/>
      <c r="N140" s="366"/>
      <c r="O140" s="366"/>
      <c r="P140" s="366"/>
      <c r="Q140" s="366"/>
      <c r="R140" s="366"/>
      <c r="S140" s="366"/>
      <c r="T140" s="366"/>
      <c r="U140" s="366"/>
      <c r="V140" s="366"/>
      <c r="W140" s="366"/>
      <c r="X140" s="366"/>
      <c r="Y140" s="366"/>
      <c r="Z140" s="366"/>
      <c r="AA140" s="366"/>
      <c r="AB140" s="366"/>
      <c r="AC140" s="366"/>
      <c r="AD140" s="366"/>
      <c r="AE140" s="366"/>
      <c r="AF140" s="366"/>
      <c r="AG140" s="366"/>
      <c r="AH140" s="366"/>
    </row>
    <row r="141" spans="1:34" ht="27" customHeight="1" x14ac:dyDescent="0.5">
      <c r="C141" s="366"/>
      <c r="D141" s="366"/>
      <c r="E141" s="366"/>
      <c r="F141" s="366"/>
      <c r="G141" s="366"/>
    </row>
  </sheetData>
  <sheetProtection algorithmName="SHA-512" hashValue="LI5V3YHSQiDj/tw/kgsuaX+3MDFY1OCK1dvqlfj8NGNu3NuDmxtzPJBRFnVVbaxUt4EoHiArNI83HoyOVFkY9g==" saltValue="WmnHgNK2iCj6QbACn3fa5Q==" spinCount="100000" sheet="1" objects="1" scenarios="1"/>
  <mergeCells count="5">
    <mergeCell ref="K27:N27"/>
    <mergeCell ref="C3:D4"/>
    <mergeCell ref="C5:G5"/>
    <mergeCell ref="J7:N11"/>
    <mergeCell ref="J6:N6"/>
  </mergeCells>
  <dataValidations count="1">
    <dataValidation allowBlank="1" showErrorMessage="1" sqref="D30:F30" xr:uid="{E5329E75-B241-484C-ABEB-3A74B84234D5}"/>
  </dataValidations>
  <pageMargins left="0.70866141732283472" right="0.31496062992125984" top="0.51181102362204722" bottom="0.35433070866141736" header="0.31496062992125984" footer="0.31496062992125984"/>
  <pageSetup paperSize="8" scale="60" fitToHeight="2" orientation="portrait" r:id="rId1"/>
  <customProperties>
    <customPr name="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ACEACF"/>
  </sheetPr>
  <dimension ref="A1:N146"/>
  <sheetViews>
    <sheetView topLeftCell="A7" zoomScale="80" zoomScaleNormal="80" workbookViewId="0">
      <selection activeCell="B23" sqref="B23"/>
    </sheetView>
  </sheetViews>
  <sheetFormatPr defaultColWidth="9.1796875" defaultRowHeight="13" x14ac:dyDescent="0.3"/>
  <cols>
    <col min="1" max="1" width="27.1796875" style="17" customWidth="1"/>
    <col min="2" max="3" width="27.81640625" style="24" customWidth="1"/>
    <col min="4" max="4" width="22.1796875" style="17" bestFit="1" customWidth="1"/>
    <col min="5" max="5" width="29.81640625" style="24" bestFit="1" customWidth="1"/>
    <col min="6" max="6" width="30.453125" style="24" bestFit="1" customWidth="1"/>
    <col min="7" max="7" width="43.1796875" style="24" customWidth="1"/>
    <col min="8" max="8" width="22.453125" style="24" customWidth="1"/>
    <col min="9" max="9" width="48" style="24" bestFit="1" customWidth="1"/>
    <col min="10" max="10" width="41.453125" style="24" bestFit="1" customWidth="1"/>
    <col min="11" max="11" width="17.453125" style="24" bestFit="1" customWidth="1"/>
    <col min="12" max="12" width="43.81640625" style="24" bestFit="1" customWidth="1"/>
    <col min="13" max="13" width="32.81640625" style="57" bestFit="1" customWidth="1"/>
    <col min="14" max="14" width="31.54296875" style="24" bestFit="1" customWidth="1"/>
    <col min="15" max="15" width="32.1796875" style="24" bestFit="1" customWidth="1"/>
    <col min="16" max="16" width="22.453125" style="24" bestFit="1" customWidth="1"/>
    <col min="17" max="17" width="24.1796875" style="24" bestFit="1" customWidth="1"/>
    <col min="18" max="18" width="24.453125" style="24" customWidth="1"/>
    <col min="19" max="19" width="31.453125" style="24" customWidth="1"/>
    <col min="20" max="16384" width="9.1796875" style="24"/>
  </cols>
  <sheetData>
    <row r="1" spans="1:14" x14ac:dyDescent="0.3">
      <c r="A1" s="56"/>
      <c r="B1" s="56"/>
    </row>
    <row r="2" spans="1:14" s="25" customFormat="1" ht="21" customHeight="1" x14ac:dyDescent="0.25">
      <c r="A2" s="58" t="s">
        <v>477</v>
      </c>
      <c r="B2" s="58" t="s">
        <v>478</v>
      </c>
      <c r="D2" s="59"/>
      <c r="E2" s="60"/>
      <c r="F2" s="60"/>
      <c r="G2" s="60"/>
      <c r="H2" s="60"/>
      <c r="K2" s="60" t="s">
        <v>479</v>
      </c>
      <c r="L2" s="60" t="s">
        <v>480</v>
      </c>
      <c r="M2" s="61" t="s">
        <v>481</v>
      </c>
      <c r="N2" s="60" t="s">
        <v>482</v>
      </c>
    </row>
    <row r="3" spans="1:14" ht="18.75" customHeight="1" x14ac:dyDescent="0.3">
      <c r="A3" s="24" t="s">
        <v>483</v>
      </c>
      <c r="B3" s="56" t="s">
        <v>484</v>
      </c>
      <c r="E3" s="57"/>
      <c r="K3" s="24" t="s">
        <v>71</v>
      </c>
      <c r="L3" s="24" t="s">
        <v>485</v>
      </c>
      <c r="M3" s="57">
        <f>'Project Compliance Tool'!D5</f>
        <v>0</v>
      </c>
      <c r="N3" s="24" t="str">
        <f>IF(ISERROR(VLOOKUP(M3,$K$3:$L$9,2,FALSE)),"",VLOOKUP(M3,$K$3:$L$9,2,FALSE))</f>
        <v/>
      </c>
    </row>
    <row r="4" spans="1:14" ht="18.75" customHeight="1" x14ac:dyDescent="0.3">
      <c r="A4" s="818" t="s">
        <v>396</v>
      </c>
      <c r="B4" s="56" t="s">
        <v>486</v>
      </c>
      <c r="E4" s="57"/>
      <c r="K4" s="24" t="s">
        <v>487</v>
      </c>
      <c r="L4" s="24" t="s">
        <v>488</v>
      </c>
    </row>
    <row r="5" spans="1:14" ht="18.75" customHeight="1" x14ac:dyDescent="0.3">
      <c r="A5" s="24" t="s">
        <v>489</v>
      </c>
      <c r="B5" s="56" t="s">
        <v>490</v>
      </c>
      <c r="D5" s="59" t="s">
        <v>491</v>
      </c>
      <c r="E5" s="60" t="s">
        <v>492</v>
      </c>
      <c r="F5" s="60" t="s">
        <v>478</v>
      </c>
      <c r="G5" s="60" t="s">
        <v>493</v>
      </c>
      <c r="H5" s="60" t="s">
        <v>494</v>
      </c>
      <c r="I5" s="25" t="s">
        <v>495</v>
      </c>
      <c r="K5" s="24" t="s">
        <v>496</v>
      </c>
      <c r="L5" s="24" t="s">
        <v>497</v>
      </c>
    </row>
    <row r="6" spans="1:14" ht="18.75" customHeight="1" x14ac:dyDescent="0.3">
      <c r="A6" s="24" t="s">
        <v>498</v>
      </c>
      <c r="B6" s="56" t="s">
        <v>499</v>
      </c>
      <c r="D6" s="17">
        <f>'Project Compliance Tool'!A12</f>
        <v>1</v>
      </c>
      <c r="E6" s="57">
        <f>'Project Compliance Tool'!H12</f>
        <v>0</v>
      </c>
      <c r="F6" s="24" t="str">
        <f t="shared" ref="F6:F37" si="0">IF(ISERROR(VLOOKUP(E6,$A$3:$B$20,2,FALSE)),"",VLOOKUP(E6,$A$3:$B$20,2,FALSE))</f>
        <v/>
      </c>
      <c r="G6" s="24">
        <f>'Project Compliance Tool'!I12</f>
        <v>0</v>
      </c>
      <c r="H6" s="24" t="str">
        <f t="shared" ref="H6:H12" ca="1" si="1">IF(AND(F6&lt;&gt;0,G6=0),"OK",IF(ISERROR(VLOOKUP(G6,INDIRECT(F6),1,FALSE)),"Work Type","OK"))</f>
        <v>OK</v>
      </c>
      <c r="I6" s="24">
        <f ca="1">IF(H6="OK",1,0)</f>
        <v>1</v>
      </c>
      <c r="K6" s="24" t="s">
        <v>74</v>
      </c>
      <c r="L6" s="24" t="s">
        <v>500</v>
      </c>
    </row>
    <row r="7" spans="1:14" ht="18.75" customHeight="1" x14ac:dyDescent="0.3">
      <c r="A7" s="818" t="s">
        <v>432</v>
      </c>
      <c r="B7" s="56" t="s">
        <v>501</v>
      </c>
      <c r="D7" s="17">
        <f>'Project Compliance Tool'!A13</f>
        <v>2</v>
      </c>
      <c r="E7" s="57">
        <f>'Project Compliance Tool'!H13</f>
        <v>0</v>
      </c>
      <c r="F7" s="24" t="str">
        <f t="shared" si="0"/>
        <v/>
      </c>
      <c r="G7" s="24">
        <f>'Project Compliance Tool'!I13</f>
        <v>0</v>
      </c>
      <c r="H7" s="24" t="str">
        <f t="shared" ca="1" si="1"/>
        <v>OK</v>
      </c>
      <c r="I7" s="24">
        <f t="shared" ref="I7:I55" ca="1" si="2">IF(H7="OK",1,0)</f>
        <v>1</v>
      </c>
      <c r="K7" s="24" t="s">
        <v>75</v>
      </c>
      <c r="L7" s="24" t="s">
        <v>75</v>
      </c>
    </row>
    <row r="8" spans="1:14" ht="18.75" customHeight="1" x14ac:dyDescent="0.3">
      <c r="A8" s="818" t="s">
        <v>502</v>
      </c>
      <c r="B8" s="56" t="s">
        <v>503</v>
      </c>
      <c r="D8" s="17">
        <f>'Project Compliance Tool'!A14</f>
        <v>3</v>
      </c>
      <c r="E8" s="57">
        <f>'Project Compliance Tool'!H14</f>
        <v>0</v>
      </c>
      <c r="F8" s="24" t="str">
        <f t="shared" si="0"/>
        <v/>
      </c>
      <c r="G8" s="24">
        <f>'Project Compliance Tool'!I14</f>
        <v>0</v>
      </c>
      <c r="H8" s="24" t="str">
        <f t="shared" ca="1" si="1"/>
        <v>OK</v>
      </c>
      <c r="I8" s="24">
        <f t="shared" ca="1" si="2"/>
        <v>1</v>
      </c>
      <c r="K8" s="24" t="s">
        <v>76</v>
      </c>
      <c r="L8" s="24" t="s">
        <v>504</v>
      </c>
    </row>
    <row r="9" spans="1:14" ht="18.75" customHeight="1" x14ac:dyDescent="0.3">
      <c r="A9" s="818" t="s">
        <v>505</v>
      </c>
      <c r="B9" s="56" t="s">
        <v>506</v>
      </c>
      <c r="D9" s="17">
        <f>'Project Compliance Tool'!A15</f>
        <v>4</v>
      </c>
      <c r="E9" s="57">
        <f>'Project Compliance Tool'!H15</f>
        <v>0</v>
      </c>
      <c r="F9" s="24" t="str">
        <f t="shared" si="0"/>
        <v/>
      </c>
      <c r="G9" s="24">
        <f>'Project Compliance Tool'!I15</f>
        <v>0</v>
      </c>
      <c r="H9" s="24" t="str">
        <f t="shared" ca="1" si="1"/>
        <v>OK</v>
      </c>
      <c r="I9" s="24">
        <f t="shared" ca="1" si="2"/>
        <v>1</v>
      </c>
      <c r="K9" s="24" t="s">
        <v>77</v>
      </c>
      <c r="L9" s="24" t="s">
        <v>507</v>
      </c>
    </row>
    <row r="10" spans="1:14" ht="18.75" customHeight="1" x14ac:dyDescent="0.3">
      <c r="A10" s="24" t="s">
        <v>446</v>
      </c>
      <c r="B10" s="56" t="s">
        <v>508</v>
      </c>
      <c r="D10" s="17">
        <f>'Project Compliance Tool'!A16</f>
        <v>5</v>
      </c>
      <c r="E10" s="57">
        <f>'Project Compliance Tool'!H16</f>
        <v>0</v>
      </c>
      <c r="F10" s="24" t="str">
        <f t="shared" si="0"/>
        <v/>
      </c>
      <c r="G10" s="24">
        <f>'Project Compliance Tool'!I16</f>
        <v>0</v>
      </c>
      <c r="H10" s="24" t="str">
        <f t="shared" ca="1" si="1"/>
        <v>OK</v>
      </c>
      <c r="I10" s="24">
        <f t="shared" ca="1" si="2"/>
        <v>1</v>
      </c>
    </row>
    <row r="11" spans="1:14" ht="18.75" customHeight="1" x14ac:dyDescent="0.3">
      <c r="A11" s="24" t="s">
        <v>452</v>
      </c>
      <c r="B11" s="56" t="s">
        <v>509</v>
      </c>
      <c r="D11" s="17">
        <f>'Project Compliance Tool'!A17</f>
        <v>6</v>
      </c>
      <c r="E11" s="57">
        <f>'Project Compliance Tool'!H17</f>
        <v>0</v>
      </c>
      <c r="F11" s="24" t="str">
        <f t="shared" si="0"/>
        <v/>
      </c>
      <c r="G11" s="24">
        <f>'Project Compliance Tool'!I17</f>
        <v>0</v>
      </c>
      <c r="H11" s="24" t="str">
        <f t="shared" ca="1" si="1"/>
        <v>OK</v>
      </c>
      <c r="I11" s="24">
        <f t="shared" ca="1" si="2"/>
        <v>1</v>
      </c>
    </row>
    <row r="12" spans="1:14" ht="18.75" customHeight="1" x14ac:dyDescent="0.3">
      <c r="A12" s="24" t="s">
        <v>370</v>
      </c>
      <c r="B12" s="24" t="s">
        <v>510</v>
      </c>
      <c r="D12" s="17">
        <f>'Project Compliance Tool'!A18</f>
        <v>7</v>
      </c>
      <c r="E12" s="57">
        <f>'Project Compliance Tool'!H18</f>
        <v>0</v>
      </c>
      <c r="F12" s="24" t="str">
        <f t="shared" si="0"/>
        <v/>
      </c>
      <c r="G12" s="24">
        <f>'Project Compliance Tool'!I18</f>
        <v>0</v>
      </c>
      <c r="H12" s="24" t="str">
        <f t="shared" ca="1" si="1"/>
        <v>OK</v>
      </c>
      <c r="I12" s="24">
        <f t="shared" ca="1" si="2"/>
        <v>1</v>
      </c>
    </row>
    <row r="13" spans="1:14" ht="18.75" customHeight="1" x14ac:dyDescent="0.3">
      <c r="A13" s="24" t="s">
        <v>66</v>
      </c>
      <c r="B13" s="56" t="s">
        <v>511</v>
      </c>
      <c r="D13" s="17">
        <f>'Project Compliance Tool'!A19</f>
        <v>8</v>
      </c>
      <c r="E13" s="57">
        <f>'Project Compliance Tool'!H19</f>
        <v>0</v>
      </c>
      <c r="F13" s="24" t="str">
        <f t="shared" si="0"/>
        <v/>
      </c>
      <c r="G13" s="24">
        <f>'Project Compliance Tool'!I19</f>
        <v>0</v>
      </c>
      <c r="H13" s="24" t="str">
        <f ca="1">IF(AND(F13&lt;&gt;0,G13=0),"OK",IF(ISERROR(VLOOKUP(G13,INDIRECT(F13),1,FALSE)),"Work Type","OK"))</f>
        <v>OK</v>
      </c>
      <c r="I13" s="24">
        <f t="shared" ca="1" si="2"/>
        <v>1</v>
      </c>
    </row>
    <row r="14" spans="1:14" ht="18.75" customHeight="1" x14ac:dyDescent="0.3">
      <c r="A14" s="24" t="s">
        <v>512</v>
      </c>
      <c r="B14" s="56" t="s">
        <v>513</v>
      </c>
      <c r="D14" s="17">
        <f>'Project Compliance Tool'!A20</f>
        <v>9</v>
      </c>
      <c r="E14" s="57">
        <f>'Project Compliance Tool'!H20</f>
        <v>0</v>
      </c>
      <c r="F14" s="24" t="str">
        <f t="shared" si="0"/>
        <v/>
      </c>
      <c r="G14" s="24">
        <f>'Project Compliance Tool'!I20</f>
        <v>0</v>
      </c>
      <c r="H14" s="24" t="str">
        <f t="shared" ref="H14:H55" ca="1" si="3">IF(AND(F14&lt;&gt;0,G14=0),"OK",IF(ISERROR(VLOOKUP(G14,INDIRECT(F14),1,FALSE)),"Work Type","OK"))</f>
        <v>OK</v>
      </c>
      <c r="I14" s="24">
        <f t="shared" ca="1" si="2"/>
        <v>1</v>
      </c>
    </row>
    <row r="15" spans="1:14" ht="18.75" customHeight="1" x14ac:dyDescent="0.3">
      <c r="A15" s="818" t="s">
        <v>514</v>
      </c>
      <c r="B15" s="56" t="s">
        <v>515</v>
      </c>
      <c r="D15" s="17">
        <f>'Project Compliance Tool'!A21</f>
        <v>10</v>
      </c>
      <c r="E15" s="57">
        <f>'Project Compliance Tool'!H21</f>
        <v>0</v>
      </c>
      <c r="F15" s="24" t="str">
        <f t="shared" si="0"/>
        <v/>
      </c>
      <c r="G15" s="24">
        <f>'Project Compliance Tool'!I21</f>
        <v>0</v>
      </c>
      <c r="H15" s="24" t="str">
        <f t="shared" ca="1" si="3"/>
        <v>OK</v>
      </c>
      <c r="I15" s="24">
        <f t="shared" ca="1" si="2"/>
        <v>1</v>
      </c>
    </row>
    <row r="16" spans="1:14" ht="18.75" customHeight="1" x14ac:dyDescent="0.3">
      <c r="A16" s="24" t="s">
        <v>516</v>
      </c>
      <c r="B16" s="56" t="s">
        <v>517</v>
      </c>
      <c r="D16" s="17">
        <f>'Project Compliance Tool'!A22</f>
        <v>11</v>
      </c>
      <c r="E16" s="57">
        <f>'Project Compliance Tool'!H22</f>
        <v>0</v>
      </c>
      <c r="F16" s="24" t="str">
        <f t="shared" si="0"/>
        <v/>
      </c>
      <c r="G16" s="24">
        <f>'Project Compliance Tool'!I22</f>
        <v>0</v>
      </c>
      <c r="H16" s="24" t="str">
        <f t="shared" ca="1" si="3"/>
        <v>OK</v>
      </c>
      <c r="I16" s="24">
        <f t="shared" ca="1" si="2"/>
        <v>1</v>
      </c>
    </row>
    <row r="17" spans="1:9" ht="18.75" customHeight="1" x14ac:dyDescent="0.3">
      <c r="A17" s="24" t="s">
        <v>518</v>
      </c>
      <c r="B17" s="56" t="s">
        <v>519</v>
      </c>
      <c r="D17" s="17">
        <f>'Project Compliance Tool'!A23</f>
        <v>12</v>
      </c>
      <c r="E17" s="57">
        <f>'Project Compliance Tool'!H23</f>
        <v>0</v>
      </c>
      <c r="F17" s="24" t="str">
        <f t="shared" si="0"/>
        <v/>
      </c>
      <c r="G17" s="24">
        <f>'Project Compliance Tool'!I23</f>
        <v>0</v>
      </c>
      <c r="H17" s="24" t="str">
        <f t="shared" ca="1" si="3"/>
        <v>OK</v>
      </c>
      <c r="I17" s="24">
        <f t="shared" ca="1" si="2"/>
        <v>1</v>
      </c>
    </row>
    <row r="18" spans="1:9" ht="18.75" customHeight="1" x14ac:dyDescent="0.3">
      <c r="A18" s="818" t="s">
        <v>520</v>
      </c>
      <c r="B18" s="56" t="s">
        <v>521</v>
      </c>
      <c r="D18" s="17">
        <f>'Project Compliance Tool'!A24</f>
        <v>13</v>
      </c>
      <c r="E18" s="57">
        <f>'Project Compliance Tool'!H24</f>
        <v>0</v>
      </c>
      <c r="F18" s="24" t="str">
        <f t="shared" si="0"/>
        <v/>
      </c>
      <c r="G18" s="24">
        <f>'Project Compliance Tool'!I24</f>
        <v>0</v>
      </c>
      <c r="H18" s="24" t="str">
        <f t="shared" ca="1" si="3"/>
        <v>OK</v>
      </c>
      <c r="I18" s="24">
        <f t="shared" ca="1" si="2"/>
        <v>1</v>
      </c>
    </row>
    <row r="19" spans="1:9" ht="18.75" customHeight="1" x14ac:dyDescent="0.3">
      <c r="A19" s="24" t="s">
        <v>522</v>
      </c>
      <c r="B19" s="56" t="s">
        <v>523</v>
      </c>
      <c r="D19" s="17">
        <f>'Project Compliance Tool'!A25</f>
        <v>14</v>
      </c>
      <c r="E19" s="57">
        <f>'Project Compliance Tool'!H25</f>
        <v>0</v>
      </c>
      <c r="F19" s="24" t="str">
        <f t="shared" si="0"/>
        <v/>
      </c>
      <c r="G19" s="24">
        <f>'Project Compliance Tool'!I25</f>
        <v>0</v>
      </c>
      <c r="H19" s="24" t="str">
        <f t="shared" ca="1" si="3"/>
        <v>OK</v>
      </c>
      <c r="I19" s="24">
        <f t="shared" ca="1" si="2"/>
        <v>1</v>
      </c>
    </row>
    <row r="20" spans="1:9" ht="18.75" customHeight="1" x14ac:dyDescent="0.3">
      <c r="A20" s="818" t="s">
        <v>470</v>
      </c>
      <c r="B20" s="56" t="s">
        <v>524</v>
      </c>
      <c r="D20" s="17">
        <f>'Project Compliance Tool'!A26</f>
        <v>15</v>
      </c>
      <c r="E20" s="57">
        <f>'Project Compliance Tool'!H26</f>
        <v>0</v>
      </c>
      <c r="F20" s="24" t="str">
        <f t="shared" si="0"/>
        <v/>
      </c>
      <c r="G20" s="24">
        <f>'Project Compliance Tool'!I26</f>
        <v>0</v>
      </c>
      <c r="H20" s="24" t="str">
        <f t="shared" ca="1" si="3"/>
        <v>OK</v>
      </c>
      <c r="I20" s="24">
        <f t="shared" ca="1" si="2"/>
        <v>1</v>
      </c>
    </row>
    <row r="21" spans="1:9" ht="18.75" customHeight="1" x14ac:dyDescent="0.3">
      <c r="A21" s="62"/>
      <c r="B21" s="56"/>
      <c r="D21" s="17">
        <f>'Project Compliance Tool'!A27</f>
        <v>16</v>
      </c>
      <c r="E21" s="57">
        <f>'Project Compliance Tool'!H27</f>
        <v>0</v>
      </c>
      <c r="F21" s="24" t="str">
        <f t="shared" si="0"/>
        <v/>
      </c>
      <c r="G21" s="24">
        <f>'Project Compliance Tool'!I27</f>
        <v>0</v>
      </c>
      <c r="H21" s="24" t="str">
        <f t="shared" ca="1" si="3"/>
        <v>OK</v>
      </c>
      <c r="I21" s="24">
        <f t="shared" ca="1" si="2"/>
        <v>1</v>
      </c>
    </row>
    <row r="22" spans="1:9" ht="18.75" customHeight="1" x14ac:dyDescent="0.3">
      <c r="A22" s="62"/>
      <c r="B22" s="56"/>
      <c r="D22" s="17">
        <f>'Project Compliance Tool'!A28</f>
        <v>17</v>
      </c>
      <c r="E22" s="57">
        <f>'Project Compliance Tool'!H28</f>
        <v>0</v>
      </c>
      <c r="F22" s="24" t="str">
        <f t="shared" si="0"/>
        <v/>
      </c>
      <c r="G22" s="24">
        <f>'Project Compliance Tool'!I28</f>
        <v>0</v>
      </c>
      <c r="H22" s="24" t="str">
        <f t="shared" ca="1" si="3"/>
        <v>OK</v>
      </c>
      <c r="I22" s="24">
        <f t="shared" ca="1" si="2"/>
        <v>1</v>
      </c>
    </row>
    <row r="23" spans="1:9" ht="18.75" customHeight="1" x14ac:dyDescent="0.3">
      <c r="A23" s="62"/>
      <c r="B23" s="56"/>
      <c r="D23" s="17">
        <f>'Project Compliance Tool'!A29</f>
        <v>18</v>
      </c>
      <c r="E23" s="57">
        <f>'Project Compliance Tool'!H29</f>
        <v>0</v>
      </c>
      <c r="F23" s="24" t="str">
        <f t="shared" si="0"/>
        <v/>
      </c>
      <c r="G23" s="24">
        <f>'Project Compliance Tool'!I29</f>
        <v>0</v>
      </c>
      <c r="H23" s="24" t="str">
        <f t="shared" ca="1" si="3"/>
        <v>OK</v>
      </c>
      <c r="I23" s="24">
        <f t="shared" ca="1" si="2"/>
        <v>1</v>
      </c>
    </row>
    <row r="24" spans="1:9" ht="18.75" customHeight="1" x14ac:dyDescent="0.3">
      <c r="A24" s="62"/>
      <c r="B24" s="62"/>
      <c r="D24" s="17">
        <f>'Project Compliance Tool'!A30</f>
        <v>19</v>
      </c>
      <c r="E24" s="57">
        <f>'Project Compliance Tool'!H30</f>
        <v>0</v>
      </c>
      <c r="F24" s="24" t="str">
        <f t="shared" si="0"/>
        <v/>
      </c>
      <c r="G24" s="24">
        <f>'Project Compliance Tool'!I30</f>
        <v>0</v>
      </c>
      <c r="H24" s="24" t="str">
        <f t="shared" ca="1" si="3"/>
        <v>OK</v>
      </c>
      <c r="I24" s="24">
        <f t="shared" ca="1" si="2"/>
        <v>1</v>
      </c>
    </row>
    <row r="25" spans="1:9" ht="18.75" customHeight="1" x14ac:dyDescent="0.3">
      <c r="A25" s="62"/>
      <c r="B25" s="56"/>
      <c r="D25" s="17">
        <f>'Project Compliance Tool'!A31</f>
        <v>20</v>
      </c>
      <c r="E25" s="57">
        <f>'Project Compliance Tool'!H31</f>
        <v>0</v>
      </c>
      <c r="F25" s="24" t="str">
        <f t="shared" si="0"/>
        <v/>
      </c>
      <c r="G25" s="24">
        <f>'Project Compliance Tool'!I31</f>
        <v>0</v>
      </c>
      <c r="H25" s="24" t="str">
        <f t="shared" ca="1" si="3"/>
        <v>OK</v>
      </c>
      <c r="I25" s="24">
        <f t="shared" ca="1" si="2"/>
        <v>1</v>
      </c>
    </row>
    <row r="26" spans="1:9" ht="18.75" customHeight="1" x14ac:dyDescent="0.3">
      <c r="A26" s="62"/>
      <c r="B26" s="56"/>
      <c r="D26" s="17">
        <f>'Project Compliance Tool'!A32</f>
        <v>21</v>
      </c>
      <c r="E26" s="57">
        <f>'Project Compliance Tool'!H32</f>
        <v>0</v>
      </c>
      <c r="F26" s="24" t="str">
        <f t="shared" si="0"/>
        <v/>
      </c>
      <c r="G26" s="24">
        <f>'Project Compliance Tool'!I32</f>
        <v>0</v>
      </c>
      <c r="H26" s="24" t="str">
        <f t="shared" ca="1" si="3"/>
        <v>OK</v>
      </c>
      <c r="I26" s="24">
        <f t="shared" ca="1" si="2"/>
        <v>1</v>
      </c>
    </row>
    <row r="27" spans="1:9" ht="18.75" customHeight="1" x14ac:dyDescent="0.3">
      <c r="A27" s="56"/>
      <c r="B27" s="56"/>
      <c r="D27" s="17">
        <f>'Project Compliance Tool'!A33</f>
        <v>22</v>
      </c>
      <c r="E27" s="57">
        <f>'Project Compliance Tool'!H33</f>
        <v>0</v>
      </c>
      <c r="F27" s="24" t="str">
        <f t="shared" si="0"/>
        <v/>
      </c>
      <c r="G27" s="24">
        <f>'Project Compliance Tool'!I33</f>
        <v>0</v>
      </c>
      <c r="H27" s="24" t="str">
        <f t="shared" ca="1" si="3"/>
        <v>OK</v>
      </c>
      <c r="I27" s="24">
        <f t="shared" ca="1" si="2"/>
        <v>1</v>
      </c>
    </row>
    <row r="28" spans="1:9" ht="18.75" customHeight="1" x14ac:dyDescent="0.3">
      <c r="A28" s="56"/>
      <c r="B28" s="56"/>
      <c r="D28" s="17">
        <f>'Project Compliance Tool'!A34</f>
        <v>23</v>
      </c>
      <c r="E28" s="57">
        <f>'Project Compliance Tool'!H34</f>
        <v>0</v>
      </c>
      <c r="F28" s="24" t="str">
        <f t="shared" si="0"/>
        <v/>
      </c>
      <c r="G28" s="24">
        <f>'Project Compliance Tool'!I34</f>
        <v>0</v>
      </c>
      <c r="H28" s="24" t="str">
        <f t="shared" ca="1" si="3"/>
        <v>OK</v>
      </c>
      <c r="I28" s="24">
        <f t="shared" ca="1" si="2"/>
        <v>1</v>
      </c>
    </row>
    <row r="29" spans="1:9" ht="18.75" customHeight="1" x14ac:dyDescent="0.3">
      <c r="A29" s="56"/>
      <c r="B29" s="56"/>
      <c r="D29" s="17">
        <f>'Project Compliance Tool'!A35</f>
        <v>24</v>
      </c>
      <c r="E29" s="57">
        <f>'Project Compliance Tool'!H35</f>
        <v>0</v>
      </c>
      <c r="F29" s="24" t="str">
        <f t="shared" si="0"/>
        <v/>
      </c>
      <c r="G29" s="24">
        <f>'Project Compliance Tool'!I35</f>
        <v>0</v>
      </c>
      <c r="H29" s="24" t="str">
        <f t="shared" ca="1" si="3"/>
        <v>OK</v>
      </c>
      <c r="I29" s="24">
        <f t="shared" ca="1" si="2"/>
        <v>1</v>
      </c>
    </row>
    <row r="30" spans="1:9" ht="18.75" customHeight="1" x14ac:dyDescent="0.3">
      <c r="A30" s="56"/>
      <c r="B30" s="56"/>
      <c r="D30" s="17">
        <f>'Project Compliance Tool'!A36</f>
        <v>25</v>
      </c>
      <c r="E30" s="57">
        <f>'Project Compliance Tool'!H36</f>
        <v>0</v>
      </c>
      <c r="F30" s="24" t="str">
        <f t="shared" si="0"/>
        <v/>
      </c>
      <c r="G30" s="24">
        <f>'Project Compliance Tool'!I36</f>
        <v>0</v>
      </c>
      <c r="H30" s="24" t="str">
        <f t="shared" ca="1" si="3"/>
        <v>OK</v>
      </c>
      <c r="I30" s="24">
        <f t="shared" ca="1" si="2"/>
        <v>1</v>
      </c>
    </row>
    <row r="31" spans="1:9" ht="18.75" customHeight="1" x14ac:dyDescent="0.3">
      <c r="A31" s="56"/>
      <c r="B31" s="56"/>
      <c r="D31" s="17">
        <f>'Project Compliance Tool'!A37</f>
        <v>26</v>
      </c>
      <c r="E31" s="57">
        <f>'Project Compliance Tool'!H37</f>
        <v>0</v>
      </c>
      <c r="F31" s="24" t="str">
        <f t="shared" si="0"/>
        <v/>
      </c>
      <c r="G31" s="24">
        <f>'Project Compliance Tool'!I37</f>
        <v>0</v>
      </c>
      <c r="H31" s="24" t="str">
        <f t="shared" ca="1" si="3"/>
        <v>OK</v>
      </c>
      <c r="I31" s="24">
        <f t="shared" ca="1" si="2"/>
        <v>1</v>
      </c>
    </row>
    <row r="32" spans="1:9" ht="18.75" customHeight="1" x14ac:dyDescent="0.3">
      <c r="A32" s="56"/>
      <c r="B32" s="56"/>
      <c r="D32" s="17">
        <f>'Project Compliance Tool'!A38</f>
        <v>27</v>
      </c>
      <c r="E32" s="57">
        <f>'Project Compliance Tool'!H38</f>
        <v>0</v>
      </c>
      <c r="F32" s="24" t="str">
        <f t="shared" si="0"/>
        <v/>
      </c>
      <c r="G32" s="24">
        <f>'Project Compliance Tool'!I38</f>
        <v>0</v>
      </c>
      <c r="H32" s="24" t="str">
        <f t="shared" ca="1" si="3"/>
        <v>OK</v>
      </c>
      <c r="I32" s="24">
        <f t="shared" ca="1" si="2"/>
        <v>1</v>
      </c>
    </row>
    <row r="33" spans="1:14" ht="18.75" customHeight="1" x14ac:dyDescent="0.3">
      <c r="A33" s="56"/>
      <c r="B33" s="56" t="s">
        <v>525</v>
      </c>
      <c r="D33" s="17">
        <f>'Project Compliance Tool'!A39</f>
        <v>28</v>
      </c>
      <c r="E33" s="57">
        <f>'Project Compliance Tool'!H39</f>
        <v>0</v>
      </c>
      <c r="F33" s="24" t="str">
        <f t="shared" si="0"/>
        <v/>
      </c>
      <c r="G33" s="24">
        <f>'Project Compliance Tool'!I39</f>
        <v>0</v>
      </c>
      <c r="H33" s="24" t="str">
        <f t="shared" ca="1" si="3"/>
        <v>OK</v>
      </c>
      <c r="I33" s="24">
        <f t="shared" ca="1" si="2"/>
        <v>1</v>
      </c>
    </row>
    <row r="34" spans="1:14" ht="18.75" customHeight="1" x14ac:dyDescent="0.3">
      <c r="D34" s="17">
        <f>'Project Compliance Tool'!A40</f>
        <v>29</v>
      </c>
      <c r="E34" s="57">
        <f>'Project Compliance Tool'!H40</f>
        <v>0</v>
      </c>
      <c r="F34" s="24" t="str">
        <f t="shared" si="0"/>
        <v/>
      </c>
      <c r="G34" s="24">
        <f>'Project Compliance Tool'!I40</f>
        <v>0</v>
      </c>
      <c r="H34" s="24" t="str">
        <f t="shared" ca="1" si="3"/>
        <v>OK</v>
      </c>
      <c r="I34" s="24">
        <f t="shared" ca="1" si="2"/>
        <v>1</v>
      </c>
      <c r="M34" s="24"/>
      <c r="N34" s="57"/>
    </row>
    <row r="35" spans="1:14" ht="18.75" customHeight="1" x14ac:dyDescent="0.3">
      <c r="D35" s="17">
        <f>'Project Compliance Tool'!A41</f>
        <v>30</v>
      </c>
      <c r="E35" s="57">
        <f>'Project Compliance Tool'!H41</f>
        <v>0</v>
      </c>
      <c r="F35" s="24" t="str">
        <f t="shared" si="0"/>
        <v/>
      </c>
      <c r="G35" s="24">
        <f>'Project Compliance Tool'!I41</f>
        <v>0</v>
      </c>
      <c r="H35" s="24" t="str">
        <f t="shared" ca="1" si="3"/>
        <v>OK</v>
      </c>
      <c r="I35" s="24">
        <f t="shared" ca="1" si="2"/>
        <v>1</v>
      </c>
      <c r="M35" s="24"/>
      <c r="N35" s="57"/>
    </row>
    <row r="36" spans="1:14" ht="18.75" customHeight="1" x14ac:dyDescent="0.3">
      <c r="D36" s="17">
        <f>'Project Compliance Tool'!A42</f>
        <v>31</v>
      </c>
      <c r="E36" s="57">
        <f>'Project Compliance Tool'!H42</f>
        <v>0</v>
      </c>
      <c r="F36" s="24" t="str">
        <f t="shared" si="0"/>
        <v/>
      </c>
      <c r="G36" s="24">
        <f>'Project Compliance Tool'!I42</f>
        <v>0</v>
      </c>
      <c r="H36" s="24" t="str">
        <f t="shared" ca="1" si="3"/>
        <v>OK</v>
      </c>
      <c r="I36" s="24">
        <f t="shared" ca="1" si="2"/>
        <v>1</v>
      </c>
      <c r="M36" s="24"/>
      <c r="N36" s="57"/>
    </row>
    <row r="37" spans="1:14" ht="18.75" customHeight="1" x14ac:dyDescent="0.3">
      <c r="D37" s="17">
        <f>'Project Compliance Tool'!A43</f>
        <v>32</v>
      </c>
      <c r="E37" s="57">
        <f>'Project Compliance Tool'!H43</f>
        <v>0</v>
      </c>
      <c r="F37" s="24" t="str">
        <f t="shared" si="0"/>
        <v/>
      </c>
      <c r="G37" s="24">
        <f>'Project Compliance Tool'!I43</f>
        <v>0</v>
      </c>
      <c r="H37" s="24" t="str">
        <f t="shared" ca="1" si="3"/>
        <v>OK</v>
      </c>
      <c r="I37" s="24">
        <f t="shared" ca="1" si="2"/>
        <v>1</v>
      </c>
      <c r="M37" s="24"/>
      <c r="N37" s="57"/>
    </row>
    <row r="38" spans="1:14" ht="18.75" customHeight="1" x14ac:dyDescent="0.3">
      <c r="D38" s="17">
        <f>'Project Compliance Tool'!A44</f>
        <v>33</v>
      </c>
      <c r="E38" s="57">
        <f>'Project Compliance Tool'!H44</f>
        <v>0</v>
      </c>
      <c r="F38" s="24" t="str">
        <f t="shared" ref="F38:F55" si="4">IF(ISERROR(VLOOKUP(E38,$A$3:$B$20,2,FALSE)),"",VLOOKUP(E38,$A$3:$B$20,2,FALSE))</f>
        <v/>
      </c>
      <c r="G38" s="24">
        <f>'Project Compliance Tool'!I44</f>
        <v>0</v>
      </c>
      <c r="H38" s="24" t="str">
        <f t="shared" ca="1" si="3"/>
        <v>OK</v>
      </c>
      <c r="I38" s="24">
        <f t="shared" ca="1" si="2"/>
        <v>1</v>
      </c>
      <c r="M38" s="24"/>
      <c r="N38" s="57"/>
    </row>
    <row r="39" spans="1:14" ht="18.75" customHeight="1" x14ac:dyDescent="0.3">
      <c r="D39" s="17">
        <f>'Project Compliance Tool'!A45</f>
        <v>34</v>
      </c>
      <c r="E39" s="57">
        <f>'Project Compliance Tool'!H45</f>
        <v>0</v>
      </c>
      <c r="F39" s="24" t="str">
        <f t="shared" si="4"/>
        <v/>
      </c>
      <c r="G39" s="24">
        <f>'Project Compliance Tool'!I45</f>
        <v>0</v>
      </c>
      <c r="H39" s="24" t="str">
        <f t="shared" ca="1" si="3"/>
        <v>OK</v>
      </c>
      <c r="I39" s="24">
        <f t="shared" ca="1" si="2"/>
        <v>1</v>
      </c>
      <c r="M39" s="24"/>
      <c r="N39" s="57"/>
    </row>
    <row r="40" spans="1:14" ht="18.75" customHeight="1" x14ac:dyDescent="0.3">
      <c r="D40" s="17">
        <f>'Project Compliance Tool'!A46</f>
        <v>35</v>
      </c>
      <c r="E40" s="57">
        <f>'Project Compliance Tool'!H46</f>
        <v>0</v>
      </c>
      <c r="F40" s="24" t="str">
        <f t="shared" si="4"/>
        <v/>
      </c>
      <c r="G40" s="24">
        <f>'Project Compliance Tool'!I46</f>
        <v>0</v>
      </c>
      <c r="H40" s="24" t="str">
        <f t="shared" ca="1" si="3"/>
        <v>OK</v>
      </c>
      <c r="I40" s="24">
        <f t="shared" ca="1" si="2"/>
        <v>1</v>
      </c>
      <c r="M40" s="24"/>
      <c r="N40" s="57"/>
    </row>
    <row r="41" spans="1:14" ht="18.75" customHeight="1" x14ac:dyDescent="0.3">
      <c r="D41" s="17">
        <f>'Project Compliance Tool'!A47</f>
        <v>36</v>
      </c>
      <c r="E41" s="57">
        <f>'Project Compliance Tool'!H47</f>
        <v>0</v>
      </c>
      <c r="F41" s="24" t="str">
        <f t="shared" si="4"/>
        <v/>
      </c>
      <c r="G41" s="24">
        <f>'Project Compliance Tool'!I47</f>
        <v>0</v>
      </c>
      <c r="H41" s="24" t="str">
        <f t="shared" ca="1" si="3"/>
        <v>OK</v>
      </c>
      <c r="I41" s="24">
        <f t="shared" ca="1" si="2"/>
        <v>1</v>
      </c>
      <c r="M41" s="24"/>
      <c r="N41" s="57"/>
    </row>
    <row r="42" spans="1:14" ht="18.75" customHeight="1" x14ac:dyDescent="0.3">
      <c r="D42" s="17">
        <f>'Project Compliance Tool'!A48</f>
        <v>37</v>
      </c>
      <c r="E42" s="57">
        <f>'Project Compliance Tool'!H48</f>
        <v>0</v>
      </c>
      <c r="F42" s="24" t="str">
        <f t="shared" si="4"/>
        <v/>
      </c>
      <c r="G42" s="24">
        <f>'Project Compliance Tool'!I48</f>
        <v>0</v>
      </c>
      <c r="H42" s="24" t="str">
        <f t="shared" ca="1" si="3"/>
        <v>OK</v>
      </c>
      <c r="I42" s="24">
        <f t="shared" ca="1" si="2"/>
        <v>1</v>
      </c>
      <c r="M42" s="24"/>
      <c r="N42" s="57"/>
    </row>
    <row r="43" spans="1:14" ht="18.75" customHeight="1" x14ac:dyDescent="0.3">
      <c r="D43" s="17">
        <f>'Project Compliance Tool'!A49</f>
        <v>38</v>
      </c>
      <c r="E43" s="57">
        <f>'Project Compliance Tool'!H49</f>
        <v>0</v>
      </c>
      <c r="F43" s="24" t="str">
        <f t="shared" si="4"/>
        <v/>
      </c>
      <c r="G43" s="24">
        <f>'Project Compliance Tool'!I49</f>
        <v>0</v>
      </c>
      <c r="H43" s="24" t="str">
        <f t="shared" ca="1" si="3"/>
        <v>OK</v>
      </c>
      <c r="I43" s="24">
        <f t="shared" ca="1" si="2"/>
        <v>1</v>
      </c>
      <c r="M43" s="24"/>
      <c r="N43" s="57"/>
    </row>
    <row r="44" spans="1:14" ht="18.75" customHeight="1" x14ac:dyDescent="0.3">
      <c r="D44" s="17">
        <f>'Project Compliance Tool'!A50</f>
        <v>39</v>
      </c>
      <c r="E44" s="57">
        <f>'Project Compliance Tool'!H50</f>
        <v>0</v>
      </c>
      <c r="F44" s="24" t="str">
        <f t="shared" si="4"/>
        <v/>
      </c>
      <c r="G44" s="24">
        <f>'Project Compliance Tool'!I50</f>
        <v>0</v>
      </c>
      <c r="H44" s="24" t="str">
        <f t="shared" ca="1" si="3"/>
        <v>OK</v>
      </c>
      <c r="I44" s="24">
        <f t="shared" ca="1" si="2"/>
        <v>1</v>
      </c>
      <c r="M44" s="24"/>
      <c r="N44" s="57"/>
    </row>
    <row r="45" spans="1:14" ht="18.75" customHeight="1" x14ac:dyDescent="0.3">
      <c r="D45" s="17">
        <f>'Project Compliance Tool'!A51</f>
        <v>40</v>
      </c>
      <c r="E45" s="57">
        <f>'Project Compliance Tool'!H51</f>
        <v>0</v>
      </c>
      <c r="F45" s="24" t="str">
        <f t="shared" si="4"/>
        <v/>
      </c>
      <c r="G45" s="24">
        <f>'Project Compliance Tool'!I51</f>
        <v>0</v>
      </c>
      <c r="H45" s="24" t="str">
        <f t="shared" ca="1" si="3"/>
        <v>OK</v>
      </c>
      <c r="I45" s="24">
        <f t="shared" ca="1" si="2"/>
        <v>1</v>
      </c>
      <c r="M45" s="24"/>
      <c r="N45" s="57"/>
    </row>
    <row r="46" spans="1:14" ht="18.75" customHeight="1" x14ac:dyDescent="0.3">
      <c r="D46" s="17">
        <f>'Project Compliance Tool'!A52</f>
        <v>41</v>
      </c>
      <c r="E46" s="57">
        <f>'Project Compliance Tool'!H52</f>
        <v>0</v>
      </c>
      <c r="F46" s="24" t="str">
        <f t="shared" si="4"/>
        <v/>
      </c>
      <c r="G46" s="24">
        <f>'Project Compliance Tool'!I52</f>
        <v>0</v>
      </c>
      <c r="H46" s="24" t="str">
        <f t="shared" ca="1" si="3"/>
        <v>OK</v>
      </c>
      <c r="I46" s="24">
        <f t="shared" ca="1" si="2"/>
        <v>1</v>
      </c>
      <c r="M46" s="24"/>
      <c r="N46" s="57"/>
    </row>
    <row r="47" spans="1:14" ht="18.75" customHeight="1" x14ac:dyDescent="0.3">
      <c r="D47" s="17">
        <f>'Project Compliance Tool'!A53</f>
        <v>42</v>
      </c>
      <c r="E47" s="57">
        <f>'Project Compliance Tool'!H53</f>
        <v>0</v>
      </c>
      <c r="F47" s="24" t="str">
        <f t="shared" si="4"/>
        <v/>
      </c>
      <c r="G47" s="24">
        <f>'Project Compliance Tool'!I53</f>
        <v>0</v>
      </c>
      <c r="H47" s="24" t="str">
        <f t="shared" ca="1" si="3"/>
        <v>OK</v>
      </c>
      <c r="I47" s="24">
        <f t="shared" ca="1" si="2"/>
        <v>1</v>
      </c>
      <c r="M47" s="24"/>
      <c r="N47" s="57"/>
    </row>
    <row r="48" spans="1:14" ht="18.75" customHeight="1" x14ac:dyDescent="0.3">
      <c r="D48" s="17">
        <f>'Project Compliance Tool'!A54</f>
        <v>43</v>
      </c>
      <c r="E48" s="57">
        <f>'Project Compliance Tool'!H54</f>
        <v>0</v>
      </c>
      <c r="F48" s="24" t="str">
        <f t="shared" si="4"/>
        <v/>
      </c>
      <c r="G48" s="24">
        <f>'Project Compliance Tool'!I54</f>
        <v>0</v>
      </c>
      <c r="H48" s="24" t="str">
        <f t="shared" ca="1" si="3"/>
        <v>OK</v>
      </c>
      <c r="I48" s="24">
        <f t="shared" ca="1" si="2"/>
        <v>1</v>
      </c>
      <c r="M48" s="24"/>
      <c r="N48" s="57"/>
    </row>
    <row r="49" spans="4:14" ht="18.75" customHeight="1" x14ac:dyDescent="0.3">
      <c r="D49" s="17">
        <f>'Project Compliance Tool'!A55</f>
        <v>44</v>
      </c>
      <c r="E49" s="57">
        <f>'Project Compliance Tool'!H55</f>
        <v>0</v>
      </c>
      <c r="F49" s="24" t="str">
        <f t="shared" si="4"/>
        <v/>
      </c>
      <c r="G49" s="24">
        <f>'Project Compliance Tool'!I55</f>
        <v>0</v>
      </c>
      <c r="H49" s="24" t="str">
        <f t="shared" ca="1" si="3"/>
        <v>OK</v>
      </c>
      <c r="I49" s="24">
        <f t="shared" ca="1" si="2"/>
        <v>1</v>
      </c>
      <c r="M49" s="24"/>
      <c r="N49" s="57"/>
    </row>
    <row r="50" spans="4:14" ht="18.75" customHeight="1" x14ac:dyDescent="0.3">
      <c r="D50" s="17">
        <f>'Project Compliance Tool'!A56</f>
        <v>45</v>
      </c>
      <c r="E50" s="57">
        <f>'Project Compliance Tool'!H56</f>
        <v>0</v>
      </c>
      <c r="F50" s="24" t="str">
        <f t="shared" si="4"/>
        <v/>
      </c>
      <c r="G50" s="24">
        <f>'Project Compliance Tool'!I56</f>
        <v>0</v>
      </c>
      <c r="H50" s="24" t="str">
        <f t="shared" ca="1" si="3"/>
        <v>OK</v>
      </c>
      <c r="I50" s="24">
        <f t="shared" ca="1" si="2"/>
        <v>1</v>
      </c>
      <c r="M50" s="24"/>
      <c r="N50" s="57"/>
    </row>
    <row r="51" spans="4:14" ht="18.75" customHeight="1" x14ac:dyDescent="0.3">
      <c r="D51" s="17">
        <f>'Project Compliance Tool'!A57</f>
        <v>46</v>
      </c>
      <c r="E51" s="57">
        <f>'Project Compliance Tool'!H57</f>
        <v>0</v>
      </c>
      <c r="F51" s="24" t="str">
        <f t="shared" si="4"/>
        <v/>
      </c>
      <c r="G51" s="24">
        <f>'Project Compliance Tool'!I57</f>
        <v>0</v>
      </c>
      <c r="H51" s="24" t="str">
        <f t="shared" ca="1" si="3"/>
        <v>OK</v>
      </c>
      <c r="I51" s="24">
        <f t="shared" ca="1" si="2"/>
        <v>1</v>
      </c>
      <c r="M51" s="24"/>
      <c r="N51" s="57"/>
    </row>
    <row r="52" spans="4:14" ht="18.75" customHeight="1" x14ac:dyDescent="0.3">
      <c r="D52" s="17">
        <f>'Project Compliance Tool'!A58</f>
        <v>47</v>
      </c>
      <c r="E52" s="57">
        <f>'Project Compliance Tool'!H58</f>
        <v>0</v>
      </c>
      <c r="F52" s="24" t="str">
        <f t="shared" si="4"/>
        <v/>
      </c>
      <c r="G52" s="24">
        <f>'Project Compliance Tool'!I58</f>
        <v>0</v>
      </c>
      <c r="H52" s="24" t="str">
        <f t="shared" ca="1" si="3"/>
        <v>OK</v>
      </c>
      <c r="I52" s="24">
        <f t="shared" ca="1" si="2"/>
        <v>1</v>
      </c>
      <c r="M52" s="24"/>
      <c r="N52" s="57"/>
    </row>
    <row r="53" spans="4:14" ht="18.75" customHeight="1" x14ac:dyDescent="0.3">
      <c r="D53" s="17">
        <f>'Project Compliance Tool'!A59</f>
        <v>48</v>
      </c>
      <c r="E53" s="57">
        <f>'Project Compliance Tool'!H59</f>
        <v>0</v>
      </c>
      <c r="F53" s="24" t="str">
        <f t="shared" si="4"/>
        <v/>
      </c>
      <c r="G53" s="24">
        <f>'Project Compliance Tool'!I59</f>
        <v>0</v>
      </c>
      <c r="H53" s="24" t="str">
        <f t="shared" ca="1" si="3"/>
        <v>OK</v>
      </c>
      <c r="I53" s="24">
        <f t="shared" ca="1" si="2"/>
        <v>1</v>
      </c>
      <c r="M53" s="24"/>
      <c r="N53" s="57"/>
    </row>
    <row r="54" spans="4:14" ht="18.75" customHeight="1" x14ac:dyDescent="0.3">
      <c r="D54" s="17">
        <f>'Project Compliance Tool'!A60</f>
        <v>49</v>
      </c>
      <c r="E54" s="57">
        <f>'Project Compliance Tool'!H60</f>
        <v>0</v>
      </c>
      <c r="F54" s="24" t="str">
        <f t="shared" si="4"/>
        <v/>
      </c>
      <c r="G54" s="24">
        <f>'Project Compliance Tool'!I60</f>
        <v>0</v>
      </c>
      <c r="H54" s="24" t="str">
        <f t="shared" ca="1" si="3"/>
        <v>OK</v>
      </c>
      <c r="I54" s="24">
        <f t="shared" ca="1" si="2"/>
        <v>1</v>
      </c>
      <c r="M54" s="24"/>
      <c r="N54" s="57"/>
    </row>
    <row r="55" spans="4:14" ht="18.75" customHeight="1" x14ac:dyDescent="0.3">
      <c r="D55" s="17">
        <f>'Project Compliance Tool'!A61</f>
        <v>50</v>
      </c>
      <c r="E55" s="57">
        <f>'Project Compliance Tool'!H61</f>
        <v>0</v>
      </c>
      <c r="F55" s="24" t="str">
        <f t="shared" si="4"/>
        <v/>
      </c>
      <c r="G55" s="24">
        <f>'Project Compliance Tool'!I61</f>
        <v>0</v>
      </c>
      <c r="H55" s="24" t="str">
        <f t="shared" ca="1" si="3"/>
        <v>OK</v>
      </c>
      <c r="I55" s="24">
        <f t="shared" ca="1" si="2"/>
        <v>1</v>
      </c>
      <c r="M55" s="24"/>
      <c r="N55" s="57"/>
    </row>
    <row r="56" spans="4:14" ht="18.75" customHeight="1" x14ac:dyDescent="0.3">
      <c r="E56" s="57"/>
      <c r="M56" s="24"/>
      <c r="N56" s="57"/>
    </row>
    <row r="57" spans="4:14" ht="18.75" customHeight="1" x14ac:dyDescent="0.3">
      <c r="E57" s="57"/>
      <c r="M57" s="24"/>
      <c r="N57" s="57"/>
    </row>
    <row r="58" spans="4:14" ht="18.75" customHeight="1" x14ac:dyDescent="0.3">
      <c r="E58" s="57"/>
      <c r="M58" s="24"/>
      <c r="N58" s="57"/>
    </row>
    <row r="59" spans="4:14" ht="18.75" customHeight="1" x14ac:dyDescent="0.3">
      <c r="E59" s="57"/>
      <c r="M59" s="24"/>
      <c r="N59" s="57"/>
    </row>
    <row r="60" spans="4:14" ht="18.75" customHeight="1" x14ac:dyDescent="0.3">
      <c r="E60" s="57"/>
      <c r="M60" s="24"/>
      <c r="N60" s="57"/>
    </row>
    <row r="61" spans="4:14" ht="18.75" customHeight="1" x14ac:dyDescent="0.3">
      <c r="E61" s="57"/>
      <c r="M61" s="24"/>
      <c r="N61" s="57"/>
    </row>
    <row r="62" spans="4:14" ht="18.75" customHeight="1" x14ac:dyDescent="0.3">
      <c r="E62" s="57"/>
      <c r="M62" s="24"/>
      <c r="N62" s="57"/>
    </row>
    <row r="63" spans="4:14" ht="18.75" customHeight="1" x14ac:dyDescent="0.3">
      <c r="E63" s="57"/>
      <c r="M63" s="24"/>
      <c r="N63" s="57"/>
    </row>
    <row r="64" spans="4:14" ht="18.75" customHeight="1" x14ac:dyDescent="0.3">
      <c r="E64" s="57"/>
      <c r="M64" s="24"/>
      <c r="N64" s="57"/>
    </row>
    <row r="65" spans="4:14" ht="18.75" customHeight="1" x14ac:dyDescent="0.3">
      <c r="E65" s="57"/>
      <c r="M65" s="24"/>
      <c r="N65" s="57"/>
    </row>
    <row r="66" spans="4:14" ht="18.75" customHeight="1" x14ac:dyDescent="0.3">
      <c r="E66" s="57"/>
      <c r="M66" s="24"/>
      <c r="N66" s="57"/>
    </row>
    <row r="67" spans="4:14" ht="18.75" customHeight="1" x14ac:dyDescent="0.3">
      <c r="E67" s="57"/>
      <c r="M67" s="24"/>
      <c r="N67" s="57"/>
    </row>
    <row r="68" spans="4:14" ht="18.75" customHeight="1" x14ac:dyDescent="0.3">
      <c r="E68" s="57"/>
      <c r="M68" s="24"/>
      <c r="N68" s="57"/>
    </row>
    <row r="69" spans="4:14" ht="18.75" customHeight="1" x14ac:dyDescent="0.3">
      <c r="E69" s="57"/>
      <c r="M69" s="24"/>
      <c r="N69" s="57"/>
    </row>
    <row r="70" spans="4:14" ht="18.75" customHeight="1" x14ac:dyDescent="0.3">
      <c r="E70" s="57"/>
      <c r="M70" s="24"/>
      <c r="N70" s="57"/>
    </row>
    <row r="71" spans="4:14" ht="18.75" customHeight="1" x14ac:dyDescent="0.35">
      <c r="D71" s="24"/>
      <c r="E71" s="541" t="s">
        <v>526</v>
      </c>
      <c r="F71" s="542" t="s">
        <v>527</v>
      </c>
      <c r="G71" s="542" t="s">
        <v>528</v>
      </c>
      <c r="M71" s="24"/>
      <c r="N71" s="57"/>
    </row>
    <row r="72" spans="4:14" ht="18.75" customHeight="1" x14ac:dyDescent="0.3">
      <c r="D72" s="24"/>
      <c r="E72" s="64" t="s">
        <v>27</v>
      </c>
      <c r="F72" s="64">
        <v>10</v>
      </c>
      <c r="G72" s="64">
        <v>350</v>
      </c>
      <c r="M72" s="24"/>
      <c r="N72" s="57"/>
    </row>
    <row r="73" spans="4:14" ht="18.75" customHeight="1" x14ac:dyDescent="0.3">
      <c r="D73" s="24"/>
      <c r="E73" s="64" t="s">
        <v>529</v>
      </c>
      <c r="F73" s="64">
        <v>10</v>
      </c>
      <c r="G73" s="64">
        <v>350</v>
      </c>
      <c r="M73" s="24"/>
      <c r="N73" s="57"/>
    </row>
    <row r="74" spans="4:14" ht="18.75" customHeight="1" x14ac:dyDescent="0.3">
      <c r="D74" s="24"/>
      <c r="E74" s="63"/>
      <c r="F74" s="63"/>
      <c r="G74" s="63"/>
      <c r="M74" s="24"/>
      <c r="N74" s="57"/>
    </row>
    <row r="75" spans="4:14" ht="18.75" customHeight="1" x14ac:dyDescent="0.3">
      <c r="D75" s="24"/>
      <c r="E75" s="63" t="s">
        <v>530</v>
      </c>
      <c r="F75" s="65" t="str">
        <f>'Project Compliance Tool'!Q65</f>
        <v/>
      </c>
      <c r="G75" s="66" t="str">
        <f>'Project Compliance Tool'!U65</f>
        <v/>
      </c>
      <c r="M75" s="24"/>
      <c r="N75" s="57"/>
    </row>
    <row r="76" spans="4:14" ht="18.75" customHeight="1" x14ac:dyDescent="0.3">
      <c r="D76" s="24"/>
      <c r="E76" s="63" t="s">
        <v>531</v>
      </c>
      <c r="F76" s="63" t="str">
        <f>IFERROR(VLOOKUP('Project Compliance Tool'!D4,E71:G73,2,FALSE),"")</f>
        <v/>
      </c>
      <c r="G76" s="63" t="str">
        <f>IFERROR(VLOOKUP('Project Compliance Tool'!D4,E71:G73,3,FALSE),"")</f>
        <v/>
      </c>
      <c r="M76" s="24"/>
      <c r="N76" s="57"/>
    </row>
    <row r="77" spans="4:14" ht="18.75" customHeight="1" x14ac:dyDescent="0.3">
      <c r="D77" s="63"/>
      <c r="E77" s="63" t="s">
        <v>532</v>
      </c>
      <c r="F77" s="63" t="str">
        <f>IF(F75&lt;=F76,"Compliant","Non-compliant")</f>
        <v>Compliant</v>
      </c>
      <c r="G77" s="63" t="str">
        <f>IF(G75&lt;=G76,"Compliant","Non-compliant")</f>
        <v>Compliant</v>
      </c>
      <c r="H77" s="63" t="str">
        <f>IF('Project Compliance Tool'!D4="","Select Programme",IF(AND(F77="Compliant",G77="Compliant"),"Compliant","Non-compliant"))</f>
        <v>Select Programme</v>
      </c>
      <c r="M77" s="24"/>
      <c r="N77" s="57"/>
    </row>
    <row r="78" spans="4:14" ht="18.75" customHeight="1" x14ac:dyDescent="0.3">
      <c r="D78" s="63"/>
      <c r="H78" s="63"/>
      <c r="M78" s="24"/>
      <c r="N78" s="57"/>
    </row>
    <row r="79" spans="4:14" ht="18.75" customHeight="1" x14ac:dyDescent="0.3">
      <c r="D79" s="63"/>
      <c r="H79" s="63"/>
      <c r="M79" s="24"/>
      <c r="N79" s="57"/>
    </row>
    <row r="80" spans="4:14" ht="18.75" customHeight="1" x14ac:dyDescent="0.3">
      <c r="D80" s="64" t="s">
        <v>27</v>
      </c>
      <c r="E80" s="24" t="s">
        <v>533</v>
      </c>
      <c r="F80" s="24" t="str">
        <f>IFERROR(VLOOKUP('Project Compliance Tool'!D4,'Extra look-up'!D80:E81,2,FALSE),"")</f>
        <v/>
      </c>
      <c r="G80" s="67" t="s">
        <v>73</v>
      </c>
      <c r="H80" s="67" t="s">
        <v>534</v>
      </c>
      <c r="I80" s="68" t="s">
        <v>535</v>
      </c>
      <c r="M80" s="24"/>
      <c r="N80" s="57"/>
    </row>
    <row r="81" spans="4:14" ht="18.75" customHeight="1" x14ac:dyDescent="0.3">
      <c r="D81" s="64" t="s">
        <v>529</v>
      </c>
      <c r="E81" s="17" t="s">
        <v>536</v>
      </c>
      <c r="G81" s="69" t="s">
        <v>72</v>
      </c>
      <c r="H81" s="69" t="s">
        <v>537</v>
      </c>
      <c r="I81" s="69" t="s">
        <v>538</v>
      </c>
      <c r="M81" s="24"/>
      <c r="N81" s="57"/>
    </row>
    <row r="82" spans="4:14" ht="18.75" customHeight="1" x14ac:dyDescent="0.3">
      <c r="G82" s="69" t="s">
        <v>74</v>
      </c>
      <c r="H82" s="69" t="s">
        <v>500</v>
      </c>
      <c r="I82" s="69"/>
      <c r="M82" s="24"/>
      <c r="N82" s="57"/>
    </row>
    <row r="83" spans="4:14" ht="18.75" customHeight="1" x14ac:dyDescent="0.3">
      <c r="G83" s="69" t="s">
        <v>75</v>
      </c>
      <c r="H83" s="69" t="s">
        <v>75</v>
      </c>
      <c r="I83" s="69"/>
    </row>
    <row r="84" spans="4:14" ht="18.75" customHeight="1" x14ac:dyDescent="0.3">
      <c r="E84" s="17"/>
      <c r="G84" s="69" t="s">
        <v>539</v>
      </c>
      <c r="H84" s="69" t="s">
        <v>540</v>
      </c>
      <c r="I84" s="69"/>
      <c r="M84" s="24"/>
      <c r="N84" s="57"/>
    </row>
    <row r="85" spans="4:14" ht="18.75" customHeight="1" x14ac:dyDescent="0.3">
      <c r="E85" s="17"/>
      <c r="G85" s="69" t="s">
        <v>541</v>
      </c>
      <c r="H85" s="69" t="s">
        <v>542</v>
      </c>
      <c r="I85" s="69"/>
      <c r="M85" s="24"/>
      <c r="N85" s="57"/>
    </row>
    <row r="86" spans="4:14" ht="18.75" customHeight="1" x14ac:dyDescent="0.3">
      <c r="G86" s="69" t="s">
        <v>77</v>
      </c>
      <c r="H86" s="69" t="s">
        <v>507</v>
      </c>
      <c r="I86" s="69"/>
    </row>
    <row r="87" spans="4:14" ht="18.75" customHeight="1" x14ac:dyDescent="0.3">
      <c r="G87" s="70" t="s">
        <v>73</v>
      </c>
      <c r="H87" s="70" t="s">
        <v>534</v>
      </c>
      <c r="I87" s="71" t="s">
        <v>543</v>
      </c>
    </row>
    <row r="88" spans="4:14" ht="18.75" customHeight="1" x14ac:dyDescent="0.3">
      <c r="G88" s="71" t="s">
        <v>72</v>
      </c>
      <c r="H88" s="71" t="s">
        <v>537</v>
      </c>
      <c r="I88" s="71"/>
    </row>
    <row r="89" spans="4:14" ht="18.75" customHeight="1" x14ac:dyDescent="0.3">
      <c r="E89" s="17"/>
      <c r="G89" s="71" t="s">
        <v>74</v>
      </c>
      <c r="H89" s="71" t="s">
        <v>500</v>
      </c>
      <c r="I89" s="71"/>
    </row>
    <row r="90" spans="4:14" ht="18.75" customHeight="1" x14ac:dyDescent="0.3">
      <c r="E90" s="17"/>
      <c r="G90" s="71" t="s">
        <v>75</v>
      </c>
      <c r="H90" s="71" t="s">
        <v>75</v>
      </c>
      <c r="I90" s="71"/>
    </row>
    <row r="91" spans="4:14" ht="18.75" customHeight="1" x14ac:dyDescent="0.3">
      <c r="E91" s="17"/>
      <c r="G91" s="71" t="s">
        <v>539</v>
      </c>
      <c r="H91" s="71" t="s">
        <v>540</v>
      </c>
      <c r="I91" s="71"/>
    </row>
    <row r="92" spans="4:14" ht="18.75" customHeight="1" x14ac:dyDescent="0.3">
      <c r="E92" s="17"/>
      <c r="G92" s="72" t="s">
        <v>541</v>
      </c>
      <c r="H92" s="72" t="s">
        <v>542</v>
      </c>
      <c r="I92" s="72" t="s">
        <v>544</v>
      </c>
    </row>
    <row r="93" spans="4:14" ht="18.75" customHeight="1" x14ac:dyDescent="0.3">
      <c r="G93" s="72" t="s">
        <v>77</v>
      </c>
      <c r="H93" s="72" t="s">
        <v>507</v>
      </c>
      <c r="I93" s="72"/>
    </row>
    <row r="94" spans="4:14" ht="18.75" customHeight="1" x14ac:dyDescent="0.3">
      <c r="G94" s="73" t="s">
        <v>73</v>
      </c>
      <c r="H94" s="73" t="s">
        <v>534</v>
      </c>
      <c r="I94" s="74" t="s">
        <v>545</v>
      </c>
    </row>
    <row r="95" spans="4:14" ht="18.75" customHeight="1" x14ac:dyDescent="0.3">
      <c r="G95" s="74" t="s">
        <v>74</v>
      </c>
      <c r="H95" s="74" t="s">
        <v>500</v>
      </c>
    </row>
    <row r="96" spans="4:14" ht="18.75" customHeight="1" x14ac:dyDescent="0.3">
      <c r="G96" s="74" t="s">
        <v>546</v>
      </c>
      <c r="H96" s="74" t="s">
        <v>542</v>
      </c>
    </row>
    <row r="97" spans="5:9" ht="18.75" customHeight="1" x14ac:dyDescent="0.3">
      <c r="G97" s="74" t="s">
        <v>547</v>
      </c>
      <c r="H97" s="74" t="s">
        <v>507</v>
      </c>
    </row>
    <row r="98" spans="5:9" ht="18.75" customHeight="1" x14ac:dyDescent="0.3">
      <c r="G98" s="75" t="s">
        <v>74</v>
      </c>
      <c r="H98" s="75" t="s">
        <v>500</v>
      </c>
      <c r="I98" s="75" t="s">
        <v>548</v>
      </c>
    </row>
    <row r="99" spans="5:9" ht="18.75" customHeight="1" x14ac:dyDescent="0.3">
      <c r="G99" s="75" t="s">
        <v>541</v>
      </c>
      <c r="H99" s="75" t="s">
        <v>542</v>
      </c>
      <c r="I99" s="75"/>
    </row>
    <row r="100" spans="5:9" ht="18.75" customHeight="1" x14ac:dyDescent="0.3">
      <c r="G100" s="75" t="s">
        <v>77</v>
      </c>
      <c r="H100" s="75" t="s">
        <v>507</v>
      </c>
      <c r="I100" s="76"/>
    </row>
    <row r="101" spans="5:9" ht="18.75" customHeight="1" x14ac:dyDescent="0.3">
      <c r="E101" s="17"/>
      <c r="G101" s="75" t="s">
        <v>539</v>
      </c>
      <c r="H101" s="75" t="s">
        <v>540</v>
      </c>
      <c r="I101" s="76"/>
    </row>
    <row r="102" spans="5:9" ht="18.75" customHeight="1" x14ac:dyDescent="0.3">
      <c r="E102" s="17"/>
      <c r="G102" s="75" t="s">
        <v>73</v>
      </c>
      <c r="H102" s="75" t="s">
        <v>534</v>
      </c>
      <c r="I102" s="75"/>
    </row>
    <row r="103" spans="5:9" ht="18.75" customHeight="1" x14ac:dyDescent="0.3">
      <c r="G103" s="77" t="s">
        <v>74</v>
      </c>
      <c r="H103" s="77" t="s">
        <v>500</v>
      </c>
      <c r="I103" s="77" t="s">
        <v>536</v>
      </c>
    </row>
    <row r="104" spans="5:9" ht="18.75" customHeight="1" x14ac:dyDescent="0.3">
      <c r="G104" s="77" t="s">
        <v>546</v>
      </c>
      <c r="H104" s="77" t="s">
        <v>542</v>
      </c>
      <c r="I104" s="77"/>
    </row>
    <row r="105" spans="5:9" ht="18.75" customHeight="1" x14ac:dyDescent="0.3">
      <c r="G105" s="77" t="s">
        <v>547</v>
      </c>
      <c r="H105" s="77" t="s">
        <v>507</v>
      </c>
      <c r="I105" s="77"/>
    </row>
    <row r="106" spans="5:9" ht="18.75" customHeight="1" x14ac:dyDescent="0.3">
      <c r="G106" s="77" t="s">
        <v>73</v>
      </c>
      <c r="H106" s="77" t="s">
        <v>534</v>
      </c>
      <c r="I106" s="77"/>
    </row>
    <row r="107" spans="5:9" ht="18.75" customHeight="1" x14ac:dyDescent="0.3">
      <c r="G107" s="78" t="s">
        <v>72</v>
      </c>
      <c r="H107" s="78" t="s">
        <v>537</v>
      </c>
      <c r="I107" s="78" t="s">
        <v>533</v>
      </c>
    </row>
    <row r="108" spans="5:9" ht="18.75" customHeight="1" x14ac:dyDescent="0.3">
      <c r="G108" s="78" t="s">
        <v>73</v>
      </c>
      <c r="H108" s="78" t="s">
        <v>534</v>
      </c>
      <c r="I108" s="78"/>
    </row>
    <row r="109" spans="5:9" ht="18.75" customHeight="1" x14ac:dyDescent="0.3">
      <c r="G109" s="78" t="s">
        <v>539</v>
      </c>
      <c r="H109" s="78" t="s">
        <v>540</v>
      </c>
      <c r="I109" s="78"/>
    </row>
    <row r="110" spans="5:9" ht="18.75" customHeight="1" x14ac:dyDescent="0.3">
      <c r="G110" s="78" t="s">
        <v>74</v>
      </c>
      <c r="H110" s="78" t="s">
        <v>500</v>
      </c>
      <c r="I110" s="78"/>
    </row>
    <row r="111" spans="5:9" ht="18.75" customHeight="1" x14ac:dyDescent="0.3">
      <c r="G111" s="78" t="s">
        <v>541</v>
      </c>
      <c r="H111" s="78" t="s">
        <v>542</v>
      </c>
      <c r="I111" s="78"/>
    </row>
    <row r="112" spans="5:9" ht="18.75" customHeight="1" x14ac:dyDescent="0.3">
      <c r="G112" s="78" t="s">
        <v>77</v>
      </c>
      <c r="H112" s="78" t="s">
        <v>507</v>
      </c>
      <c r="I112" s="78"/>
    </row>
    <row r="113" spans="4:9" ht="18.75" customHeight="1" x14ac:dyDescent="0.3">
      <c r="G113" s="78" t="s">
        <v>75</v>
      </c>
      <c r="H113" s="78" t="s">
        <v>75</v>
      </c>
      <c r="I113" s="78"/>
    </row>
    <row r="114" spans="4:9" ht="18.75" customHeight="1" x14ac:dyDescent="0.3">
      <c r="G114" s="331" t="s">
        <v>72</v>
      </c>
      <c r="H114" s="331" t="s">
        <v>537</v>
      </c>
      <c r="I114" s="331" t="s">
        <v>549</v>
      </c>
    </row>
    <row r="115" spans="4:9" ht="18.75" customHeight="1" x14ac:dyDescent="0.3">
      <c r="G115" s="331" t="s">
        <v>74</v>
      </c>
      <c r="H115" s="331" t="s">
        <v>500</v>
      </c>
      <c r="I115" s="331"/>
    </row>
    <row r="116" spans="4:9" ht="18.75" customHeight="1" x14ac:dyDescent="0.3">
      <c r="G116" s="331" t="s">
        <v>75</v>
      </c>
      <c r="H116" s="331" t="s">
        <v>75</v>
      </c>
      <c r="I116" s="331"/>
    </row>
    <row r="117" spans="4:9" ht="18.75" customHeight="1" x14ac:dyDescent="0.3">
      <c r="G117" s="331" t="s">
        <v>539</v>
      </c>
      <c r="H117" s="331" t="s">
        <v>540</v>
      </c>
      <c r="I117" s="331"/>
    </row>
    <row r="118" spans="4:9" ht="18.75" customHeight="1" x14ac:dyDescent="0.3">
      <c r="G118" s="331" t="s">
        <v>541</v>
      </c>
      <c r="H118" s="331" t="s">
        <v>542</v>
      </c>
      <c r="I118" s="331"/>
    </row>
    <row r="119" spans="4:9" ht="18.75" customHeight="1" x14ac:dyDescent="0.3">
      <c r="G119" s="331" t="s">
        <v>77</v>
      </c>
      <c r="H119" s="331" t="s">
        <v>507</v>
      </c>
      <c r="I119" s="331"/>
    </row>
    <row r="120" spans="4:9" ht="18.75" customHeight="1" x14ac:dyDescent="0.3"/>
    <row r="121" spans="4:9" ht="18.75" customHeight="1" x14ac:dyDescent="0.3">
      <c r="D121" s="17" t="s">
        <v>550</v>
      </c>
      <c r="E121" s="17" t="s">
        <v>551</v>
      </c>
      <c r="F121" s="24" t="s">
        <v>481</v>
      </c>
      <c r="G121" s="24" t="s">
        <v>481</v>
      </c>
      <c r="H121" s="60" t="s">
        <v>494</v>
      </c>
    </row>
    <row r="122" spans="4:9" ht="18.75" customHeight="1" x14ac:dyDescent="0.3">
      <c r="D122" s="17">
        <f>'Project Compliance Tool'!$D$4</f>
        <v>0</v>
      </c>
      <c r="E122" s="17" t="str">
        <f>IFERROR(VLOOKUP(D122,D80:E81,2,FALSE),"")</f>
        <v/>
      </c>
      <c r="F122" s="24">
        <f>'Project Compliance Tool'!$D$5</f>
        <v>0</v>
      </c>
      <c r="G122" s="24" t="e">
        <f>VLOOKUP(F122,G83:H116,2,FALSE)</f>
        <v>#N/A</v>
      </c>
      <c r="H122" s="24" t="str">
        <f ca="1">IF(OR(AND(E102=0,F102=0),AND(E102&lt;&gt;0,F102=0)),"OK",IF(ISERROR(VLOOKUP(F102,INDIRECT(E102),1,FALSE)),"Client Type","OK"))</f>
        <v>OK</v>
      </c>
    </row>
    <row r="123" spans="4:9" ht="18.75" customHeight="1" x14ac:dyDescent="0.3"/>
    <row r="124" spans="4:9" ht="18.75" customHeight="1" x14ac:dyDescent="0.3"/>
    <row r="125" spans="4:9" ht="18.75" customHeight="1" x14ac:dyDescent="0.3"/>
    <row r="126" spans="4:9" ht="18.75" customHeight="1" x14ac:dyDescent="0.3"/>
    <row r="127" spans="4:9" ht="18.75" customHeight="1" x14ac:dyDescent="0.3"/>
    <row r="128" spans="4:9" ht="18.75" customHeight="1" x14ac:dyDescent="0.3"/>
    <row r="129" ht="18.75" customHeight="1" x14ac:dyDescent="0.3"/>
    <row r="130" ht="18.75" customHeight="1" x14ac:dyDescent="0.3"/>
    <row r="131" ht="18.75" customHeight="1" x14ac:dyDescent="0.3"/>
    <row r="132" ht="18.75" customHeight="1" x14ac:dyDescent="0.3"/>
    <row r="133" ht="18.75" customHeight="1" x14ac:dyDescent="0.3"/>
    <row r="134" ht="18.75" customHeight="1" x14ac:dyDescent="0.3"/>
    <row r="135" ht="18.75" customHeight="1" x14ac:dyDescent="0.3"/>
    <row r="136" ht="18.75" customHeight="1" x14ac:dyDescent="0.3"/>
    <row r="137" ht="18.75" customHeight="1" x14ac:dyDescent="0.3"/>
    <row r="138" ht="18.75" customHeight="1" x14ac:dyDescent="0.3"/>
    <row r="139" ht="18.75" customHeight="1" x14ac:dyDescent="0.3"/>
    <row r="140" ht="18.75" customHeight="1" x14ac:dyDescent="0.3"/>
    <row r="141" ht="18.75" customHeight="1" x14ac:dyDescent="0.3"/>
    <row r="142" ht="18.75" customHeight="1" x14ac:dyDescent="0.3"/>
    <row r="143" ht="18.75" customHeight="1" x14ac:dyDescent="0.3"/>
    <row r="144" ht="18.75" customHeight="1" x14ac:dyDescent="0.3"/>
    <row r="145" ht="18.75" customHeight="1" x14ac:dyDescent="0.3"/>
    <row r="146" ht="18.75" customHeight="1" x14ac:dyDescent="0.3"/>
  </sheetData>
  <sheetProtection selectLockedCells="1" selectUnlockedCells="1"/>
  <pageMargins left="0.70866141732283472" right="0.32" top="0.74803149606299213" bottom="0.74803149606299213" header="0.31496062992125984" footer="0.31496062992125984"/>
  <pageSetup paperSize="8" scale="96" fitToWidth="2" fitToHeight="2" orientation="portrait" horizontalDpi="4294967293" r:id="rId1"/>
  <customProperties>
    <customPr name="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D7369-698F-44A2-B470-10410404D7ED}">
  <sheetPr>
    <tabColor rgb="FFACEACF"/>
  </sheetPr>
  <dimension ref="B1:N91"/>
  <sheetViews>
    <sheetView showGridLines="0" topLeftCell="A12" zoomScale="80" zoomScaleNormal="80" workbookViewId="0">
      <selection activeCell="I57" sqref="I57"/>
    </sheetView>
  </sheetViews>
  <sheetFormatPr defaultColWidth="9.1796875" defaultRowHeight="15.5" x14ac:dyDescent="0.25"/>
  <cols>
    <col min="1" max="1" width="3.54296875" style="257" customWidth="1"/>
    <col min="2" max="2" width="34.81640625" style="258" customWidth="1"/>
    <col min="3" max="3" width="14.453125" style="257" customWidth="1"/>
    <col min="4" max="8" width="22.1796875" style="257" customWidth="1"/>
    <col min="9" max="9" width="122.54296875" style="259" customWidth="1"/>
    <col min="10" max="16384" width="9.1796875" style="257"/>
  </cols>
  <sheetData>
    <row r="1" spans="2:11" ht="16" thickBot="1" x14ac:dyDescent="0.3"/>
    <row r="2" spans="2:11" x14ac:dyDescent="0.25">
      <c r="B2" s="260"/>
      <c r="C2" s="261"/>
      <c r="D2" s="261"/>
      <c r="E2" s="261"/>
      <c r="F2" s="261"/>
      <c r="G2" s="261"/>
      <c r="H2" s="262"/>
    </row>
    <row r="3" spans="2:11" x14ac:dyDescent="0.25">
      <c r="B3" s="263"/>
      <c r="H3" s="264"/>
    </row>
    <row r="4" spans="2:11" x14ac:dyDescent="0.25">
      <c r="B4" s="265"/>
      <c r="C4" s="266"/>
      <c r="D4" s="266"/>
      <c r="E4" s="266"/>
      <c r="F4" s="266"/>
      <c r="G4" s="266"/>
      <c r="H4" s="267"/>
    </row>
    <row r="5" spans="2:11" ht="23.25" customHeight="1" x14ac:dyDescent="0.25">
      <c r="B5" s="964" t="s">
        <v>552</v>
      </c>
      <c r="C5" s="965"/>
      <c r="D5" s="965"/>
      <c r="E5" s="965"/>
      <c r="F5" s="965"/>
      <c r="G5" s="965"/>
      <c r="H5" s="966"/>
    </row>
    <row r="6" spans="2:11" x14ac:dyDescent="0.25">
      <c r="B6" s="268" t="s">
        <v>553</v>
      </c>
      <c r="H6" s="264"/>
    </row>
    <row r="7" spans="2:11" x14ac:dyDescent="0.25">
      <c r="B7" s="269"/>
      <c r="H7" s="264"/>
      <c r="I7" s="270" t="s">
        <v>554</v>
      </c>
    </row>
    <row r="8" spans="2:11" ht="18.75" customHeight="1" x14ac:dyDescent="0.25">
      <c r="B8" s="271" t="s">
        <v>555</v>
      </c>
      <c r="C8" s="967" t="str">
        <f>IF('Business Case'!D9="","",'Business Case'!D9)</f>
        <v/>
      </c>
      <c r="D8" s="967"/>
      <c r="E8" s="967"/>
      <c r="F8" s="967"/>
      <c r="G8" s="967"/>
      <c r="H8" s="968"/>
      <c r="I8" s="962" t="s">
        <v>556</v>
      </c>
    </row>
    <row r="9" spans="2:11" x14ac:dyDescent="0.25">
      <c r="B9" s="272"/>
      <c r="H9" s="264"/>
      <c r="I9" s="962"/>
    </row>
    <row r="10" spans="2:11" x14ac:dyDescent="0.25">
      <c r="B10" s="271" t="s">
        <v>557</v>
      </c>
      <c r="C10" s="967" t="str">
        <f>IF('Project Compliance Tool'!D3="","",'Project Compliance Tool'!D3)</f>
        <v/>
      </c>
      <c r="D10" s="967"/>
      <c r="E10" s="967"/>
      <c r="F10" s="967"/>
      <c r="G10" s="967"/>
      <c r="H10" s="968"/>
      <c r="I10" s="962"/>
    </row>
    <row r="11" spans="2:11" x14ac:dyDescent="0.25">
      <c r="B11" s="269"/>
      <c r="H11" s="264"/>
      <c r="I11" s="273"/>
    </row>
    <row r="12" spans="2:11" x14ac:dyDescent="0.25">
      <c r="B12" s="268" t="s">
        <v>558</v>
      </c>
      <c r="D12" s="257" t="s">
        <v>559</v>
      </c>
      <c r="H12" s="264"/>
      <c r="I12" s="273"/>
    </row>
    <row r="13" spans="2:11" ht="15.75" customHeight="1" x14ac:dyDescent="0.25">
      <c r="B13" s="263"/>
      <c r="H13" s="264"/>
      <c r="I13" s="972" t="s">
        <v>560</v>
      </c>
    </row>
    <row r="14" spans="2:11" ht="61.4" customHeight="1" x14ac:dyDescent="0.25">
      <c r="B14" s="455" t="s">
        <v>561</v>
      </c>
      <c r="C14" s="456"/>
      <c r="D14" s="969"/>
      <c r="E14" s="970"/>
      <c r="F14" s="970"/>
      <c r="G14" s="970"/>
      <c r="H14" s="971"/>
      <c r="I14" s="972"/>
      <c r="J14" s="274"/>
      <c r="K14" s="274"/>
    </row>
    <row r="15" spans="2:11" x14ac:dyDescent="0.25">
      <c r="B15" s="275"/>
      <c r="C15" s="276"/>
      <c r="D15" s="277"/>
      <c r="E15" s="277"/>
      <c r="F15" s="278"/>
      <c r="G15" s="278"/>
      <c r="H15" s="279"/>
      <c r="I15" s="329"/>
      <c r="J15" s="274"/>
      <c r="K15" s="274"/>
    </row>
    <row r="16" spans="2:11" ht="61.4" customHeight="1" x14ac:dyDescent="0.25">
      <c r="B16" s="455" t="s">
        <v>562</v>
      </c>
      <c r="C16" s="456"/>
      <c r="D16" s="969"/>
      <c r="E16" s="970"/>
      <c r="F16" s="970"/>
      <c r="G16" s="970"/>
      <c r="H16" s="971"/>
      <c r="I16" s="453" t="s">
        <v>563</v>
      </c>
      <c r="J16" s="274"/>
      <c r="K16" s="274"/>
    </row>
    <row r="17" spans="2:11" x14ac:dyDescent="0.25">
      <c r="B17" s="275"/>
      <c r="C17" s="276"/>
      <c r="D17" s="277"/>
      <c r="E17" s="277"/>
      <c r="F17" s="278"/>
      <c r="G17" s="278"/>
      <c r="H17" s="279"/>
      <c r="I17" s="329"/>
      <c r="J17" s="274"/>
      <c r="K17" s="274"/>
    </row>
    <row r="18" spans="2:11" ht="61.4" customHeight="1" x14ac:dyDescent="0.25">
      <c r="B18" s="455" t="s">
        <v>564</v>
      </c>
      <c r="C18" s="456"/>
      <c r="D18" s="969"/>
      <c r="E18" s="970"/>
      <c r="F18" s="970"/>
      <c r="G18" s="970"/>
      <c r="H18" s="971"/>
      <c r="I18" s="329" t="s">
        <v>565</v>
      </c>
      <c r="J18" s="274"/>
      <c r="K18" s="274"/>
    </row>
    <row r="19" spans="2:11" x14ac:dyDescent="0.25">
      <c r="B19" s="275"/>
      <c r="C19" s="276"/>
      <c r="D19" s="281"/>
      <c r="E19" s="281"/>
      <c r="F19" s="273"/>
      <c r="G19" s="273"/>
      <c r="H19" s="282"/>
      <c r="I19" s="280"/>
      <c r="J19" s="274"/>
      <c r="K19" s="274"/>
    </row>
    <row r="20" spans="2:11" ht="38.25" customHeight="1" x14ac:dyDescent="0.25">
      <c r="B20" s="455" t="s">
        <v>566</v>
      </c>
      <c r="C20" s="456"/>
      <c r="D20" s="969"/>
      <c r="E20" s="970"/>
      <c r="F20" s="970"/>
      <c r="G20" s="970"/>
      <c r="H20" s="971"/>
      <c r="I20" s="963" t="s">
        <v>567</v>
      </c>
      <c r="J20" s="274"/>
      <c r="K20" s="274"/>
    </row>
    <row r="21" spans="2:11" x14ac:dyDescent="0.25">
      <c r="B21" s="275"/>
      <c r="C21" s="276"/>
      <c r="D21" s="283"/>
      <c r="E21" s="283"/>
      <c r="F21" s="284"/>
      <c r="G21" s="284"/>
      <c r="H21" s="285"/>
      <c r="I21" s="963"/>
      <c r="J21" s="274"/>
      <c r="K21" s="274"/>
    </row>
    <row r="22" spans="2:11" ht="38.25" customHeight="1" x14ac:dyDescent="0.25">
      <c r="B22" s="455" t="s">
        <v>568</v>
      </c>
      <c r="C22" s="456"/>
      <c r="D22" s="969"/>
      <c r="E22" s="970"/>
      <c r="F22" s="970"/>
      <c r="G22" s="970"/>
      <c r="H22" s="971"/>
      <c r="I22" s="453" t="s">
        <v>569</v>
      </c>
      <c r="J22" s="274"/>
      <c r="K22" s="274"/>
    </row>
    <row r="23" spans="2:11" x14ac:dyDescent="0.25">
      <c r="B23" s="263"/>
      <c r="D23" s="286"/>
      <c r="E23" s="286"/>
      <c r="F23" s="286"/>
      <c r="G23" s="286"/>
      <c r="H23" s="287"/>
      <c r="I23" s="273"/>
    </row>
    <row r="24" spans="2:11" x14ac:dyDescent="0.25">
      <c r="B24" s="268" t="s">
        <v>570</v>
      </c>
      <c r="D24" s="286"/>
      <c r="E24" s="286"/>
      <c r="F24" s="286"/>
      <c r="G24" s="286"/>
      <c r="H24" s="287"/>
      <c r="I24" s="273"/>
    </row>
    <row r="25" spans="2:11" x14ac:dyDescent="0.25">
      <c r="B25" s="263"/>
      <c r="D25" s="286"/>
      <c r="E25" s="286"/>
      <c r="F25" s="286"/>
      <c r="G25" s="286"/>
      <c r="H25" s="287"/>
      <c r="I25" s="273"/>
    </row>
    <row r="26" spans="2:11" ht="30" customHeight="1" x14ac:dyDescent="0.25">
      <c r="B26" s="288" t="s">
        <v>571</v>
      </c>
      <c r="C26" s="466"/>
      <c r="D26" s="973" t="s">
        <v>559</v>
      </c>
      <c r="E26" s="974"/>
      <c r="F26" s="974"/>
      <c r="G26" s="974"/>
      <c r="H26" s="975"/>
      <c r="I26" s="329" t="s">
        <v>572</v>
      </c>
      <c r="J26" s="274"/>
      <c r="K26" s="274"/>
    </row>
    <row r="27" spans="2:11" ht="30" customHeight="1" x14ac:dyDescent="0.25">
      <c r="B27" s="288" t="s">
        <v>573</v>
      </c>
      <c r="C27" s="466"/>
      <c r="D27" s="973"/>
      <c r="E27" s="974"/>
      <c r="F27" s="974"/>
      <c r="G27" s="974"/>
      <c r="H27" s="975"/>
      <c r="I27" s="329" t="s">
        <v>574</v>
      </c>
      <c r="J27" s="274"/>
      <c r="K27" s="274"/>
    </row>
    <row r="28" spans="2:11" ht="30" customHeight="1" x14ac:dyDescent="0.25">
      <c r="B28" s="288" t="s">
        <v>575</v>
      </c>
      <c r="C28" s="466"/>
      <c r="D28" s="973"/>
      <c r="E28" s="974"/>
      <c r="F28" s="974"/>
      <c r="G28" s="974"/>
      <c r="H28" s="975"/>
      <c r="I28" s="329" t="s">
        <v>576</v>
      </c>
      <c r="J28" s="274"/>
      <c r="K28" s="274"/>
    </row>
    <row r="29" spans="2:11" ht="30" customHeight="1" x14ac:dyDescent="0.25">
      <c r="B29" s="288" t="s">
        <v>577</v>
      </c>
      <c r="C29" s="466"/>
      <c r="D29" s="973"/>
      <c r="E29" s="974"/>
      <c r="F29" s="974"/>
      <c r="G29" s="974"/>
      <c r="H29" s="975"/>
      <c r="I29" s="962" t="s">
        <v>578</v>
      </c>
      <c r="J29" s="274"/>
      <c r="K29" s="274"/>
    </row>
    <row r="30" spans="2:11" ht="75" customHeight="1" x14ac:dyDescent="0.25">
      <c r="B30" s="979" t="s">
        <v>579</v>
      </c>
      <c r="C30" s="980"/>
      <c r="D30" s="976"/>
      <c r="E30" s="977"/>
      <c r="F30" s="977"/>
      <c r="G30" s="977"/>
      <c r="H30" s="978"/>
      <c r="I30" s="962"/>
      <c r="J30" s="274"/>
      <c r="K30" s="274"/>
    </row>
    <row r="31" spans="2:11" x14ac:dyDescent="0.25">
      <c r="B31" s="981"/>
      <c r="C31" s="982"/>
      <c r="D31" s="982"/>
      <c r="E31" s="982"/>
      <c r="F31" s="982"/>
      <c r="G31" s="982"/>
      <c r="H31" s="983"/>
      <c r="I31" s="329"/>
      <c r="J31" s="274"/>
      <c r="K31" s="274"/>
    </row>
    <row r="32" spans="2:11" ht="38.25" customHeight="1" x14ac:dyDescent="0.25">
      <c r="B32" s="454" t="s">
        <v>580</v>
      </c>
      <c r="C32" s="456"/>
      <c r="D32" s="969"/>
      <c r="E32" s="970"/>
      <c r="F32" s="970"/>
      <c r="G32" s="970"/>
      <c r="H32" s="971"/>
      <c r="I32" s="329" t="s">
        <v>581</v>
      </c>
      <c r="J32" s="274"/>
      <c r="K32" s="274"/>
    </row>
    <row r="33" spans="2:14" x14ac:dyDescent="0.25">
      <c r="B33" s="984"/>
      <c r="C33" s="985"/>
      <c r="D33" s="985"/>
      <c r="E33" s="985"/>
      <c r="F33" s="985"/>
      <c r="G33" s="985"/>
      <c r="H33" s="986"/>
      <c r="I33" s="329"/>
      <c r="J33" s="274"/>
      <c r="K33" s="274"/>
    </row>
    <row r="34" spans="2:14" ht="52.5" customHeight="1" x14ac:dyDescent="0.25">
      <c r="B34" s="454" t="s">
        <v>582</v>
      </c>
      <c r="C34" s="456"/>
      <c r="D34" s="969"/>
      <c r="E34" s="970"/>
      <c r="F34" s="970"/>
      <c r="G34" s="970"/>
      <c r="H34" s="971"/>
      <c r="I34" s="329" t="s">
        <v>583</v>
      </c>
      <c r="J34" s="274"/>
      <c r="K34" s="274"/>
    </row>
    <row r="35" spans="2:14" x14ac:dyDescent="0.25">
      <c r="B35" s="984"/>
      <c r="C35" s="985"/>
      <c r="D35" s="985"/>
      <c r="E35" s="985"/>
      <c r="F35" s="985"/>
      <c r="G35" s="985"/>
      <c r="H35" s="986"/>
      <c r="I35" s="329"/>
      <c r="J35" s="274"/>
      <c r="K35" s="274"/>
    </row>
    <row r="36" spans="2:14" ht="38.25" customHeight="1" x14ac:dyDescent="0.25">
      <c r="B36" s="454" t="s">
        <v>584</v>
      </c>
      <c r="C36" s="456"/>
      <c r="D36" s="987"/>
      <c r="E36" s="987"/>
      <c r="F36" s="987"/>
      <c r="G36" s="987"/>
      <c r="H36" s="988"/>
      <c r="I36" s="329" t="s">
        <v>585</v>
      </c>
      <c r="J36" s="274"/>
      <c r="K36" s="274"/>
    </row>
    <row r="37" spans="2:14" ht="15.75" customHeight="1" x14ac:dyDescent="0.25">
      <c r="B37" s="289"/>
      <c r="C37" s="290"/>
      <c r="D37" s="290"/>
      <c r="E37" s="290"/>
      <c r="F37" s="290"/>
      <c r="G37" s="290"/>
      <c r="H37" s="291"/>
      <c r="I37" s="273"/>
    </row>
    <row r="38" spans="2:14" ht="15.75" customHeight="1" x14ac:dyDescent="0.25">
      <c r="B38" s="293" t="s">
        <v>586</v>
      </c>
      <c r="C38" s="292"/>
      <c r="D38" s="292"/>
      <c r="E38" s="294"/>
      <c r="F38" s="294"/>
      <c r="G38" s="294"/>
      <c r="H38" s="295"/>
      <c r="I38" s="273"/>
    </row>
    <row r="39" spans="2:14" x14ac:dyDescent="0.25">
      <c r="B39" s="989"/>
      <c r="C39" s="990"/>
      <c r="D39" s="990"/>
      <c r="E39" s="990"/>
      <c r="F39" s="990"/>
      <c r="G39" s="990"/>
      <c r="H39" s="991"/>
      <c r="I39" s="329"/>
      <c r="J39" s="274"/>
      <c r="K39" s="274"/>
    </row>
    <row r="40" spans="2:14" ht="38.25" customHeight="1" x14ac:dyDescent="0.25">
      <c r="B40" s="452" t="s">
        <v>587</v>
      </c>
      <c r="C40" s="456"/>
      <c r="D40" s="969"/>
      <c r="E40" s="970"/>
      <c r="F40" s="970"/>
      <c r="G40" s="970"/>
      <c r="H40" s="971"/>
      <c r="I40" s="467" t="s">
        <v>588</v>
      </c>
      <c r="J40" s="274"/>
      <c r="K40" s="274"/>
    </row>
    <row r="41" spans="2:14" x14ac:dyDescent="0.25">
      <c r="B41" s="984"/>
      <c r="C41" s="985"/>
      <c r="D41" s="985"/>
      <c r="E41" s="985"/>
      <c r="F41" s="985"/>
      <c r="G41" s="985"/>
      <c r="H41" s="986"/>
      <c r="I41" s="329"/>
      <c r="J41" s="274"/>
      <c r="K41" s="274"/>
    </row>
    <row r="42" spans="2:14" ht="57.75" customHeight="1" x14ac:dyDescent="0.25">
      <c r="B42" s="452" t="s">
        <v>589</v>
      </c>
      <c r="C42" s="456"/>
      <c r="D42" s="969"/>
      <c r="E42" s="970"/>
      <c r="F42" s="970"/>
      <c r="G42" s="970"/>
      <c r="H42" s="971"/>
      <c r="I42" s="329" t="s">
        <v>590</v>
      </c>
      <c r="J42" s="274"/>
      <c r="K42" s="274"/>
    </row>
    <row r="43" spans="2:14" x14ac:dyDescent="0.25">
      <c r="B43" s="984"/>
      <c r="C43" s="985"/>
      <c r="D43" s="985"/>
      <c r="E43" s="985"/>
      <c r="F43" s="985"/>
      <c r="G43" s="985"/>
      <c r="H43" s="986"/>
      <c r="I43" s="329"/>
      <c r="J43" s="274"/>
      <c r="K43" s="274"/>
    </row>
    <row r="44" spans="2:14" ht="38.25" customHeight="1" x14ac:dyDescent="0.25">
      <c r="B44" s="452" t="s">
        <v>591</v>
      </c>
      <c r="C44" s="456"/>
      <c r="D44" s="969"/>
      <c r="E44" s="970"/>
      <c r="F44" s="970"/>
      <c r="G44" s="970"/>
      <c r="H44" s="971"/>
      <c r="I44" s="329" t="s">
        <v>592</v>
      </c>
      <c r="J44" s="274"/>
      <c r="K44" s="274"/>
    </row>
    <row r="45" spans="2:14" x14ac:dyDescent="0.25">
      <c r="B45" s="1001"/>
      <c r="C45" s="1002"/>
      <c r="D45" s="1002"/>
      <c r="E45" s="1002"/>
      <c r="F45" s="1002"/>
      <c r="G45" s="1002"/>
      <c r="H45" s="1003"/>
      <c r="I45" s="273"/>
    </row>
    <row r="46" spans="2:14" ht="54" customHeight="1" x14ac:dyDescent="0.25">
      <c r="B46" s="452" t="s">
        <v>593</v>
      </c>
      <c r="C46" s="456"/>
      <c r="D46" s="969"/>
      <c r="E46" s="970"/>
      <c r="F46" s="970"/>
      <c r="G46" s="970"/>
      <c r="H46" s="971"/>
      <c r="I46" s="273"/>
    </row>
    <row r="47" spans="2:14" ht="18.5" x14ac:dyDescent="0.25">
      <c r="B47" s="263"/>
      <c r="E47" s="297"/>
      <c r="F47" s="297"/>
      <c r="G47" s="298"/>
      <c r="H47" s="299"/>
      <c r="I47" s="273"/>
      <c r="J47" s="296"/>
      <c r="K47" s="300">
        <v>2.2999999999999998</v>
      </c>
      <c r="L47" s="301" t="e">
        <f>#REF!</f>
        <v>#REF!</v>
      </c>
      <c r="M47" s="300"/>
      <c r="N47" s="296"/>
    </row>
    <row r="48" spans="2:14" ht="18.5" x14ac:dyDescent="0.25">
      <c r="B48" s="302"/>
      <c r="C48" s="303"/>
      <c r="D48" s="303"/>
      <c r="E48" s="304"/>
      <c r="F48" s="304"/>
      <c r="G48" s="305"/>
      <c r="H48" s="306"/>
      <c r="I48" s="273"/>
      <c r="J48" s="296"/>
      <c r="K48" s="300">
        <v>2.4</v>
      </c>
      <c r="L48" s="301" t="e">
        <f>#REF!</f>
        <v>#REF!</v>
      </c>
      <c r="M48" s="300"/>
      <c r="N48" s="296"/>
    </row>
    <row r="49" spans="2:14" x14ac:dyDescent="0.25">
      <c r="B49" s="1004" t="s">
        <v>594</v>
      </c>
      <c r="C49" s="1005"/>
      <c r="D49" s="1006"/>
      <c r="E49" s="1007"/>
      <c r="F49" s="1007"/>
      <c r="G49" s="1007"/>
      <c r="H49" s="1008"/>
      <c r="I49" s="1000" t="s">
        <v>595</v>
      </c>
      <c r="J49" s="296"/>
      <c r="K49" s="300">
        <v>2.5</v>
      </c>
      <c r="L49" s="301" t="e">
        <f>#REF!</f>
        <v>#REF!</v>
      </c>
      <c r="M49" s="300"/>
      <c r="N49" s="296"/>
    </row>
    <row r="50" spans="2:14" x14ac:dyDescent="0.25">
      <c r="B50" s="992"/>
      <c r="C50" s="993"/>
      <c r="D50" s="997"/>
      <c r="E50" s="998"/>
      <c r="F50" s="998"/>
      <c r="G50" s="998"/>
      <c r="H50" s="999"/>
      <c r="I50" s="1000"/>
      <c r="J50" s="296"/>
      <c r="K50" s="300">
        <v>2.6</v>
      </c>
      <c r="L50" s="301" t="e">
        <f>#REF!</f>
        <v>#REF!</v>
      </c>
      <c r="M50" s="300"/>
      <c r="N50" s="296"/>
    </row>
    <row r="51" spans="2:14" ht="15.75" customHeight="1" x14ac:dyDescent="0.25">
      <c r="B51" s="307"/>
      <c r="C51" s="273"/>
      <c r="E51" s="297"/>
      <c r="F51" s="297"/>
      <c r="G51" s="298"/>
      <c r="H51" s="299"/>
      <c r="I51" s="273"/>
      <c r="J51" s="296"/>
      <c r="K51" s="300">
        <v>2.7</v>
      </c>
      <c r="L51" s="301" t="e">
        <f>#REF!</f>
        <v>#REF!</v>
      </c>
      <c r="M51" s="300"/>
      <c r="N51" s="296"/>
    </row>
    <row r="52" spans="2:14" x14ac:dyDescent="0.25">
      <c r="B52" s="992" t="s">
        <v>596</v>
      </c>
      <c r="C52" s="993"/>
      <c r="D52" s="994"/>
      <c r="E52" s="995"/>
      <c r="F52" s="995"/>
      <c r="G52" s="995"/>
      <c r="H52" s="996"/>
      <c r="I52" s="1009" t="s">
        <v>597</v>
      </c>
      <c r="J52" s="296"/>
      <c r="K52" s="300">
        <v>3.1</v>
      </c>
      <c r="L52" s="301" t="e">
        <f>#REF!</f>
        <v>#REF!</v>
      </c>
      <c r="M52" s="300"/>
      <c r="N52" s="296"/>
    </row>
    <row r="53" spans="2:14" x14ac:dyDescent="0.25">
      <c r="B53" s="992"/>
      <c r="C53" s="993"/>
      <c r="D53" s="997"/>
      <c r="E53" s="998"/>
      <c r="F53" s="998"/>
      <c r="G53" s="998"/>
      <c r="H53" s="999"/>
      <c r="I53" s="1009"/>
      <c r="J53" s="296"/>
      <c r="K53" s="300">
        <v>3.2</v>
      </c>
      <c r="L53" s="301" t="e">
        <f>#REF!</f>
        <v>#REF!</v>
      </c>
      <c r="M53" s="300"/>
      <c r="N53" s="296"/>
    </row>
    <row r="54" spans="2:14" x14ac:dyDescent="0.25">
      <c r="B54" s="308"/>
      <c r="C54" s="309"/>
      <c r="D54" s="310"/>
      <c r="E54" s="310"/>
      <c r="F54" s="310"/>
      <c r="G54" s="310"/>
      <c r="H54" s="311"/>
      <c r="I54" s="330"/>
      <c r="J54" s="296"/>
      <c r="K54" s="300">
        <v>3.3</v>
      </c>
      <c r="L54" s="301" t="e">
        <f>#REF!</f>
        <v>#REF!</v>
      </c>
      <c r="M54" s="300"/>
      <c r="N54" s="296"/>
    </row>
    <row r="55" spans="2:14" ht="31.5" customHeight="1" x14ac:dyDescent="0.25">
      <c r="B55" s="312" t="s">
        <v>598</v>
      </c>
      <c r="C55" s="313">
        <f>'Business Case'!H76</f>
        <v>0</v>
      </c>
      <c r="D55" s="1010"/>
      <c r="E55" s="1011"/>
      <c r="F55" s="1011"/>
      <c r="G55" s="1011"/>
      <c r="H55" s="1012"/>
      <c r="I55" s="330" t="s">
        <v>599</v>
      </c>
      <c r="J55" s="296"/>
      <c r="K55" s="300">
        <v>3.4</v>
      </c>
      <c r="L55" s="301" t="e">
        <f>#REF!</f>
        <v>#REF!</v>
      </c>
      <c r="M55" s="300"/>
      <c r="N55" s="296"/>
    </row>
    <row r="56" spans="2:14" x14ac:dyDescent="0.25">
      <c r="B56" s="308"/>
      <c r="C56" s="309"/>
      <c r="D56" s="310"/>
      <c r="E56" s="310"/>
      <c r="F56" s="310"/>
      <c r="G56" s="310"/>
      <c r="H56" s="311"/>
      <c r="I56" s="330"/>
      <c r="J56" s="296"/>
      <c r="K56" s="296"/>
      <c r="L56" s="296"/>
      <c r="M56" s="296"/>
      <c r="N56" s="296"/>
    </row>
    <row r="57" spans="2:14" ht="31.5" customHeight="1" x14ac:dyDescent="0.25">
      <c r="B57" s="312" t="s">
        <v>600</v>
      </c>
      <c r="C57" s="313">
        <f>'Business Case'!H79</f>
        <v>0</v>
      </c>
      <c r="D57" s="1010"/>
      <c r="E57" s="1011"/>
      <c r="F57" s="1011"/>
      <c r="G57" s="1011"/>
      <c r="H57" s="1012"/>
      <c r="I57" s="330" t="s">
        <v>601</v>
      </c>
      <c r="J57" s="296"/>
      <c r="M57" s="296"/>
      <c r="N57" s="296"/>
    </row>
    <row r="58" spans="2:14" ht="18.5" x14ac:dyDescent="0.25">
      <c r="B58" s="263"/>
      <c r="E58" s="297"/>
      <c r="F58" s="297"/>
      <c r="G58" s="298"/>
      <c r="H58" s="299"/>
      <c r="I58" s="273"/>
      <c r="J58" s="296"/>
      <c r="M58" s="296"/>
      <c r="N58" s="296"/>
    </row>
    <row r="59" spans="2:14" x14ac:dyDescent="0.25">
      <c r="B59" s="268" t="s">
        <v>602</v>
      </c>
      <c r="C59" s="314"/>
      <c r="D59" s="314"/>
      <c r="E59" s="314"/>
      <c r="F59" s="314"/>
      <c r="G59" s="314"/>
      <c r="H59" s="315"/>
      <c r="I59" s="273"/>
      <c r="K59" s="274"/>
    </row>
    <row r="60" spans="2:14" x14ac:dyDescent="0.25">
      <c r="B60" s="269"/>
      <c r="C60" s="314"/>
      <c r="D60" s="314"/>
      <c r="E60" s="314"/>
      <c r="F60" s="314"/>
      <c r="G60" s="314"/>
      <c r="H60" s="315"/>
      <c r="I60" s="273"/>
      <c r="K60" s="274"/>
    </row>
    <row r="61" spans="2:14" ht="45" customHeight="1" x14ac:dyDescent="0.25">
      <c r="B61" s="275" t="s">
        <v>603</v>
      </c>
      <c r="C61" s="465" t="str">
        <f>IF(E91=0,"",IF(E88&gt;0,"Red",IF(E89&gt;0,"Amber","Green")))</f>
        <v/>
      </c>
      <c r="D61" s="1019" t="s">
        <v>604</v>
      </c>
      <c r="E61" s="1019"/>
      <c r="F61" s="1019"/>
      <c r="G61" s="1019"/>
      <c r="H61" s="1020"/>
      <c r="I61" s="329"/>
      <c r="J61" s="274"/>
    </row>
    <row r="62" spans="2:14" x14ac:dyDescent="0.25">
      <c r="B62" s="316"/>
      <c r="C62" s="317"/>
      <c r="D62" s="318"/>
      <c r="E62" s="318"/>
      <c r="F62" s="314"/>
      <c r="G62" s="314"/>
      <c r="H62" s="315"/>
      <c r="I62" s="329"/>
      <c r="J62" s="274"/>
    </row>
    <row r="63" spans="2:14" x14ac:dyDescent="0.25">
      <c r="B63" s="269"/>
      <c r="C63" s="314"/>
      <c r="D63" s="314"/>
      <c r="E63" s="314"/>
      <c r="F63" s="314"/>
      <c r="G63" s="314"/>
      <c r="H63" s="315"/>
      <c r="I63" s="273"/>
    </row>
    <row r="64" spans="2:14" x14ac:dyDescent="0.25">
      <c r="B64" s="268" t="s">
        <v>605</v>
      </c>
      <c r="C64" s="314"/>
      <c r="D64" s="314"/>
      <c r="E64" s="314"/>
      <c r="F64" s="314"/>
      <c r="G64" s="314"/>
      <c r="H64" s="315"/>
      <c r="I64" s="273"/>
    </row>
    <row r="65" spans="2:9" ht="157.5" customHeight="1" x14ac:dyDescent="0.25">
      <c r="B65" s="1021"/>
      <c r="C65" s="1022"/>
      <c r="D65" s="1022"/>
      <c r="E65" s="1022"/>
      <c r="F65" s="1022"/>
      <c r="G65" s="1022"/>
      <c r="H65" s="1023"/>
      <c r="I65" s="329" t="s">
        <v>606</v>
      </c>
    </row>
    <row r="66" spans="2:9" x14ac:dyDescent="0.25">
      <c r="B66" s="263"/>
      <c r="H66" s="264"/>
      <c r="I66" s="273"/>
    </row>
    <row r="67" spans="2:9" x14ac:dyDescent="0.25">
      <c r="B67" s="268" t="s">
        <v>607</v>
      </c>
      <c r="C67" s="273"/>
      <c r="D67" s="273"/>
      <c r="E67" s="273"/>
      <c r="F67" s="273"/>
      <c r="G67" s="273"/>
      <c r="H67" s="282"/>
      <c r="I67" s="273"/>
    </row>
    <row r="68" spans="2:9" ht="157.5" customHeight="1" x14ac:dyDescent="0.25">
      <c r="B68" s="1024"/>
      <c r="C68" s="1025"/>
      <c r="D68" s="1025"/>
      <c r="E68" s="1025"/>
      <c r="F68" s="1025"/>
      <c r="G68" s="1025"/>
      <c r="H68" s="1026"/>
      <c r="I68" s="329" t="s">
        <v>608</v>
      </c>
    </row>
    <row r="69" spans="2:9" x14ac:dyDescent="0.25">
      <c r="B69" s="272"/>
      <c r="C69" s="273"/>
      <c r="D69" s="273"/>
      <c r="E69" s="273"/>
      <c r="F69" s="273"/>
      <c r="G69" s="273"/>
      <c r="H69" s="282"/>
      <c r="I69" s="319"/>
    </row>
    <row r="70" spans="2:9" x14ac:dyDescent="0.25">
      <c r="B70" s="268" t="s">
        <v>609</v>
      </c>
      <c r="C70" s="273"/>
      <c r="D70" s="273"/>
      <c r="E70" s="273"/>
      <c r="F70" s="273"/>
      <c r="G70" s="273"/>
      <c r="H70" s="282"/>
      <c r="I70" s="319"/>
    </row>
    <row r="71" spans="2:9" ht="51" customHeight="1" x14ac:dyDescent="0.25">
      <c r="B71" s="1027" t="s">
        <v>610</v>
      </c>
      <c r="C71" s="1028"/>
      <c r="D71" s="1028"/>
      <c r="E71" s="1028"/>
      <c r="F71" s="1028"/>
      <c r="G71" s="1028"/>
      <c r="H71" s="1029"/>
      <c r="I71" s="319"/>
    </row>
    <row r="72" spans="2:9" x14ac:dyDescent="0.25">
      <c r="B72" s="272"/>
      <c r="C72" s="273"/>
      <c r="D72" s="273"/>
      <c r="E72" s="273"/>
      <c r="F72" s="273"/>
      <c r="G72" s="273"/>
      <c r="H72" s="282"/>
      <c r="I72" s="320"/>
    </row>
    <row r="73" spans="2:9" x14ac:dyDescent="0.25">
      <c r="B73" s="268" t="s">
        <v>611</v>
      </c>
      <c r="C73" s="273"/>
      <c r="D73" s="273"/>
      <c r="E73" s="273"/>
      <c r="F73" s="273"/>
      <c r="G73" s="273"/>
      <c r="H73" s="282"/>
      <c r="I73" s="320"/>
    </row>
    <row r="74" spans="2:9" x14ac:dyDescent="0.25">
      <c r="B74" s="272"/>
      <c r="C74" s="273"/>
      <c r="D74" s="273"/>
      <c r="E74" s="273"/>
      <c r="F74" s="273"/>
      <c r="G74" s="273"/>
      <c r="H74" s="282"/>
      <c r="I74" s="320"/>
    </row>
    <row r="75" spans="2:9" x14ac:dyDescent="0.25">
      <c r="B75" s="272" t="s">
        <v>612</v>
      </c>
      <c r="C75" s="1014"/>
      <c r="D75" s="1016"/>
      <c r="E75" s="321"/>
      <c r="F75" s="321"/>
      <c r="G75" s="273"/>
      <c r="H75" s="282"/>
      <c r="I75" s="320"/>
    </row>
    <row r="76" spans="2:9" x14ac:dyDescent="0.25">
      <c r="B76" s="272" t="s">
        <v>613</v>
      </c>
      <c r="C76" s="1013"/>
      <c r="D76" s="1013"/>
      <c r="E76" s="322" t="s">
        <v>614</v>
      </c>
      <c r="F76" s="323"/>
      <c r="G76" s="273"/>
      <c r="H76" s="282"/>
      <c r="I76" s="320"/>
    </row>
    <row r="77" spans="2:9" x14ac:dyDescent="0.25">
      <c r="B77" s="272" t="s">
        <v>615</v>
      </c>
      <c r="C77" s="1014"/>
      <c r="D77" s="1015"/>
      <c r="E77" s="1015"/>
      <c r="F77" s="1016"/>
      <c r="G77" s="273"/>
      <c r="H77" s="282"/>
      <c r="I77" s="320"/>
    </row>
    <row r="78" spans="2:9" x14ac:dyDescent="0.25">
      <c r="B78" s="272"/>
      <c r="C78" s="273"/>
      <c r="D78" s="273"/>
      <c r="E78" s="273"/>
      <c r="F78" s="273"/>
      <c r="G78" s="273"/>
      <c r="H78" s="282"/>
      <c r="I78" s="320"/>
    </row>
    <row r="79" spans="2:9" x14ac:dyDescent="0.25">
      <c r="B79" s="272" t="s">
        <v>616</v>
      </c>
      <c r="C79" s="273"/>
      <c r="D79" s="273"/>
      <c r="E79" s="273"/>
      <c r="F79" s="273"/>
      <c r="G79" s="273"/>
      <c r="H79" s="282"/>
      <c r="I79" s="320"/>
    </row>
    <row r="80" spans="2:9" x14ac:dyDescent="0.25">
      <c r="B80" s="272"/>
      <c r="C80" s="273"/>
      <c r="D80" s="273"/>
      <c r="E80" s="273"/>
      <c r="F80" s="273"/>
      <c r="G80" s="273"/>
      <c r="H80" s="282"/>
      <c r="I80" s="320"/>
    </row>
    <row r="81" spans="2:9" x14ac:dyDescent="0.25">
      <c r="B81" s="272" t="s">
        <v>617</v>
      </c>
      <c r="C81" s="1014"/>
      <c r="D81" s="1015"/>
      <c r="E81" s="1015"/>
      <c r="F81" s="1016"/>
      <c r="G81" s="273"/>
      <c r="H81" s="282"/>
      <c r="I81" s="320"/>
    </row>
    <row r="82" spans="2:9" x14ac:dyDescent="0.25">
      <c r="B82" s="272" t="s">
        <v>225</v>
      </c>
      <c r="C82" s="1017"/>
      <c r="D82" s="1018"/>
      <c r="E82" s="273"/>
      <c r="F82" s="273"/>
      <c r="G82" s="273"/>
      <c r="H82" s="282"/>
      <c r="I82" s="320"/>
    </row>
    <row r="83" spans="2:9" ht="16" thickBot="1" x14ac:dyDescent="0.3">
      <c r="B83" s="263"/>
      <c r="H83" s="324" t="str">
        <f ca="1">"© Salix "&amp;YEAR(NOW())</f>
        <v>© Salix 2024</v>
      </c>
    </row>
    <row r="84" spans="2:9" ht="16" thickBot="1" x14ac:dyDescent="0.3">
      <c r="B84" s="325"/>
      <c r="C84" s="326"/>
      <c r="D84" s="326"/>
      <c r="E84" s="326"/>
      <c r="F84" s="326"/>
      <c r="G84" s="326"/>
      <c r="H84" s="327"/>
    </row>
    <row r="86" spans="2:9" ht="16" hidden="1" thickBot="1" x14ac:dyDescent="0.3"/>
    <row r="87" spans="2:9" ht="16" hidden="1" thickBot="1" x14ac:dyDescent="0.35">
      <c r="B87" s="457"/>
      <c r="C87" s="457" t="s">
        <v>618</v>
      </c>
      <c r="D87" s="457" t="s">
        <v>619</v>
      </c>
      <c r="E87" s="458" t="s">
        <v>620</v>
      </c>
    </row>
    <row r="88" spans="2:9" hidden="1" x14ac:dyDescent="0.3">
      <c r="B88" s="459" t="s">
        <v>621</v>
      </c>
      <c r="C88" s="459">
        <v>1</v>
      </c>
      <c r="D88" s="459">
        <f>COUNTIF($B$14:$H$46,"Red")</f>
        <v>0</v>
      </c>
      <c r="E88" s="460">
        <f>C88*D88</f>
        <v>0</v>
      </c>
    </row>
    <row r="89" spans="2:9" hidden="1" x14ac:dyDescent="0.3">
      <c r="B89" s="461" t="s">
        <v>622</v>
      </c>
      <c r="C89" s="461">
        <v>2</v>
      </c>
      <c r="D89" s="461">
        <f>COUNTIF($B$14:$H$46,"Amber")</f>
        <v>0</v>
      </c>
      <c r="E89" s="460">
        <f t="shared" ref="E89:E90" si="0">C89*D89</f>
        <v>0</v>
      </c>
    </row>
    <row r="90" spans="2:9" hidden="1" x14ac:dyDescent="0.3">
      <c r="B90" s="459" t="s">
        <v>623</v>
      </c>
      <c r="C90" s="459">
        <v>3</v>
      </c>
      <c r="D90" s="459">
        <f>COUNTIF($B$14:$H$46,"Green")</f>
        <v>0</v>
      </c>
      <c r="E90" s="460">
        <f t="shared" si="0"/>
        <v>0</v>
      </c>
    </row>
    <row r="91" spans="2:9" ht="16" hidden="1" thickBot="1" x14ac:dyDescent="0.3">
      <c r="B91" s="462"/>
      <c r="C91" s="462"/>
      <c r="D91" s="463" t="s">
        <v>624</v>
      </c>
      <c r="E91" s="464">
        <f>SUM(E88:E90)</f>
        <v>0</v>
      </c>
    </row>
  </sheetData>
  <sheetProtection sheet="1" formatRows="0"/>
  <mergeCells count="51">
    <mergeCell ref="C82:D82"/>
    <mergeCell ref="D61:H61"/>
    <mergeCell ref="B65:H65"/>
    <mergeCell ref="B68:H68"/>
    <mergeCell ref="B71:H71"/>
    <mergeCell ref="C75:D75"/>
    <mergeCell ref="D55:H55"/>
    <mergeCell ref="C76:D76"/>
    <mergeCell ref="C77:F77"/>
    <mergeCell ref="C81:F81"/>
    <mergeCell ref="D57:H57"/>
    <mergeCell ref="B52:B53"/>
    <mergeCell ref="C52:C53"/>
    <mergeCell ref="D52:H53"/>
    <mergeCell ref="I49:I50"/>
    <mergeCell ref="B45:H45"/>
    <mergeCell ref="D46:H46"/>
    <mergeCell ref="B49:B50"/>
    <mergeCell ref="C49:C50"/>
    <mergeCell ref="D49:H50"/>
    <mergeCell ref="I52:I53"/>
    <mergeCell ref="D44:H44"/>
    <mergeCell ref="B39:H39"/>
    <mergeCell ref="B41:H41"/>
    <mergeCell ref="D42:H42"/>
    <mergeCell ref="B43:H43"/>
    <mergeCell ref="D30:H30"/>
    <mergeCell ref="B30:C30"/>
    <mergeCell ref="B31:H31"/>
    <mergeCell ref="D32:H32"/>
    <mergeCell ref="D40:H40"/>
    <mergeCell ref="B33:H33"/>
    <mergeCell ref="D34:H34"/>
    <mergeCell ref="B35:H35"/>
    <mergeCell ref="D36:H36"/>
    <mergeCell ref="I29:I30"/>
    <mergeCell ref="I20:I21"/>
    <mergeCell ref="B5:H5"/>
    <mergeCell ref="C8:H8"/>
    <mergeCell ref="I8:I10"/>
    <mergeCell ref="C10:H10"/>
    <mergeCell ref="D14:H14"/>
    <mergeCell ref="I13:I14"/>
    <mergeCell ref="D16:H16"/>
    <mergeCell ref="D18:H18"/>
    <mergeCell ref="D29:H29"/>
    <mergeCell ref="D20:H20"/>
    <mergeCell ref="D22:H22"/>
    <mergeCell ref="D26:H26"/>
    <mergeCell ref="D27:H27"/>
    <mergeCell ref="D28:H28"/>
  </mergeCells>
  <conditionalFormatting sqref="C14">
    <cfRule type="containsText" dxfId="41" priority="14" operator="containsText" text="Amber">
      <formula>NOT(ISERROR(SEARCH("Amber",C14)))</formula>
    </cfRule>
    <cfRule type="containsText" dxfId="40" priority="13" operator="containsText" text="Green">
      <formula>NOT(ISERROR(SEARCH("Green",C14)))</formula>
    </cfRule>
  </conditionalFormatting>
  <conditionalFormatting sqref="C16">
    <cfRule type="containsText" dxfId="38" priority="67" operator="containsText" text="Green">
      <formula>NOT(ISERROR(SEARCH("Green",C16)))</formula>
    </cfRule>
    <cfRule type="containsText" dxfId="36" priority="68" operator="containsText" text="Amber">
      <formula>NOT(ISERROR(SEARCH("Amber",C16)))</formula>
    </cfRule>
  </conditionalFormatting>
  <conditionalFormatting sqref="C18">
    <cfRule type="containsText" dxfId="35" priority="10" operator="containsText" text="Green">
      <formula>NOT(ISERROR(SEARCH("Green",C18)))</formula>
    </cfRule>
    <cfRule type="containsText" dxfId="34" priority="11" operator="containsText" text="Amber">
      <formula>NOT(ISERROR(SEARCH("Amber",C18)))</formula>
    </cfRule>
  </conditionalFormatting>
  <conditionalFormatting sqref="C20">
    <cfRule type="containsText" dxfId="32" priority="62" operator="containsText" text="Amber">
      <formula>NOT(ISERROR(SEARCH("Amber",C20)))</formula>
    </cfRule>
    <cfRule type="containsText" dxfId="31" priority="61" operator="containsText" text="Green">
      <formula>NOT(ISERROR(SEARCH("Green",C20)))</formula>
    </cfRule>
  </conditionalFormatting>
  <conditionalFormatting sqref="C22">
    <cfRule type="containsText" dxfId="29" priority="7" operator="containsText" text="Green">
      <formula>NOT(ISERROR(SEARCH("Green",C22)))</formula>
    </cfRule>
    <cfRule type="containsText" dxfId="28" priority="8" operator="containsText" text="Amber">
      <formula>NOT(ISERROR(SEARCH("Amber",C22)))</formula>
    </cfRule>
  </conditionalFormatting>
  <conditionalFormatting sqref="C26:C29">
    <cfRule type="containsText" dxfId="26" priority="2" operator="containsText" text="Amber">
      <formula>NOT(ISERROR(SEARCH("Amber",C26)))</formula>
    </cfRule>
    <cfRule type="containsText" dxfId="24" priority="1" operator="containsText" text="Green">
      <formula>NOT(ISERROR(SEARCH("Green",C26)))</formula>
    </cfRule>
  </conditionalFormatting>
  <conditionalFormatting sqref="C32">
    <cfRule type="containsText" dxfId="23" priority="44" operator="containsText" text="Amber">
      <formula>NOT(ISERROR(SEARCH("Amber",C32)))</formula>
    </cfRule>
    <cfRule type="containsText" dxfId="22" priority="43" operator="containsText" text="Green">
      <formula>NOT(ISERROR(SEARCH("Green",C32)))</formula>
    </cfRule>
  </conditionalFormatting>
  <conditionalFormatting sqref="C34">
    <cfRule type="containsText" dxfId="20" priority="40" operator="containsText" text="Green">
      <formula>NOT(ISERROR(SEARCH("Green",C34)))</formula>
    </cfRule>
    <cfRule type="containsText" dxfId="19" priority="41" operator="containsText" text="Amber">
      <formula>NOT(ISERROR(SEARCH("Amber",C34)))</formula>
    </cfRule>
  </conditionalFormatting>
  <conditionalFormatting sqref="C36">
    <cfRule type="containsText" dxfId="17" priority="37" operator="containsText" text="Green">
      <formula>NOT(ISERROR(SEARCH("Green",C36)))</formula>
    </cfRule>
    <cfRule type="containsText" dxfId="16" priority="38" operator="containsText" text="Amber">
      <formula>NOT(ISERROR(SEARCH("Amber",C36)))</formula>
    </cfRule>
  </conditionalFormatting>
  <conditionalFormatting sqref="C40">
    <cfRule type="containsText" dxfId="14" priority="35" operator="containsText" text="Amber">
      <formula>NOT(ISERROR(SEARCH("Amber",C40)))</formula>
    </cfRule>
    <cfRule type="containsText" dxfId="12" priority="34" operator="containsText" text="Green">
      <formula>NOT(ISERROR(SEARCH("Green",C40)))</formula>
    </cfRule>
  </conditionalFormatting>
  <conditionalFormatting sqref="C42">
    <cfRule type="containsText" dxfId="10" priority="32" operator="containsText" text="Amber">
      <formula>NOT(ISERROR(SEARCH("Amber",C42)))</formula>
    </cfRule>
    <cfRule type="containsText" dxfId="9" priority="31" operator="containsText" text="Green">
      <formula>NOT(ISERROR(SEARCH("Green",C42)))</formula>
    </cfRule>
  </conditionalFormatting>
  <conditionalFormatting sqref="C44">
    <cfRule type="containsText" dxfId="8" priority="29" operator="containsText" text="Amber">
      <formula>NOT(ISERROR(SEARCH("Amber",C44)))</formula>
    </cfRule>
    <cfRule type="containsText" dxfId="6" priority="28" operator="containsText" text="Green">
      <formula>NOT(ISERROR(SEARCH("Green",C44)))</formula>
    </cfRule>
  </conditionalFormatting>
  <conditionalFormatting sqref="C46">
    <cfRule type="containsText" dxfId="5" priority="25" operator="containsText" text="Green">
      <formula>NOT(ISERROR(SEARCH("Green",C46)))</formula>
    </cfRule>
    <cfRule type="containsText" dxfId="4" priority="26" operator="containsText" text="Amber">
      <formula>NOT(ISERROR(SEARCH("Amber",C46)))</formula>
    </cfRule>
  </conditionalFormatting>
  <conditionalFormatting sqref="C61:C62">
    <cfRule type="containsText" dxfId="2" priority="70" operator="containsText" text="Green">
      <formula>NOT(ISERROR(SEARCH("Green",C61)))</formula>
    </cfRule>
    <cfRule type="containsText" dxfId="1" priority="71" operator="containsText" text="Amber">
      <formula>NOT(ISERROR(SEARCH("Amber",C61)))</formula>
    </cfRule>
  </conditionalFormatting>
  <dataValidations count="5">
    <dataValidation type="whole" allowBlank="1" showInputMessage="1" showErrorMessage="1" errorTitle="Entry out of range" sqref="C15" xr:uid="{24C74605-14EC-4461-B15E-F5E3C375D70C}">
      <formula1>0</formula1>
      <formula2>15</formula2>
    </dataValidation>
    <dataValidation type="whole" allowBlank="1" showInputMessage="1" showErrorMessage="1" sqref="C17" xr:uid="{D20CA86E-FBC7-4838-9978-69595B04DB88}">
      <formula1>0</formula1>
      <formula2>15</formula2>
    </dataValidation>
    <dataValidation type="whole" allowBlank="1" showInputMessage="1" showErrorMessage="1" sqref="C19" xr:uid="{91721DC4-3212-4809-B696-EB558CECDD17}">
      <formula1>0</formula1>
      <formula2>10</formula2>
    </dataValidation>
    <dataValidation type="whole" allowBlank="1" showInputMessage="1" showErrorMessage="1" sqref="C21" xr:uid="{1987F63A-C2D7-4832-BBFA-222A775FF1BB}">
      <formula1>0</formula1>
      <formula2>25</formula2>
    </dataValidation>
    <dataValidation type="list" allowBlank="1" showInputMessage="1" showErrorMessage="1" errorTitle="Entry out of range" sqref="C14 C16 C18 C20 C22 C26:C29 C32 C34 C36 C40 C42 C44 C46" xr:uid="{7B4FD07D-3EAA-45E5-8148-FB79311337B0}">
      <formula1>$B$88:$B$90</formula1>
    </dataValidation>
  </dataValidations>
  <pageMargins left="0.7" right="0.7" top="0.75" bottom="0.75" header="0.3" footer="0.3"/>
  <pageSetup paperSize="9" scale="41" orientation="portrait" horizontalDpi="4294967294" r:id="rId1"/>
  <customProperties>
    <customPr name="GUID" r:id="rId2"/>
  </customProperties>
  <drawing r:id="rId3"/>
  <extLst>
    <ext xmlns:x14="http://schemas.microsoft.com/office/spreadsheetml/2009/9/main" uri="{78C0D931-6437-407d-A8EE-F0AAD7539E65}">
      <x14:conditionalFormattings>
        <x14:conditionalFormatting xmlns:xm="http://schemas.microsoft.com/office/excel/2006/main">
          <x14:cfRule type="containsText" priority="15" operator="containsText" id="{23E102DF-B2AE-447B-96C0-2B189A152BA7}">
            <xm:f>NOT(ISERROR(SEARCH("Red",C14)))</xm:f>
            <xm:f>"Red"</xm:f>
            <x14:dxf>
              <font>
                <color rgb="FFFF0000"/>
              </font>
              <fill>
                <patternFill>
                  <bgColor rgb="FFFF0000"/>
                </patternFill>
              </fill>
            </x14:dxf>
          </x14:cfRule>
          <xm:sqref>C14</xm:sqref>
        </x14:conditionalFormatting>
        <x14:conditionalFormatting xmlns:xm="http://schemas.microsoft.com/office/excel/2006/main">
          <x14:cfRule type="containsText" priority="69" operator="containsText" id="{B348F277-7148-409A-A0E1-68E592A2B110}">
            <xm:f>NOT(ISERROR(SEARCH("Red",C16)))</xm:f>
            <xm:f>"Red"</xm:f>
            <x14:dxf>
              <font>
                <color rgb="FFFF0000"/>
              </font>
              <fill>
                <patternFill>
                  <bgColor rgb="FFFF0000"/>
                </patternFill>
              </fill>
            </x14:dxf>
          </x14:cfRule>
          <xm:sqref>C16</xm:sqref>
        </x14:conditionalFormatting>
        <x14:conditionalFormatting xmlns:xm="http://schemas.microsoft.com/office/excel/2006/main">
          <x14:cfRule type="containsText" priority="12" operator="containsText" id="{50AF4278-E78E-4C72-9BCA-2106AFAF2998}">
            <xm:f>NOT(ISERROR(SEARCH("Red",C18)))</xm:f>
            <xm:f>"Red"</xm:f>
            <x14:dxf>
              <font>
                <color rgb="FFFF0000"/>
              </font>
              <fill>
                <patternFill>
                  <bgColor rgb="FFFF0000"/>
                </patternFill>
              </fill>
            </x14:dxf>
          </x14:cfRule>
          <xm:sqref>C18</xm:sqref>
        </x14:conditionalFormatting>
        <x14:conditionalFormatting xmlns:xm="http://schemas.microsoft.com/office/excel/2006/main">
          <x14:cfRule type="containsText" priority="63" operator="containsText" id="{029BB3F4-68B3-46C7-AD31-0E5A230A06AE}">
            <xm:f>NOT(ISERROR(SEARCH("Red",C20)))</xm:f>
            <xm:f>"Red"</xm:f>
            <x14:dxf>
              <font>
                <color rgb="FFFF0000"/>
              </font>
              <fill>
                <patternFill>
                  <bgColor rgb="FFFF0000"/>
                </patternFill>
              </fill>
            </x14:dxf>
          </x14:cfRule>
          <xm:sqref>C20</xm:sqref>
        </x14:conditionalFormatting>
        <x14:conditionalFormatting xmlns:xm="http://schemas.microsoft.com/office/excel/2006/main">
          <x14:cfRule type="containsText" priority="9" operator="containsText" id="{F6176365-1AA6-4D02-8CFB-C55CFAA5D42E}">
            <xm:f>NOT(ISERROR(SEARCH("Red",C22)))</xm:f>
            <xm:f>"Red"</xm:f>
            <x14:dxf>
              <font>
                <color rgb="FFFF0000"/>
              </font>
              <fill>
                <patternFill>
                  <bgColor rgb="FFFF0000"/>
                </patternFill>
              </fill>
            </x14:dxf>
          </x14:cfRule>
          <xm:sqref>C22</xm:sqref>
        </x14:conditionalFormatting>
        <x14:conditionalFormatting xmlns:xm="http://schemas.microsoft.com/office/excel/2006/main">
          <x14:cfRule type="containsText" priority="3" operator="containsText" id="{5FC3F83D-8357-4B2E-BBAD-123ED4732D39}">
            <xm:f>NOT(ISERROR(SEARCH("Red",C26)))</xm:f>
            <xm:f>"Red"</xm:f>
            <x14:dxf>
              <font>
                <color rgb="FFFF0000"/>
              </font>
              <fill>
                <patternFill>
                  <bgColor rgb="FFFF0000"/>
                </patternFill>
              </fill>
            </x14:dxf>
          </x14:cfRule>
          <xm:sqref>C26:C29</xm:sqref>
        </x14:conditionalFormatting>
        <x14:conditionalFormatting xmlns:xm="http://schemas.microsoft.com/office/excel/2006/main">
          <x14:cfRule type="containsText" priority="45" operator="containsText" id="{CE72EB3D-E4F8-4C59-A084-85656058F900}">
            <xm:f>NOT(ISERROR(SEARCH("Red",C32)))</xm:f>
            <xm:f>"Red"</xm:f>
            <x14:dxf>
              <font>
                <color rgb="FFFF0000"/>
              </font>
              <fill>
                <patternFill>
                  <bgColor rgb="FFFF0000"/>
                </patternFill>
              </fill>
            </x14:dxf>
          </x14:cfRule>
          <xm:sqref>C32</xm:sqref>
        </x14:conditionalFormatting>
        <x14:conditionalFormatting xmlns:xm="http://schemas.microsoft.com/office/excel/2006/main">
          <x14:cfRule type="containsText" priority="42" operator="containsText" id="{99B645CC-3237-4AD8-937A-F21DDE67E8B8}">
            <xm:f>NOT(ISERROR(SEARCH("Red",C34)))</xm:f>
            <xm:f>"Red"</xm:f>
            <x14:dxf>
              <font>
                <color rgb="FFFF0000"/>
              </font>
              <fill>
                <patternFill>
                  <bgColor rgb="FFFF0000"/>
                </patternFill>
              </fill>
            </x14:dxf>
          </x14:cfRule>
          <xm:sqref>C34</xm:sqref>
        </x14:conditionalFormatting>
        <x14:conditionalFormatting xmlns:xm="http://schemas.microsoft.com/office/excel/2006/main">
          <x14:cfRule type="containsText" priority="39" operator="containsText" id="{8C135DCA-2E6C-465C-978C-5237CED52864}">
            <xm:f>NOT(ISERROR(SEARCH("Red",C36)))</xm:f>
            <xm:f>"Red"</xm:f>
            <x14:dxf>
              <font>
                <color rgb="FFFF0000"/>
              </font>
              <fill>
                <patternFill>
                  <bgColor rgb="FFFF0000"/>
                </patternFill>
              </fill>
            </x14:dxf>
          </x14:cfRule>
          <xm:sqref>C36</xm:sqref>
        </x14:conditionalFormatting>
        <x14:conditionalFormatting xmlns:xm="http://schemas.microsoft.com/office/excel/2006/main">
          <x14:cfRule type="containsText" priority="36" operator="containsText" id="{6DEEE6BE-921F-43FB-B6E5-8E84C9DEA3F6}">
            <xm:f>NOT(ISERROR(SEARCH("Red",C40)))</xm:f>
            <xm:f>"Red"</xm:f>
            <x14:dxf>
              <font>
                <color rgb="FFFF0000"/>
              </font>
              <fill>
                <patternFill>
                  <bgColor rgb="FFFF0000"/>
                </patternFill>
              </fill>
            </x14:dxf>
          </x14:cfRule>
          <xm:sqref>C40</xm:sqref>
        </x14:conditionalFormatting>
        <x14:conditionalFormatting xmlns:xm="http://schemas.microsoft.com/office/excel/2006/main">
          <x14:cfRule type="containsText" priority="33" operator="containsText" id="{54BC18A5-E6BD-423B-84F8-9591C320C662}">
            <xm:f>NOT(ISERROR(SEARCH("Red",C42)))</xm:f>
            <xm:f>"Red"</xm:f>
            <x14:dxf>
              <font>
                <color rgb="FFFF0000"/>
              </font>
              <fill>
                <patternFill>
                  <bgColor rgb="FFFF0000"/>
                </patternFill>
              </fill>
            </x14:dxf>
          </x14:cfRule>
          <xm:sqref>C42</xm:sqref>
        </x14:conditionalFormatting>
        <x14:conditionalFormatting xmlns:xm="http://schemas.microsoft.com/office/excel/2006/main">
          <x14:cfRule type="containsText" priority="30" operator="containsText" id="{1D940FAA-934C-4798-A89D-A692848342A3}">
            <xm:f>NOT(ISERROR(SEARCH("Red",C44)))</xm:f>
            <xm:f>"Red"</xm:f>
            <x14:dxf>
              <font>
                <color rgb="FFFF0000"/>
              </font>
              <fill>
                <patternFill>
                  <bgColor rgb="FFFF0000"/>
                </patternFill>
              </fill>
            </x14:dxf>
          </x14:cfRule>
          <xm:sqref>C44</xm:sqref>
        </x14:conditionalFormatting>
        <x14:conditionalFormatting xmlns:xm="http://schemas.microsoft.com/office/excel/2006/main">
          <x14:cfRule type="containsText" priority="27" operator="containsText" id="{E0370033-FD18-40BF-84ED-D0972F1592A9}">
            <xm:f>NOT(ISERROR(SEARCH("Red",C46)))</xm:f>
            <xm:f>"Red"</xm:f>
            <x14:dxf>
              <font>
                <color rgb="FFFF0000"/>
              </font>
              <fill>
                <patternFill>
                  <bgColor rgb="FFFF0000"/>
                </patternFill>
              </fill>
            </x14:dxf>
          </x14:cfRule>
          <xm:sqref>C46</xm:sqref>
        </x14:conditionalFormatting>
        <x14:conditionalFormatting xmlns:xm="http://schemas.microsoft.com/office/excel/2006/main">
          <x14:cfRule type="containsText" priority="72" operator="containsText" id="{6F1BF434-CA43-4FC2-B044-8E956DEE2FE1}">
            <xm:f>NOT(ISERROR(SEARCH("Red",C61)))</xm:f>
            <xm:f>"Red"</xm:f>
            <x14:dxf>
              <font>
                <color rgb="FFFF0000"/>
              </font>
              <fill>
                <patternFill>
                  <bgColor rgb="FFFF0000"/>
                </patternFill>
              </fill>
            </x14:dxf>
          </x14:cfRule>
          <xm:sqref>C61:C62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A13E7C1E30204BB133EAE7FAFD52CA" ma:contentTypeVersion="18" ma:contentTypeDescription="Create a new document." ma:contentTypeScope="" ma:versionID="180111ad0ecf692e3463bfef3335ed6d">
  <xsd:schema xmlns:xsd="http://www.w3.org/2001/XMLSchema" xmlns:xs="http://www.w3.org/2001/XMLSchema" xmlns:p="http://schemas.microsoft.com/office/2006/metadata/properties" xmlns:ns2="8db9bdd8-629b-441c-9eb6-e46a2e9dae03" xmlns:ns3="96adaec6-6188-43bf-aec5-291c802dcb1b" xmlns:ns4="35b6a7de-9e1a-4b3d-8e58-e2a3da2946eb" targetNamespace="http://schemas.microsoft.com/office/2006/metadata/properties" ma:root="true" ma:fieldsID="6f2b135cf1d4f0ffcb9ab331a08d1b5d" ns2:_="" ns3:_="" ns4:_="">
    <xsd:import namespace="8db9bdd8-629b-441c-9eb6-e46a2e9dae03"/>
    <xsd:import namespace="96adaec6-6188-43bf-aec5-291c802dcb1b"/>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9bdd8-629b-441c-9eb6-e46a2e9dae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adaec6-6188-43bf-aec5-291c802dcb1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5b6a7de-9e1a-4b3d-8e58-e2a3da2946eb" xsi:nil="true"/>
    <lcf76f155ced4ddcb4097134ff3c332f xmlns="8db9bdd8-629b-441c-9eb6-e46a2e9dae0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3C89BCA-6C4E-44C0-9C03-F0B94DF7F4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9bdd8-629b-441c-9eb6-e46a2e9dae03"/>
    <ds:schemaRef ds:uri="96adaec6-6188-43bf-aec5-291c802dcb1b"/>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A57CAA-3A4F-47BC-983E-3393C2670588}">
  <ds:schemaRefs>
    <ds:schemaRef ds:uri="http://schemas.microsoft.com/sharepoint/v3/contenttype/forms"/>
  </ds:schemaRefs>
</ds:datastoreItem>
</file>

<file path=customXml/itemProps3.xml><?xml version="1.0" encoding="utf-8"?>
<ds:datastoreItem xmlns:ds="http://schemas.openxmlformats.org/officeDocument/2006/customXml" ds:itemID="{51095DF9-7D38-434A-BE17-31AE48FEAC77}">
  <ds:schemaRefs>
    <ds:schemaRef ds:uri="35b6a7de-9e1a-4b3d-8e58-e2a3da2946eb"/>
    <ds:schemaRef ds:uri="http://purl.org/dc/elements/1.1/"/>
    <ds:schemaRef ds:uri="http://schemas.microsoft.com/office/2006/metadata/properties"/>
    <ds:schemaRef ds:uri="96adaec6-6188-43bf-aec5-291c802dcb1b"/>
    <ds:schemaRef ds:uri="8db9bdd8-629b-441c-9eb6-e46a2e9dae03"/>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46</vt:i4>
      </vt:variant>
    </vt:vector>
  </HeadingPairs>
  <TitlesOfParts>
    <vt:vector size="58" baseType="lpstr">
      <vt:lpstr>Terms and Conditions</vt:lpstr>
      <vt:lpstr>Guidance Notes</vt:lpstr>
      <vt:lpstr>Project Compliance Tool</vt:lpstr>
      <vt:lpstr>Business Case</vt:lpstr>
      <vt:lpstr>Loan Amortisation</vt:lpstr>
      <vt:lpstr>Eligible Technologies</vt:lpstr>
      <vt:lpstr>Extra look-up</vt:lpstr>
      <vt:lpstr>Assessment Form</vt:lpstr>
      <vt:lpstr>Additionality Criteria</vt:lpstr>
      <vt:lpstr>Definitions</vt:lpstr>
      <vt:lpstr>Revision History</vt:lpstr>
      <vt:lpstr>PETREAD</vt:lpstr>
      <vt:lpstr>Blank</vt:lpstr>
      <vt:lpstr>'Eligible Technologies'!BMS</vt:lpstr>
      <vt:lpstr>BMS</vt:lpstr>
      <vt:lpstr>CO2_factors</vt:lpstr>
      <vt:lpstr>Cooling</vt:lpstr>
      <vt:lpstr>EfW</vt:lpstr>
      <vt:lpstr>Emergency_Services</vt:lpstr>
      <vt:lpstr>Energy_Types</vt:lpstr>
      <vt:lpstr>Further_Education_Institute</vt:lpstr>
      <vt:lpstr>Heating</vt:lpstr>
      <vt:lpstr>Higher_Education_Institute</vt:lpstr>
      <vt:lpstr>Hot_water</vt:lpstr>
      <vt:lpstr>Insulation_building_fabric</vt:lpstr>
      <vt:lpstr>Insulation_draught_proofing</vt:lpstr>
      <vt:lpstr>Insulation_other</vt:lpstr>
      <vt:lpstr>Insulation_pipework</vt:lpstr>
      <vt:lpstr>LCH</vt:lpstr>
      <vt:lpstr>LEDs</vt:lpstr>
      <vt:lpstr>Lighting_controls</vt:lpstr>
      <vt:lpstr>Local_Authority</vt:lpstr>
      <vt:lpstr>Motor_controls</vt:lpstr>
      <vt:lpstr>Motor_replacement</vt:lpstr>
      <vt:lpstr>NHS</vt:lpstr>
      <vt:lpstr>Primary_School</vt:lpstr>
      <vt:lpstr>'Additionality Criteria'!Print_Area</vt:lpstr>
      <vt:lpstr>'Assessment Form'!Print_Area</vt:lpstr>
      <vt:lpstr>'Business Case'!Print_Area</vt:lpstr>
      <vt:lpstr>Definitions!Print_Area</vt:lpstr>
      <vt:lpstr>'Eligible Technologies'!Print_Area</vt:lpstr>
      <vt:lpstr>'Guidance Notes'!Print_Area</vt:lpstr>
      <vt:lpstr>'Revision History'!Print_Area</vt:lpstr>
      <vt:lpstr>'Terms and Conditions'!Print_Area</vt:lpstr>
      <vt:lpstr>Recycling_Fund_England</vt:lpstr>
      <vt:lpstr>Recycling_Fund_England_HEI</vt:lpstr>
      <vt:lpstr>Recycling_Fund_Scotland</vt:lpstr>
      <vt:lpstr>Recycling_Fund_Wales</vt:lpstr>
      <vt:lpstr>Renewables</vt:lpstr>
      <vt:lpstr>Salix_Decarbonisation_Fund</vt:lpstr>
      <vt:lpstr>Secondary_School</vt:lpstr>
      <vt:lpstr>SEELS_England</vt:lpstr>
      <vt:lpstr>SEELS_Schools</vt:lpstr>
      <vt:lpstr>SEELS_Scotland</vt:lpstr>
      <vt:lpstr>SEELS_Wales</vt:lpstr>
      <vt:lpstr>Time_switches</vt:lpstr>
      <vt:lpstr>Ventilation</vt:lpstr>
      <vt:lpstr>Work_types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Brads</dc:creator>
  <cp:keywords/>
  <dc:description/>
  <cp:lastModifiedBy>Christian Smaditch</cp:lastModifiedBy>
  <cp:revision/>
  <dcterms:created xsi:type="dcterms:W3CDTF">2008-09-24T10:06:48Z</dcterms:created>
  <dcterms:modified xsi:type="dcterms:W3CDTF">2024-07-17T09:05:51Z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0x010100F0A13E7C1E30204BB133EAE7FAFD52CA</vt:lpwstr>
  </property>
  <property fmtid="{D5CDD505-2E9C-101B-9397-08002B2CF9AE}" pid="3" name="MediaServiceImageTags">
    <vt:lpwstr/>
  </property>
</Properties>
</file>