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tables/table1.xml" ContentType="application/vnd.openxmlformats-officedocument.spreadsheetml.table+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drawings/drawing7.xml" ContentType="application/vnd.openxmlformats-officedocument.drawing+xml"/>
  <Override PartName="/xl/printerSettings/printerSettings9.bin" ContentType="application/vnd.openxmlformats-officedocument.spreadsheetml.printerSettings"/>
  <Override PartName="/xl/drawings/drawing8.xml" ContentType="application/vnd.openxmlformats-officedocument.drawing+xml"/>
  <Override PartName="/xl/printerSettings/printerSettings10.bin" ContentType="application/vnd.openxmlformats-officedocument.spreadsheetml.printerSettings"/>
  <Override PartName="/xl/drawings/drawing9.xml" ContentType="application/vnd.openxmlformats-officedocument.drawing+xml"/>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salix365.sharepoint.com/Tec/Docs/ZE. Loan Schemes/K. Project Compliance tools &amp; Business case template/1. Project compliance tools/Wales V38/"/>
    </mc:Choice>
  </mc:AlternateContent>
  <xr:revisionPtr revIDLastSave="713" documentId="8_{0D274FC1-D2F4-441C-87D3-302E4F54990B}" xr6:coauthVersionLast="47" xr6:coauthVersionMax="47" xr10:uidLastSave="{6C612AFA-B961-4BE9-BE7B-6ED76378D63C}"/>
  <bookViews>
    <workbookView xWindow="-57720" yWindow="-120" windowWidth="29040" windowHeight="15840" tabRatio="872" firstSheet="1" activeTab="1"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Loan Amortisation" sheetId="36" r:id="rId6"/>
    <sheet name="Eligible Technologies" sheetId="35" r:id="rId7"/>
    <sheet name="Extra look-up" sheetId="11" state="hidden" r:id="rId8"/>
    <sheet name="Assessment Form" sheetId="32" state="hidden" r:id="rId9"/>
    <sheet name="Additionality Criteria" sheetId="19" r:id="rId10"/>
    <sheet name="Definitions" sheetId="21" r:id="rId11"/>
    <sheet name="PETREAD" sheetId="23" state="hidden" r:id="rId12"/>
    <sheet name="Revision History" sheetId="7"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6" hidden="1">'Eligible Technologies'!$C$6:$G$69</definedName>
    <definedName name="_xlnm._FilterDatabase" localSheetId="11" hidden="1">PETREAD!$T$12:$U$22</definedName>
    <definedName name="Blank">'Extra look-up'!$B$30:$B$30</definedName>
    <definedName name="BMS" localSheetId="6">'Eligible Technologies'!$D$17:$D$18</definedName>
    <definedName name="BMS">'Eligible Technologies'!$D$17:$D$18</definedName>
    <definedName name="Boilers">#REF!</definedName>
    <definedName name="Building_Names" localSheetId="5">'Loan Amortisation'!#REF!:INDEX('Loan Amortisation'!#REF!,COUNTIF('Loan Amortisation'!#REF!,"?*"))</definedName>
    <definedName name="Building_Names">'[1]Backing Sheet - Buildings'!$E$2:INDEX('[1]Backing Sheet - Buildings'!$E$2:$E$101,COUNTIF('[1]Backing Sheet - Buildings'!$E$2:$E$101,"?*"))</definedName>
    <definedName name="Buildings" localSheetId="5">OFFSET('Loan Amortisation'!#REF!,0,0,COUNTA('Loan Amortisation'!#REF!),1)</definedName>
    <definedName name="Buildings">OFFSET('[1]Backing Sheet - Buildings'!A1,0,0,COUNTA('[1]Backing Sheet - Buildings'!$E$2:$E$101),1)</definedName>
    <definedName name="ChartXVals">OFFSET(INDEX(#REF!,MATCH("1",#REF!,0),1),0,0,COUNTIF(#REF!,"1"),1)</definedName>
    <definedName name="ChartYVals">OFFSET(INDEX(#REF!,MATCH("1",#REF!,0),3),0,0,COUNTIF(#REF!,"1"),1)</definedName>
    <definedName name="CHP">#REF!</definedName>
    <definedName name="CO2_factors">'Eligible Technologies'!$J$17:$K$26</definedName>
    <definedName name="Compressor">#REF!</definedName>
    <definedName name="Cooling">'Eligible Technologies'!$D$19:$D$23</definedName>
    <definedName name="Custom">#REF!</definedName>
    <definedName name="Data_Sheets">#REF!</definedName>
    <definedName name="DRange" localSheetId="6">'[2]Backing Sheet Buildings'!$D$2:INDEX('[2]Backing Sheet Buildings'!$D$2:$D$101,COUNTIF('[2]Backing Sheet Buildings'!$D$2:$D$101,"?*"))</definedName>
    <definedName name="DRange" localSheetId="5">'Loan Amortisation'!#REF!:INDEX('Loan Amortisation'!#REF!,COUNTIF('Loan Amortisation'!#REF!,"?*"))</definedName>
    <definedName name="DRange">'[1]Backing Sheet - Buildings'!$E$2:INDEX('[1]Backing Sheet - Buildings'!$E$2:$E$101,COUNTIF('[1]Backing Sheet - Buildings'!$E$2:$E$101,"?*"))</definedName>
    <definedName name="DRangeSystems" localSheetId="6">'[2]Backing Sheet Buildings'!$L$2:INDEX('[2]Backing Sheet Buildings'!$L$2:$L$101,COUNTIF('[2]Backing Sheet Buildings'!$L$2:$L$101,"?*"))</definedName>
    <definedName name="DRangeSystems" localSheetId="5">'Loan Amortisation'!#REF!:INDEX('Loan Amortisation'!#REF!,COUNTIF('Loan Amortisation'!#REF!,"?*"))</definedName>
    <definedName name="DRangeSystems">'[1]Backing Sheet - Buildings'!$M$2:INDEX('[1]Backing Sheet - Buildings'!$M$2:$M$101,COUNTIF('[1]Backing Sheet - Buildings'!$M$2:$M$101,"?*"))</definedName>
    <definedName name="EfW">'Eligible Technologies'!$D$24:$D$25</definedName>
    <definedName name="Emergency_Services">'Project Compliance Tool'!$AG$20:$AG$30</definedName>
    <definedName name="End_of_Life">#REF!</definedName>
    <definedName name="Energy_Savings_Calculations">#REF!</definedName>
    <definedName name="Energy_Types" localSheetId="5">#REF!</definedName>
    <definedName name="Energy_Types">'Eligible Technologies'!$J$17:$J$26</definedName>
    <definedName name="FPrice">'[3]Lookup Table'!$G$15:$G$87</definedName>
    <definedName name="FRange" localSheetId="6">'[2]Backing Sheet Buildings'!$K$2:INDEX('[2]Backing Sheet Buildings'!XFC1:XFC50,COUNTIF('[2]Backing Sheet Buildings'!$K$2:$K$51,"*?"))</definedName>
    <definedName name="FRange" localSheetId="5">'Loan Amortisation'!#REF!:INDEX('Loan Amortisation'!#REF!,COUNTIF('Loan Amortisation'!#REF!,"?*"))</definedName>
    <definedName name="FRange">'[1]Backing Sheet - Buildings'!$M$2:INDEX('[1]Backing Sheet - Buildings'!$M$2:$M$101,COUNTIF('[1]Backing Sheet - Buildings'!$M$2:$M$101,"?*"))</definedName>
    <definedName name="Fuel_type">'[4]Technology List &amp; Con. Factors'!$F$5:$F$14</definedName>
    <definedName name="Further_Education_Institute">'Project Compliance Tool'!$AH$20:$AH$37</definedName>
    <definedName name="Hand_dryers">#REF!</definedName>
    <definedName name="Heating">'Eligible Technologies'!$D$26:$D$32</definedName>
    <definedName name="Higher_Education_Institute">'Project Compliance Tool'!$AI$20:$AI$37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IT">#REF!</definedName>
    <definedName name="Kitchen">#REF!</definedName>
    <definedName name="Lab">#REF!</definedName>
    <definedName name="LCH">'Eligible Technologies'!$D$7:$D$15</definedName>
    <definedName name="LEDs">'Eligible Technologies'!$D$52:$D$53</definedName>
    <definedName name="Lighting_controls">'Eligible Technologies'!$D$54:$D$55</definedName>
    <definedName name="Lighting_upgrades">'[5]Technology List &amp; Con. Factors'!#REF!</definedName>
    <definedName name="Local_Authority">'Project Compliance Tool'!$AJ$20:$AJ$33</definedName>
    <definedName name="Motor_controls">'Eligible Technologies'!$D$56:$D$58</definedName>
    <definedName name="Motor_replacement">'Eligible Technologies'!$D$59</definedName>
    <definedName name="NHS">'Project Compliance Tool'!$AK$20:$AK$29</definedName>
    <definedName name="Office">#REF!</definedName>
    <definedName name="Operation_hours">[6]Dashboard!$D$28</definedName>
    <definedName name="Primary_School">'Project Compliance Tool'!$AL$20:$AL$30</definedName>
    <definedName name="_xlnm.Print_Area" localSheetId="9">'Additionality Criteria'!$A$2:$M$8</definedName>
    <definedName name="_xlnm.Print_Area" localSheetId="8">'Assessment Form'!$B$4:$H$84</definedName>
    <definedName name="_xlnm.Print_Area" localSheetId="4">'Business Case'!$C$2:$I$101</definedName>
    <definedName name="_xlnm.Print_Area" localSheetId="10">Definitions!$A$2:$M$8</definedName>
    <definedName name="_xlnm.Print_Area" localSheetId="6">'Eligible Technologies'!$C$3:$G$69</definedName>
    <definedName name="_xlnm.Print_Area" localSheetId="2">'Guidance Notes'!$A$1:$S$50</definedName>
    <definedName name="_xlnm.Print_Area" localSheetId="5">#REF!</definedName>
    <definedName name="_xlnm.Print_Area" localSheetId="12">'Revision History'!$B$1:$E$29</definedName>
    <definedName name="_xlnm.Print_Area" localSheetId="1">'Terms and Conditions'!$B$1:$B$12</definedName>
    <definedName name="_xlnm.Print_Area">#REF!</definedName>
    <definedName name="Project_Programme">#REF!</definedName>
    <definedName name="Project_type" localSheetId="6">'[2]Extra look-up'!$A$3:$A$19</definedName>
    <definedName name="Project_type">'Extra look-up'!$A$3:$A$20</definedName>
    <definedName name="Project_typee">#REF!</definedName>
    <definedName name="Recycling_Fund_England">'Extra look-up'!$G$81:$G$86</definedName>
    <definedName name="Recycling_Fund_England_HEI">'Extra look-up'!$G$80</definedName>
    <definedName name="Recycling_Fund_Scotland">'Extra look-up'!$G$94:$G$97</definedName>
    <definedName name="Recycling_Fund_Wales">'Extra look-up'!$G$103:$G$106</definedName>
    <definedName name="Renewables">'Eligible Technologies'!$D$60:$D$62</definedName>
    <definedName name="Risk_Register">#REF!</definedName>
    <definedName name="Salix_Decarbonisation_Fund">'Extra look-up'!$G$114:$G$119</definedName>
    <definedName name="Secondary_School">'Project Compliance Tool'!$AM$20:$AM$30</definedName>
    <definedName name="SEELS_England">'Extra look-up'!$G$87:$G$91</definedName>
    <definedName name="SEELS_Schools">'Extra look-up'!$G$92:$G$93</definedName>
    <definedName name="SEELS_Scotland">'Extra look-up'!$G$98:$G$102</definedName>
    <definedName name="SEELS_Wales">'Extra look-up'!$G$107:$G$113</definedName>
    <definedName name="Site_consumption">[7]Example!$C$19</definedName>
    <definedName name="Street_lighting">#REF!</definedName>
    <definedName name="Support_Tool_Building_List" localSheetId="5">'Loan Amortisation'!#REF!:INDEX('Loan Amortisation'!#REF!,COUNTIF('Loan Amortisation'!#REF!,"?*"))</definedName>
    <definedName name="Support_Tool_Building_List">'[1]Backing Sheet - Buildings'!$Y$2:INDEX('[1]Backing Sheet - Buildings'!$Y$2:$Y$101,COUNTIF('[1]Backing Sheet - Buildings'!$Y$2:$Y$101,"?*"))</definedName>
    <definedName name="Swimming">#REF!</definedName>
    <definedName name="Time_switches">'Eligible Technologies'!$D$63</definedName>
    <definedName name="Traffic_lights">#REF!</definedName>
    <definedName name="Transformers">'Eligible Technologies'!#REF!</definedName>
    <definedName name="Unit_cost">[6]Dashboard!$D$27</definedName>
    <definedName name="Ventilation">'Eligible Technologies'!$D$64:$D$69</definedName>
    <definedName name="Voltage_reduction">'[8]Lookup Table'!#REF!</definedName>
    <definedName name="Work_types">'Eligible Technologies'!$D$7:$D$15,'Eligible Technologies'!$D$7:$D$15,'Eligible Technologies'!$D$17:$D$69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36" l="1"/>
  <c r="O15" i="36" l="1"/>
  <c r="AP41" i="36"/>
  <c r="AP42" i="36"/>
  <c r="AO8" i="36"/>
  <c r="AO42" i="36" s="1"/>
  <c r="AO7" i="36"/>
  <c r="AO41" i="36" l="1"/>
  <c r="AO49" i="36"/>
  <c r="AO48" i="36"/>
  <c r="AO47" i="36"/>
  <c r="AO46" i="36"/>
  <c r="AO45" i="36"/>
  <c r="AO43" i="36"/>
  <c r="AO44" i="36"/>
  <c r="D51" i="36"/>
  <c r="M31" i="36" s="1"/>
  <c r="AP48" i="36"/>
  <c r="AP49" i="36"/>
  <c r="AP47" i="36"/>
  <c r="AP46" i="36"/>
  <c r="AP45" i="36"/>
  <c r="AP44" i="36"/>
  <c r="AP43" i="36"/>
  <c r="D52" i="36" l="1"/>
  <c r="D53" i="36"/>
  <c r="AS15" i="36" s="1"/>
  <c r="AO15" i="36"/>
  <c r="AO27" i="36" l="1"/>
  <c r="AN27" i="36" s="1"/>
  <c r="AO28" i="36"/>
  <c r="AO10" i="36"/>
  <c r="AO22" i="36" l="1"/>
  <c r="D49" i="36"/>
  <c r="AJ12" i="2"/>
  <c r="F122" i="11"/>
  <c r="G122" i="11" s="1"/>
  <c r="F80" i="11"/>
  <c r="E6" i="11"/>
  <c r="F6" i="11" s="1"/>
  <c r="F76" i="11"/>
  <c r="O4" i="2" s="1"/>
  <c r="D11" i="26"/>
  <c r="I28" i="26"/>
  <c r="H93" i="36"/>
  <c r="I93" i="36" s="1"/>
  <c r="H92" i="36"/>
  <c r="I92" i="36" s="1"/>
  <c r="H91" i="36"/>
  <c r="I91" i="36" s="1"/>
  <c r="H90" i="36"/>
  <c r="H89" i="36"/>
  <c r="I89" i="36" s="1"/>
  <c r="H88" i="36"/>
  <c r="I88" i="36" s="1"/>
  <c r="H87" i="36"/>
  <c r="I87" i="36" s="1"/>
  <c r="H86" i="36"/>
  <c r="I86" i="36" s="1"/>
  <c r="H85" i="36"/>
  <c r="I85" i="36" s="1"/>
  <c r="H84" i="36"/>
  <c r="H83" i="36"/>
  <c r="I83" i="36" s="1"/>
  <c r="H82" i="36"/>
  <c r="I82" i="36" s="1"/>
  <c r="H81" i="36"/>
  <c r="I81" i="36" s="1"/>
  <c r="H80" i="36"/>
  <c r="I80" i="36" s="1"/>
  <c r="H79" i="36"/>
  <c r="I79" i="36" s="1"/>
  <c r="H78" i="36"/>
  <c r="H77" i="36"/>
  <c r="I77" i="36" s="1"/>
  <c r="H76" i="36"/>
  <c r="I76" i="36" s="1"/>
  <c r="H75" i="36"/>
  <c r="H74" i="36"/>
  <c r="I74" i="36" s="1"/>
  <c r="H73" i="36"/>
  <c r="I73" i="36" s="1"/>
  <c r="H72" i="36"/>
  <c r="I72" i="36" s="1"/>
  <c r="H71" i="36"/>
  <c r="I71" i="36" s="1"/>
  <c r="AB70" i="36"/>
  <c r="H70" i="36"/>
  <c r="I70" i="36" s="1"/>
  <c r="G57" i="36"/>
  <c r="G56" i="36"/>
  <c r="L9" i="2"/>
  <c r="O65" i="2" s="1"/>
  <c r="D48" i="36" s="1"/>
  <c r="N34" i="36" l="1"/>
  <c r="O34" i="36" s="1"/>
  <c r="N18" i="36"/>
  <c r="W70" i="36" s="1"/>
  <c r="K71" i="36"/>
  <c r="K70" i="36"/>
  <c r="K76" i="36"/>
  <c r="AO25" i="36"/>
  <c r="AO26" i="36" s="1"/>
  <c r="AO23" i="36"/>
  <c r="AO24" i="36" s="1"/>
  <c r="I75" i="36"/>
  <c r="I90" i="36"/>
  <c r="K93" i="36"/>
  <c r="K91" i="36"/>
  <c r="K89" i="36"/>
  <c r="K87" i="36"/>
  <c r="K85" i="36"/>
  <c r="K83" i="36"/>
  <c r="K81" i="36"/>
  <c r="K79" i="36"/>
  <c r="K77" i="36"/>
  <c r="K74" i="36"/>
  <c r="K82" i="36"/>
  <c r="K92" i="36"/>
  <c r="K84" i="36"/>
  <c r="K86" i="36"/>
  <c r="N63" i="36"/>
  <c r="K88" i="36"/>
  <c r="K78" i="36"/>
  <c r="K90" i="36"/>
  <c r="K75" i="36"/>
  <c r="K72" i="36"/>
  <c r="K80" i="36"/>
  <c r="K73" i="36"/>
  <c r="I78" i="36"/>
  <c r="I84" i="36"/>
  <c r="N66" i="36"/>
  <c r="AH128" i="2"/>
  <c r="AH129" i="2"/>
  <c r="AH130" i="2"/>
  <c r="AH131" i="2"/>
  <c r="AH132" i="2"/>
  <c r="AH133" i="2"/>
  <c r="AH134" i="2"/>
  <c r="AH135" i="2"/>
  <c r="AH136" i="2"/>
  <c r="AH137" i="2"/>
  <c r="AH138" i="2"/>
  <c r="AH139" i="2"/>
  <c r="AH140"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01" i="2"/>
  <c r="K17" i="35"/>
  <c r="A7" i="23"/>
  <c r="W14" i="2"/>
  <c r="AC14" i="2" s="1"/>
  <c r="AD14" i="2"/>
  <c r="L70" i="36" l="1"/>
  <c r="AO30" i="36"/>
  <c r="AO29" i="36"/>
  <c r="AO16" i="36"/>
  <c r="G76" i="11"/>
  <c r="E70" i="36" l="1"/>
  <c r="AA70" i="36" s="1"/>
  <c r="N62" i="36"/>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E15" i="11"/>
  <c r="F15" i="11" s="1"/>
  <c r="H15" i="11" s="1"/>
  <c r="V21" i="2" s="1"/>
  <c r="E16" i="11"/>
  <c r="F16" i="11" s="1"/>
  <c r="E17" i="11"/>
  <c r="F17" i="11" s="1"/>
  <c r="Z23" i="2" s="1"/>
  <c r="E18" i="11"/>
  <c r="F18" i="11" s="1"/>
  <c r="E19" i="11"/>
  <c r="F19" i="11" s="1"/>
  <c r="Z25" i="2" s="1"/>
  <c r="E20" i="11"/>
  <c r="F20" i="11" s="1"/>
  <c r="E21" i="11"/>
  <c r="F21" i="11" s="1"/>
  <c r="E22" i="11"/>
  <c r="F22" i="11" s="1"/>
  <c r="E23" i="11"/>
  <c r="F23" i="11" s="1"/>
  <c r="E24" i="11"/>
  <c r="F24" i="11" s="1"/>
  <c r="E25" i="11"/>
  <c r="F25" i="11" s="1"/>
  <c r="Z31" i="2" s="1"/>
  <c r="E26" i="11"/>
  <c r="F26" i="11" s="1"/>
  <c r="E27" i="11"/>
  <c r="F27" i="11" s="1"/>
  <c r="Z33" i="2" s="1"/>
  <c r="E28" i="11"/>
  <c r="F28" i="11" s="1"/>
  <c r="E29" i="11"/>
  <c r="F29" i="11" s="1"/>
  <c r="Z35" i="2" s="1"/>
  <c r="E30" i="11"/>
  <c r="F30" i="11" s="1"/>
  <c r="E31" i="11"/>
  <c r="F31" i="11" s="1"/>
  <c r="E32" i="11"/>
  <c r="F32" i="11" s="1"/>
  <c r="E33" i="11"/>
  <c r="F33" i="11" s="1"/>
  <c r="Z39" i="2" s="1"/>
  <c r="E34" i="11"/>
  <c r="F34" i="11" s="1"/>
  <c r="E35" i="11"/>
  <c r="F35" i="11" s="1"/>
  <c r="Z41" i="2" s="1"/>
  <c r="E36" i="11"/>
  <c r="F36" i="11" s="1"/>
  <c r="E37" i="11"/>
  <c r="F37" i="11" s="1"/>
  <c r="Z43" i="2" s="1"/>
  <c r="E38" i="11"/>
  <c r="F38" i="11" s="1"/>
  <c r="E39" i="11"/>
  <c r="F39" i="11" s="1"/>
  <c r="E40" i="11"/>
  <c r="F40" i="11" s="1"/>
  <c r="E41" i="11"/>
  <c r="F41" i="11" s="1"/>
  <c r="Z47" i="2" s="1"/>
  <c r="E42" i="11"/>
  <c r="F42" i="11" s="1"/>
  <c r="E43" i="11"/>
  <c r="F43" i="11" s="1"/>
  <c r="Z49" i="2" s="1"/>
  <c r="E44" i="11"/>
  <c r="F44" i="11" s="1"/>
  <c r="E45" i="11"/>
  <c r="F45" i="11" s="1"/>
  <c r="E46" i="11"/>
  <c r="F46" i="11" s="1"/>
  <c r="E47" i="11"/>
  <c r="F47" i="11" s="1"/>
  <c r="E48" i="11"/>
  <c r="F48" i="11" s="1"/>
  <c r="E49" i="11"/>
  <c r="F49" i="11" s="1"/>
  <c r="Z55" i="2" s="1"/>
  <c r="E50" i="11"/>
  <c r="F50" i="11" s="1"/>
  <c r="E51" i="11"/>
  <c r="F51" i="11" s="1"/>
  <c r="Z57" i="2" s="1"/>
  <c r="E52" i="11"/>
  <c r="F52" i="11" s="1"/>
  <c r="E53" i="11"/>
  <c r="F53" i="11" s="1"/>
  <c r="E54" i="11"/>
  <c r="F54" i="11" s="1"/>
  <c r="E55" i="11"/>
  <c r="F55" i="11" s="1"/>
  <c r="D50" i="11"/>
  <c r="D51" i="11"/>
  <c r="D52" i="11"/>
  <c r="D53" i="11"/>
  <c r="D54" i="11"/>
  <c r="D55" i="11"/>
  <c r="D28" i="11"/>
  <c r="D29" i="11"/>
  <c r="D30" i="11"/>
  <c r="D31" i="11"/>
  <c r="D32" i="11"/>
  <c r="D33" i="11"/>
  <c r="D34" i="11"/>
  <c r="D35" i="11"/>
  <c r="D36" i="11"/>
  <c r="D37" i="11"/>
  <c r="D38" i="11"/>
  <c r="D39" i="11"/>
  <c r="D40" i="11"/>
  <c r="D41" i="11"/>
  <c r="D42" i="11"/>
  <c r="D43" i="11"/>
  <c r="D44" i="11"/>
  <c r="D45" i="11"/>
  <c r="D46" i="11"/>
  <c r="D47" i="11"/>
  <c r="D48" i="11"/>
  <c r="D49" i="11"/>
  <c r="D15" i="11"/>
  <c r="D16" i="11"/>
  <c r="D17" i="11"/>
  <c r="D18" i="11"/>
  <c r="D19" i="11"/>
  <c r="D20" i="11"/>
  <c r="D21" i="11"/>
  <c r="D22" i="11"/>
  <c r="D23" i="11"/>
  <c r="D24" i="11"/>
  <c r="D25" i="11"/>
  <c r="D26" i="11"/>
  <c r="D27" i="11"/>
  <c r="W21" i="2"/>
  <c r="AC21" i="2" s="1"/>
  <c r="W22" i="2"/>
  <c r="AC22" i="2" s="1"/>
  <c r="W23" i="2"/>
  <c r="AC23" i="2" s="1"/>
  <c r="W24" i="2"/>
  <c r="AC24" i="2" s="1"/>
  <c r="W25" i="2"/>
  <c r="AC25" i="2" s="1"/>
  <c r="W26" i="2"/>
  <c r="AC26" i="2" s="1"/>
  <c r="W27" i="2"/>
  <c r="AC27" i="2" s="1"/>
  <c r="W28" i="2"/>
  <c r="AC28" i="2" s="1"/>
  <c r="W29" i="2"/>
  <c r="AC29" i="2" s="1"/>
  <c r="W30" i="2"/>
  <c r="AC30" i="2" s="1"/>
  <c r="W31" i="2"/>
  <c r="AC31" i="2" s="1"/>
  <c r="W32" i="2"/>
  <c r="AC32" i="2" s="1"/>
  <c r="W33" i="2"/>
  <c r="AC33" i="2" s="1"/>
  <c r="W34" i="2"/>
  <c r="AC34" i="2" s="1"/>
  <c r="W35" i="2"/>
  <c r="AC35" i="2" s="1"/>
  <c r="W36" i="2"/>
  <c r="AC36" i="2" s="1"/>
  <c r="W37" i="2"/>
  <c r="AC37" i="2" s="1"/>
  <c r="W38" i="2"/>
  <c r="AC38" i="2" s="1"/>
  <c r="W39" i="2"/>
  <c r="AC39" i="2" s="1"/>
  <c r="W40" i="2"/>
  <c r="AC40" i="2" s="1"/>
  <c r="W41" i="2"/>
  <c r="AC41" i="2" s="1"/>
  <c r="W42" i="2"/>
  <c r="AC42" i="2" s="1"/>
  <c r="W43" i="2"/>
  <c r="AC43" i="2" s="1"/>
  <c r="W44" i="2"/>
  <c r="AC44" i="2" s="1"/>
  <c r="W45" i="2"/>
  <c r="AC45" i="2" s="1"/>
  <c r="W46" i="2"/>
  <c r="AC46" i="2" s="1"/>
  <c r="W47" i="2"/>
  <c r="AC47" i="2" s="1"/>
  <c r="W48" i="2"/>
  <c r="AC48" i="2" s="1"/>
  <c r="W49" i="2"/>
  <c r="AC49" i="2" s="1"/>
  <c r="W50" i="2"/>
  <c r="AC50" i="2" s="1"/>
  <c r="W51" i="2"/>
  <c r="AC51" i="2" s="1"/>
  <c r="W52" i="2"/>
  <c r="AC52" i="2" s="1"/>
  <c r="W53" i="2"/>
  <c r="AC53" i="2" s="1"/>
  <c r="W54" i="2"/>
  <c r="AC54" i="2" s="1"/>
  <c r="W55" i="2"/>
  <c r="AC55" i="2" s="1"/>
  <c r="W56" i="2"/>
  <c r="AC56" i="2" s="1"/>
  <c r="W57" i="2"/>
  <c r="AC57" i="2" s="1"/>
  <c r="W58" i="2"/>
  <c r="AC58" i="2" s="1"/>
  <c r="W59" i="2"/>
  <c r="AC59" i="2" s="1"/>
  <c r="W60" i="2"/>
  <c r="AC60" i="2" s="1"/>
  <c r="W61" i="2"/>
  <c r="AC61" i="2" s="1"/>
  <c r="M21" i="2"/>
  <c r="P21" i="2" s="1"/>
  <c r="Q21" i="2" s="1"/>
  <c r="X21" i="2" s="1"/>
  <c r="M22" i="2"/>
  <c r="P22" i="2" s="1"/>
  <c r="Q22" i="2" s="1"/>
  <c r="X22" i="2" s="1"/>
  <c r="G22" i="2" s="1"/>
  <c r="M23" i="2"/>
  <c r="P23" i="2" s="1"/>
  <c r="Q23" i="2" s="1"/>
  <c r="X23" i="2" s="1"/>
  <c r="G23" i="2" s="1"/>
  <c r="M24" i="2"/>
  <c r="M25" i="2"/>
  <c r="M26" i="2"/>
  <c r="M27" i="2"/>
  <c r="N27" i="2" s="1"/>
  <c r="M28" i="2"/>
  <c r="N28" i="2" s="1"/>
  <c r="M29" i="2"/>
  <c r="P29" i="2" s="1"/>
  <c r="Q29" i="2" s="1"/>
  <c r="X29" i="2" s="1"/>
  <c r="G29" i="2" s="1"/>
  <c r="M30" i="2"/>
  <c r="P30" i="2" s="1"/>
  <c r="Q30" i="2" s="1"/>
  <c r="X30" i="2" s="1"/>
  <c r="G30" i="2" s="1"/>
  <c r="M31" i="2"/>
  <c r="P31" i="2" s="1"/>
  <c r="Q31" i="2" s="1"/>
  <c r="X31" i="2" s="1"/>
  <c r="G31" i="2" s="1"/>
  <c r="M32" i="2"/>
  <c r="M33" i="2"/>
  <c r="M34" i="2"/>
  <c r="M35" i="2"/>
  <c r="M36" i="2"/>
  <c r="N36" i="2" s="1"/>
  <c r="M37" i="2"/>
  <c r="P37" i="2" s="1"/>
  <c r="Q37" i="2" s="1"/>
  <c r="X37" i="2" s="1"/>
  <c r="G37" i="2" s="1"/>
  <c r="M38" i="2"/>
  <c r="P38" i="2" s="1"/>
  <c r="Q38" i="2" s="1"/>
  <c r="X38" i="2" s="1"/>
  <c r="G38" i="2" s="1"/>
  <c r="M39" i="2"/>
  <c r="P39" i="2" s="1"/>
  <c r="Q39" i="2" s="1"/>
  <c r="X39" i="2" s="1"/>
  <c r="G39" i="2" s="1"/>
  <c r="M40" i="2"/>
  <c r="M41" i="2"/>
  <c r="M42" i="2"/>
  <c r="M43" i="2"/>
  <c r="M44" i="2"/>
  <c r="N44" i="2" s="1"/>
  <c r="M45" i="2"/>
  <c r="P45" i="2" s="1"/>
  <c r="Q45" i="2" s="1"/>
  <c r="X45" i="2" s="1"/>
  <c r="G45" i="2" s="1"/>
  <c r="M46" i="2"/>
  <c r="P46" i="2" s="1"/>
  <c r="Q46" i="2" s="1"/>
  <c r="X46" i="2" s="1"/>
  <c r="G46" i="2" s="1"/>
  <c r="M47" i="2"/>
  <c r="P47" i="2" s="1"/>
  <c r="Q47" i="2" s="1"/>
  <c r="X47" i="2" s="1"/>
  <c r="G47" i="2" s="1"/>
  <c r="M48" i="2"/>
  <c r="M49" i="2"/>
  <c r="M50" i="2"/>
  <c r="M51" i="2"/>
  <c r="M52" i="2"/>
  <c r="N52" i="2" s="1"/>
  <c r="M53" i="2"/>
  <c r="P53" i="2" s="1"/>
  <c r="Q53" i="2" s="1"/>
  <c r="X53" i="2" s="1"/>
  <c r="G53" i="2" s="1"/>
  <c r="M54" i="2"/>
  <c r="P54" i="2" s="1"/>
  <c r="Q54" i="2" s="1"/>
  <c r="X54" i="2" s="1"/>
  <c r="G54" i="2" s="1"/>
  <c r="M55" i="2"/>
  <c r="P55" i="2" s="1"/>
  <c r="Q55" i="2" s="1"/>
  <c r="X55" i="2" s="1"/>
  <c r="G55" i="2" s="1"/>
  <c r="M56" i="2"/>
  <c r="M57" i="2"/>
  <c r="M58" i="2"/>
  <c r="M59" i="2"/>
  <c r="M60" i="2"/>
  <c r="N60" i="2" s="1"/>
  <c r="M61" i="2"/>
  <c r="P61" i="2" s="1"/>
  <c r="Q61" i="2" s="1"/>
  <c r="X61" i="2" s="1"/>
  <c r="G61" i="2" s="1"/>
  <c r="W12" i="2"/>
  <c r="AC12" i="2" s="1"/>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01" i="2"/>
  <c r="AD43" i="2"/>
  <c r="AD36" i="2"/>
  <c r="AD40" i="2"/>
  <c r="AD33" i="2"/>
  <c r="AD27" i="2"/>
  <c r="AD38" i="2"/>
  <c r="AD53" i="2"/>
  <c r="AD29" i="2"/>
  <c r="AD52" i="2"/>
  <c r="AD34" i="2"/>
  <c r="AD51" i="2"/>
  <c r="AD45" i="2"/>
  <c r="AD12" i="2"/>
  <c r="AD30" i="2"/>
  <c r="AD56" i="2"/>
  <c r="AD58" i="2"/>
  <c r="AD44" i="2"/>
  <c r="AD41" i="2"/>
  <c r="AD28" i="2"/>
  <c r="AD57" i="2"/>
  <c r="AD35" i="2"/>
  <c r="AD25" i="2"/>
  <c r="AD50" i="2"/>
  <c r="AD59" i="2"/>
  <c r="AD37" i="2"/>
  <c r="AD32" i="2"/>
  <c r="AD21" i="2"/>
  <c r="AD48" i="2"/>
  <c r="AD61" i="2"/>
  <c r="AD42" i="2"/>
  <c r="AD24" i="2"/>
  <c r="AD60" i="2"/>
  <c r="AD54" i="2"/>
  <c r="AD49" i="2"/>
  <c r="AD26" i="2"/>
  <c r="AD23" i="2"/>
  <c r="AD22" i="2"/>
  <c r="AD55" i="2"/>
  <c r="AD31" i="2"/>
  <c r="AD46" i="2"/>
  <c r="AD39" i="2"/>
  <c r="AD47" i="2"/>
  <c r="E71" i="36" l="1"/>
  <c r="H55" i="11"/>
  <c r="I55" i="11" s="1"/>
  <c r="H31" i="11"/>
  <c r="H47" i="11"/>
  <c r="V53" i="2" s="1"/>
  <c r="H23" i="11"/>
  <c r="V29" i="2" s="1"/>
  <c r="H39" i="11"/>
  <c r="V45" i="2" s="1"/>
  <c r="I15" i="11"/>
  <c r="R32" i="2"/>
  <c r="S32" i="2" s="1"/>
  <c r="T32" i="2" s="1"/>
  <c r="U32" i="2" s="1"/>
  <c r="R38" i="2"/>
  <c r="S38" i="2" s="1"/>
  <c r="T38" i="2" s="1"/>
  <c r="U38" i="2" s="1"/>
  <c r="R22" i="2"/>
  <c r="S22" i="2" s="1"/>
  <c r="T22" i="2" s="1"/>
  <c r="U22" i="2" s="1"/>
  <c r="R30" i="2"/>
  <c r="S30" i="2" s="1"/>
  <c r="T30" i="2" s="1"/>
  <c r="U30" i="2" s="1"/>
  <c r="R52" i="2"/>
  <c r="S52" i="2" s="1"/>
  <c r="T52" i="2" s="1"/>
  <c r="U52" i="2" s="1"/>
  <c r="R25" i="2"/>
  <c r="S25" i="2" s="1"/>
  <c r="T25" i="2" s="1"/>
  <c r="U25" i="2" s="1"/>
  <c r="R60" i="2"/>
  <c r="S60" i="2" s="1"/>
  <c r="T60" i="2" s="1"/>
  <c r="U60" i="2" s="1"/>
  <c r="R21" i="2"/>
  <c r="S21" i="2" s="1"/>
  <c r="T21" i="2" s="1"/>
  <c r="U21" i="2" s="1"/>
  <c r="R40" i="2"/>
  <c r="S40" i="2" s="1"/>
  <c r="T40" i="2" s="1"/>
  <c r="U40" i="2" s="1"/>
  <c r="R28" i="2"/>
  <c r="S28" i="2" s="1"/>
  <c r="T28" i="2" s="1"/>
  <c r="U28" i="2" s="1"/>
  <c r="R27" i="2"/>
  <c r="S27" i="2" s="1"/>
  <c r="T27" i="2" s="1"/>
  <c r="U27" i="2" s="1"/>
  <c r="R29" i="2"/>
  <c r="S29" i="2" s="1"/>
  <c r="T29" i="2" s="1"/>
  <c r="U29" i="2" s="1"/>
  <c r="R34" i="2"/>
  <c r="S34" i="2" s="1"/>
  <c r="T34" i="2" s="1"/>
  <c r="U34" i="2" s="1"/>
  <c r="R31" i="2"/>
  <c r="S31" i="2" s="1"/>
  <c r="T31" i="2" s="1"/>
  <c r="U31" i="2" s="1"/>
  <c r="R41" i="2"/>
  <c r="S41" i="2" s="1"/>
  <c r="T41" i="2" s="1"/>
  <c r="U41" i="2" s="1"/>
  <c r="R58" i="2"/>
  <c r="S58" i="2" s="1"/>
  <c r="T58" i="2" s="1"/>
  <c r="U58" i="2" s="1"/>
  <c r="R55" i="2"/>
  <c r="S55" i="2" s="1"/>
  <c r="T55" i="2" s="1"/>
  <c r="U55" i="2" s="1"/>
  <c r="R43" i="2"/>
  <c r="S43" i="2" s="1"/>
  <c r="T43" i="2" s="1"/>
  <c r="U43" i="2" s="1"/>
  <c r="R35" i="2"/>
  <c r="S35" i="2" s="1"/>
  <c r="T35" i="2" s="1"/>
  <c r="U35" i="2" s="1"/>
  <c r="R54" i="2"/>
  <c r="S54" i="2" s="1"/>
  <c r="T54" i="2" s="1"/>
  <c r="U54" i="2" s="1"/>
  <c r="R50" i="2"/>
  <c r="S50" i="2" s="1"/>
  <c r="T50" i="2" s="1"/>
  <c r="U50" i="2" s="1"/>
  <c r="R46" i="2"/>
  <c r="S46" i="2" s="1"/>
  <c r="T46" i="2" s="1"/>
  <c r="U46" i="2" s="1"/>
  <c r="R33" i="2"/>
  <c r="S33" i="2" s="1"/>
  <c r="T33" i="2" s="1"/>
  <c r="U33" i="2" s="1"/>
  <c r="R24" i="2"/>
  <c r="S24" i="2" s="1"/>
  <c r="T24" i="2" s="1"/>
  <c r="U24" i="2" s="1"/>
  <c r="R37" i="2"/>
  <c r="S37" i="2" s="1"/>
  <c r="T37" i="2" s="1"/>
  <c r="U37" i="2" s="1"/>
  <c r="R48" i="2"/>
  <c r="S48" i="2" s="1"/>
  <c r="T48" i="2" s="1"/>
  <c r="U48" i="2" s="1"/>
  <c r="R26" i="2"/>
  <c r="S26" i="2" s="1"/>
  <c r="T26" i="2" s="1"/>
  <c r="U26" i="2" s="1"/>
  <c r="R47" i="2"/>
  <c r="S47" i="2" s="1"/>
  <c r="T47" i="2" s="1"/>
  <c r="U47" i="2" s="1"/>
  <c r="R57" i="2"/>
  <c r="S57" i="2" s="1"/>
  <c r="T57" i="2" s="1"/>
  <c r="U57" i="2" s="1"/>
  <c r="R53" i="2"/>
  <c r="S53" i="2" s="1"/>
  <c r="T53" i="2" s="1"/>
  <c r="U53" i="2" s="1"/>
  <c r="R51" i="2"/>
  <c r="S51" i="2" s="1"/>
  <c r="T51" i="2" s="1"/>
  <c r="U51" i="2" s="1"/>
  <c r="R56" i="2"/>
  <c r="S56" i="2" s="1"/>
  <c r="T56" i="2" s="1"/>
  <c r="U56" i="2" s="1"/>
  <c r="R36" i="2"/>
  <c r="S36" i="2" s="1"/>
  <c r="T36" i="2" s="1"/>
  <c r="U36" i="2" s="1"/>
  <c r="R44" i="2"/>
  <c r="S44" i="2" s="1"/>
  <c r="T44" i="2" s="1"/>
  <c r="U44" i="2" s="1"/>
  <c r="R39" i="2"/>
  <c r="S39" i="2" s="1"/>
  <c r="T39" i="2" s="1"/>
  <c r="U39" i="2" s="1"/>
  <c r="R42" i="2"/>
  <c r="S42" i="2" s="1"/>
  <c r="T42" i="2" s="1"/>
  <c r="U42" i="2" s="1"/>
  <c r="R49" i="2"/>
  <c r="S49" i="2" s="1"/>
  <c r="T49" i="2" s="1"/>
  <c r="U49" i="2" s="1"/>
  <c r="R59" i="2"/>
  <c r="S59" i="2" s="1"/>
  <c r="T59" i="2" s="1"/>
  <c r="U59" i="2" s="1"/>
  <c r="R23" i="2"/>
  <c r="S23" i="2" s="1"/>
  <c r="T23" i="2" s="1"/>
  <c r="U23" i="2" s="1"/>
  <c r="R45" i="2"/>
  <c r="S45" i="2" s="1"/>
  <c r="T45" i="2" s="1"/>
  <c r="U45" i="2" s="1"/>
  <c r="R61" i="2"/>
  <c r="S61" i="2" s="1"/>
  <c r="T61" i="2" s="1"/>
  <c r="U61" i="2" s="1"/>
  <c r="R12" i="2"/>
  <c r="N43" i="2"/>
  <c r="P44" i="2"/>
  <c r="Q44" i="2" s="1"/>
  <c r="X44" i="2" s="1"/>
  <c r="G44" i="2" s="1"/>
  <c r="Z50" i="2"/>
  <c r="P60" i="2"/>
  <c r="Q60" i="2" s="1"/>
  <c r="X60" i="2" s="1"/>
  <c r="G60" i="2" s="1"/>
  <c r="P52" i="2"/>
  <c r="Q52" i="2" s="1"/>
  <c r="X52" i="2" s="1"/>
  <c r="G52" i="2" s="1"/>
  <c r="Z42" i="2"/>
  <c r="N59" i="2"/>
  <c r="P36" i="2"/>
  <c r="Q36" i="2" s="1"/>
  <c r="X36" i="2" s="1"/>
  <c r="G36" i="2" s="1"/>
  <c r="Z34" i="2"/>
  <c r="N51" i="2"/>
  <c r="P28" i="2"/>
  <c r="Q28" i="2" s="1"/>
  <c r="X28" i="2" s="1"/>
  <c r="G28" i="2" s="1"/>
  <c r="Z59" i="2"/>
  <c r="Z27" i="2"/>
  <c r="Z58" i="2"/>
  <c r="Z26" i="2"/>
  <c r="N35" i="2"/>
  <c r="Z51" i="2"/>
  <c r="Z61" i="2"/>
  <c r="Z53" i="2"/>
  <c r="Z45" i="2"/>
  <c r="Z37" i="2"/>
  <c r="Z29" i="2"/>
  <c r="Z21" i="2"/>
  <c r="Z60" i="2"/>
  <c r="Z52" i="2"/>
  <c r="Z44" i="2"/>
  <c r="Z36" i="2"/>
  <c r="Z28" i="2"/>
  <c r="Z56" i="2"/>
  <c r="Z48" i="2"/>
  <c r="Z40" i="2"/>
  <c r="Z32" i="2"/>
  <c r="Z24" i="2"/>
  <c r="Z54" i="2"/>
  <c r="Z46" i="2"/>
  <c r="Z38" i="2"/>
  <c r="Z30" i="2"/>
  <c r="Z22" i="2"/>
  <c r="AA21" i="2"/>
  <c r="N58" i="2"/>
  <c r="N50" i="2"/>
  <c r="N42" i="2"/>
  <c r="N34" i="2"/>
  <c r="N26" i="2"/>
  <c r="P59" i="2"/>
  <c r="Q59" i="2" s="1"/>
  <c r="X59" i="2" s="1"/>
  <c r="G59" i="2" s="1"/>
  <c r="P51" i="2"/>
  <c r="Q51" i="2" s="1"/>
  <c r="X51" i="2" s="1"/>
  <c r="G51" i="2" s="1"/>
  <c r="P43" i="2"/>
  <c r="Q43" i="2" s="1"/>
  <c r="X43" i="2" s="1"/>
  <c r="G43" i="2" s="1"/>
  <c r="P35" i="2"/>
  <c r="Q35" i="2" s="1"/>
  <c r="X35" i="2" s="1"/>
  <c r="G35" i="2" s="1"/>
  <c r="P27" i="2"/>
  <c r="Q27" i="2" s="1"/>
  <c r="X27" i="2" s="1"/>
  <c r="G27" i="2" s="1"/>
  <c r="N57" i="2"/>
  <c r="N49" i="2"/>
  <c r="N41" i="2"/>
  <c r="N33" i="2"/>
  <c r="N25" i="2"/>
  <c r="P58" i="2"/>
  <c r="Q58" i="2" s="1"/>
  <c r="X58" i="2" s="1"/>
  <c r="G58" i="2" s="1"/>
  <c r="P50" i="2"/>
  <c r="Q50" i="2" s="1"/>
  <c r="X50" i="2" s="1"/>
  <c r="G50" i="2" s="1"/>
  <c r="P42" i="2"/>
  <c r="Q42" i="2" s="1"/>
  <c r="X42" i="2" s="1"/>
  <c r="G42" i="2" s="1"/>
  <c r="P34" i="2"/>
  <c r="Q34" i="2" s="1"/>
  <c r="X34" i="2" s="1"/>
  <c r="G34" i="2" s="1"/>
  <c r="P26" i="2"/>
  <c r="Q26" i="2" s="1"/>
  <c r="X26" i="2" s="1"/>
  <c r="G26" i="2" s="1"/>
  <c r="N56" i="2"/>
  <c r="N48" i="2"/>
  <c r="N40" i="2"/>
  <c r="N32" i="2"/>
  <c r="N24" i="2"/>
  <c r="P57" i="2"/>
  <c r="Q57" i="2" s="1"/>
  <c r="X57" i="2" s="1"/>
  <c r="G57" i="2" s="1"/>
  <c r="P49" i="2"/>
  <c r="Q49" i="2" s="1"/>
  <c r="X49" i="2" s="1"/>
  <c r="G49" i="2" s="1"/>
  <c r="P41" i="2"/>
  <c r="Q41" i="2" s="1"/>
  <c r="X41" i="2" s="1"/>
  <c r="G41" i="2" s="1"/>
  <c r="P33" i="2"/>
  <c r="Q33" i="2" s="1"/>
  <c r="X33" i="2" s="1"/>
  <c r="G33" i="2" s="1"/>
  <c r="P25" i="2"/>
  <c r="Q25" i="2" s="1"/>
  <c r="X25" i="2" s="1"/>
  <c r="V61" i="2"/>
  <c r="N55" i="2"/>
  <c r="N47" i="2"/>
  <c r="N39" i="2"/>
  <c r="N31" i="2"/>
  <c r="N23" i="2"/>
  <c r="P56" i="2"/>
  <c r="Q56" i="2" s="1"/>
  <c r="X56" i="2" s="1"/>
  <c r="G56" i="2" s="1"/>
  <c r="P48" i="2"/>
  <c r="Q48" i="2" s="1"/>
  <c r="X48" i="2" s="1"/>
  <c r="G48" i="2" s="1"/>
  <c r="P40" i="2"/>
  <c r="Q40" i="2" s="1"/>
  <c r="X40" i="2" s="1"/>
  <c r="G40" i="2" s="1"/>
  <c r="P32" i="2"/>
  <c r="Q32" i="2" s="1"/>
  <c r="X32" i="2" s="1"/>
  <c r="G32" i="2" s="1"/>
  <c r="P24" i="2"/>
  <c r="Q24" i="2" s="1"/>
  <c r="X24" i="2" s="1"/>
  <c r="N54" i="2"/>
  <c r="N46" i="2"/>
  <c r="N38" i="2"/>
  <c r="N30" i="2"/>
  <c r="N22" i="2"/>
  <c r="N61" i="2"/>
  <c r="N53" i="2"/>
  <c r="N45" i="2"/>
  <c r="N37" i="2"/>
  <c r="N29" i="2"/>
  <c r="N21" i="2"/>
  <c r="H38" i="11"/>
  <c r="V44" i="2" s="1"/>
  <c r="H29" i="11"/>
  <c r="V35" i="2" s="1"/>
  <c r="H50" i="11"/>
  <c r="H16" i="11"/>
  <c r="V22" i="2" s="1"/>
  <c r="H49" i="11"/>
  <c r="V55" i="2" s="1"/>
  <c r="H30" i="11"/>
  <c r="V36" i="2" s="1"/>
  <c r="H21" i="11"/>
  <c r="V27" i="2" s="1"/>
  <c r="H42" i="11"/>
  <c r="H41" i="11"/>
  <c r="V47" i="2" s="1"/>
  <c r="H46" i="11"/>
  <c r="V52" i="2" s="1"/>
  <c r="H20" i="11"/>
  <c r="V26" i="2" s="1"/>
  <c r="H37" i="11"/>
  <c r="H22" i="11"/>
  <c r="V28" i="2" s="1"/>
  <c r="H34" i="11"/>
  <c r="V40" i="2" s="1"/>
  <c r="H51" i="11"/>
  <c r="V57" i="2" s="1"/>
  <c r="Y57" i="2" s="1"/>
  <c r="H33" i="11"/>
  <c r="V39" i="2" s="1"/>
  <c r="H25" i="11"/>
  <c r="V31" i="2" s="1"/>
  <c r="H52" i="11"/>
  <c r="V58" i="2" s="1"/>
  <c r="H26" i="11"/>
  <c r="V32" i="2" s="1"/>
  <c r="H43" i="11"/>
  <c r="H44" i="11"/>
  <c r="H18" i="11"/>
  <c r="V24" i="2" s="1"/>
  <c r="H48" i="11"/>
  <c r="V54" i="2" s="1"/>
  <c r="H35" i="11"/>
  <c r="V41" i="2" s="1"/>
  <c r="H17" i="11"/>
  <c r="V23" i="2" s="1"/>
  <c r="H24" i="11"/>
  <c r="V30" i="2" s="1"/>
  <c r="H36" i="11"/>
  <c r="V42" i="2" s="1"/>
  <c r="H53" i="11"/>
  <c r="H40" i="11"/>
  <c r="V46" i="2" s="1"/>
  <c r="H27" i="11"/>
  <c r="V33" i="2" s="1"/>
  <c r="H54" i="11"/>
  <c r="V60" i="2" s="1"/>
  <c r="H28" i="11"/>
  <c r="V34" i="2" s="1"/>
  <c r="H45" i="11"/>
  <c r="H32" i="11"/>
  <c r="V38" i="2" s="1"/>
  <c r="H19" i="11"/>
  <c r="V25" i="2" s="1"/>
  <c r="AA71" i="36" l="1"/>
  <c r="E72" i="36"/>
  <c r="AA61" i="2"/>
  <c r="V37" i="2"/>
  <c r="AB37" i="2" s="1"/>
  <c r="V59" i="2"/>
  <c r="Y59" i="2" s="1"/>
  <c r="V56" i="2"/>
  <c r="Y56" i="2" s="1"/>
  <c r="V43" i="2"/>
  <c r="Y43" i="2" s="1"/>
  <c r="V51" i="2"/>
  <c r="Y51" i="2" s="1"/>
  <c r="V50" i="2"/>
  <c r="Y50" i="2" s="1"/>
  <c r="V49" i="2"/>
  <c r="AB49" i="2" s="1"/>
  <c r="V48" i="2"/>
  <c r="Y48" i="2" s="1"/>
  <c r="I31" i="11"/>
  <c r="AA53" i="2"/>
  <c r="AB53" i="2"/>
  <c r="AA37" i="2"/>
  <c r="Y29" i="2"/>
  <c r="I39" i="11"/>
  <c r="AB45" i="2"/>
  <c r="I47" i="11"/>
  <c r="AA29" i="2"/>
  <c r="I23" i="11"/>
  <c r="AA45" i="2"/>
  <c r="AB57" i="2"/>
  <c r="AA25" i="2"/>
  <c r="I32" i="11"/>
  <c r="I45" i="11"/>
  <c r="AA34" i="2"/>
  <c r="I54" i="11"/>
  <c r="AA33" i="2"/>
  <c r="I40" i="11"/>
  <c r="I53" i="11"/>
  <c r="I36" i="11"/>
  <c r="AA30" i="2"/>
  <c r="AA23" i="2"/>
  <c r="AA41" i="2"/>
  <c r="I48" i="11"/>
  <c r="AA24" i="2"/>
  <c r="I44" i="11"/>
  <c r="I43" i="11"/>
  <c r="AA32" i="2"/>
  <c r="I52" i="11"/>
  <c r="AA31" i="2"/>
  <c r="AA39" i="2"/>
  <c r="I51" i="11"/>
  <c r="AA40" i="2"/>
  <c r="AA28" i="2"/>
  <c r="I37" i="11"/>
  <c r="AA26" i="2"/>
  <c r="I46" i="11"/>
  <c r="I42" i="11"/>
  <c r="Y27" i="2"/>
  <c r="AA36" i="2"/>
  <c r="I16" i="11"/>
  <c r="I50" i="11"/>
  <c r="Y35" i="2"/>
  <c r="I38" i="11"/>
  <c r="AB28" i="2"/>
  <c r="I30" i="11"/>
  <c r="AB36" i="2"/>
  <c r="AA52" i="2"/>
  <c r="AB42" i="2"/>
  <c r="I22" i="11"/>
  <c r="AA60" i="2"/>
  <c r="AA44" i="2"/>
  <c r="AA42" i="2"/>
  <c r="I28" i="11"/>
  <c r="AB26" i="2"/>
  <c r="I20" i="11"/>
  <c r="AA50" i="2"/>
  <c r="AB34" i="2"/>
  <c r="AA58" i="2"/>
  <c r="I34" i="11"/>
  <c r="AB38" i="2"/>
  <c r="AA27" i="2"/>
  <c r="I26" i="11"/>
  <c r="AB41" i="2"/>
  <c r="AA59" i="2"/>
  <c r="I35" i="11"/>
  <c r="AA43" i="2"/>
  <c r="AA51" i="2"/>
  <c r="AB24" i="2"/>
  <c r="I18" i="11"/>
  <c r="AB32" i="2"/>
  <c r="AA54" i="2"/>
  <c r="AA22" i="2"/>
  <c r="AB22" i="2"/>
  <c r="I24" i="11"/>
  <c r="I21" i="11"/>
  <c r="AA38" i="2"/>
  <c r="AB40" i="2"/>
  <c r="AA48" i="2"/>
  <c r="AA56" i="2"/>
  <c r="AB30" i="2"/>
  <c r="I29" i="11"/>
  <c r="Y44" i="2"/>
  <c r="AB44" i="2"/>
  <c r="Y54" i="2"/>
  <c r="AB54" i="2"/>
  <c r="Y52" i="2"/>
  <c r="AB52" i="2"/>
  <c r="Y60" i="2"/>
  <c r="AB60" i="2"/>
  <c r="Y61" i="2"/>
  <c r="AB61" i="2"/>
  <c r="Y45" i="2"/>
  <c r="Y53" i="2"/>
  <c r="Y46" i="2"/>
  <c r="AB46" i="2"/>
  <c r="AA46" i="2"/>
  <c r="AA35" i="2"/>
  <c r="Y47" i="2"/>
  <c r="AB47" i="2"/>
  <c r="Y55" i="2"/>
  <c r="AB55" i="2"/>
  <c r="AA57" i="2"/>
  <c r="AA49" i="2"/>
  <c r="AB33" i="2"/>
  <c r="I27" i="11"/>
  <c r="AB23" i="2"/>
  <c r="I17" i="11"/>
  <c r="AB25" i="2"/>
  <c r="I19" i="11"/>
  <c r="AB39" i="2"/>
  <c r="I49" i="11"/>
  <c r="AA55" i="2"/>
  <c r="I33" i="11"/>
  <c r="I41" i="11"/>
  <c r="AA47" i="2"/>
  <c r="AB31" i="2"/>
  <c r="I25" i="11"/>
  <c r="AA72" i="36" l="1"/>
  <c r="E73" i="36"/>
  <c r="AB51" i="2"/>
  <c r="AB50" i="2"/>
  <c r="AB43" i="2"/>
  <c r="Y49" i="2"/>
  <c r="Y37" i="2"/>
  <c r="AB56" i="2"/>
  <c r="AB59" i="2"/>
  <c r="AB48" i="2"/>
  <c r="AB29" i="2"/>
  <c r="AB27" i="2"/>
  <c r="AB35" i="2"/>
  <c r="Y28" i="2"/>
  <c r="Y36" i="2"/>
  <c r="Y42" i="2"/>
  <c r="Y26" i="2"/>
  <c r="Y34" i="2"/>
  <c r="Y38" i="2"/>
  <c r="Y41" i="2"/>
  <c r="Y40" i="2"/>
  <c r="Y33" i="2"/>
  <c r="Y24" i="2"/>
  <c r="Y32" i="2"/>
  <c r="Y22" i="2"/>
  <c r="Y23" i="2"/>
  <c r="Y30" i="2"/>
  <c r="Y25" i="2"/>
  <c r="Y39" i="2"/>
  <c r="Y31" i="2"/>
  <c r="AA73" i="36" l="1"/>
  <c r="E74" i="36"/>
  <c r="M12" i="2"/>
  <c r="AA74" i="36" l="1"/>
  <c r="E75" i="36"/>
  <c r="S12" i="2"/>
  <c r="T12" i="2" s="1"/>
  <c r="U12" i="2" s="1"/>
  <c r="N12" i="2"/>
  <c r="J5" i="2"/>
  <c r="E76" i="36" l="1"/>
  <c r="AA75" i="36"/>
  <c r="W20" i="2"/>
  <c r="AC20" i="2" s="1"/>
  <c r="W19" i="2"/>
  <c r="AC19" i="2" s="1"/>
  <c r="W18" i="2"/>
  <c r="AC18" i="2" s="1"/>
  <c r="W17" i="2"/>
  <c r="AC17" i="2" s="1"/>
  <c r="W16" i="2"/>
  <c r="AC16" i="2" s="1"/>
  <c r="W15" i="2"/>
  <c r="AC15" i="2" s="1"/>
  <c r="W13" i="2"/>
  <c r="AC13" i="2" s="1"/>
  <c r="AD16" i="2"/>
  <c r="AD17" i="2"/>
  <c r="AD13" i="2"/>
  <c r="AD20" i="2"/>
  <c r="AD18" i="2"/>
  <c r="AD19" i="2"/>
  <c r="AD15" i="2"/>
  <c r="AA76" i="36" l="1"/>
  <c r="E77" i="36"/>
  <c r="R14" i="2"/>
  <c r="R13" i="2"/>
  <c r="R15" i="2"/>
  <c r="R18" i="2"/>
  <c r="R19" i="2"/>
  <c r="R17" i="2"/>
  <c r="R16" i="2"/>
  <c r="R20" i="2"/>
  <c r="C57" i="32"/>
  <c r="E78" i="36" l="1"/>
  <c r="AA77" i="36"/>
  <c r="O5" i="2"/>
  <c r="AA78" i="36" l="1"/>
  <c r="E79" i="36"/>
  <c r="D7" i="23"/>
  <c r="AA79" i="36" l="1"/>
  <c r="E80" i="36"/>
  <c r="AA80" i="36" l="1"/>
  <c r="E81" i="36"/>
  <c r="H122" i="11"/>
  <c r="D122" i="11"/>
  <c r="E122" i="11" s="1"/>
  <c r="G14" i="11"/>
  <c r="E14" i="11"/>
  <c r="F14" i="11" s="1"/>
  <c r="D14" i="11"/>
  <c r="G13" i="11"/>
  <c r="E13" i="11"/>
  <c r="F13" i="11" s="1"/>
  <c r="Z19" i="2" s="1"/>
  <c r="D13" i="11"/>
  <c r="G12" i="11"/>
  <c r="E12" i="11"/>
  <c r="F12" i="11" s="1"/>
  <c r="Z18" i="2" s="1"/>
  <c r="D12" i="11"/>
  <c r="G11" i="11"/>
  <c r="E11" i="11"/>
  <c r="F11" i="11" s="1"/>
  <c r="Z17" i="2" s="1"/>
  <c r="D11" i="11"/>
  <c r="G10" i="11"/>
  <c r="E10" i="11"/>
  <c r="F10" i="11" s="1"/>
  <c r="Z16" i="2" s="1"/>
  <c r="D10" i="11"/>
  <c r="G9" i="11"/>
  <c r="E9" i="11"/>
  <c r="F9" i="11" s="1"/>
  <c r="Z15" i="2" s="1"/>
  <c r="D9" i="11"/>
  <c r="G8" i="11"/>
  <c r="E8" i="11"/>
  <c r="F8" i="11" s="1"/>
  <c r="Z14" i="2" s="1"/>
  <c r="D8" i="11"/>
  <c r="G7" i="11"/>
  <c r="E7" i="11"/>
  <c r="F7" i="11" s="1"/>
  <c r="D7" i="11"/>
  <c r="G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H83" i="32"/>
  <c r="C55" i="32"/>
  <c r="C10" i="32"/>
  <c r="C8" i="32"/>
  <c r="H100" i="26"/>
  <c r="G91" i="26"/>
  <c r="M22" i="23"/>
  <c r="K22" i="23"/>
  <c r="M21" i="23"/>
  <c r="M20" i="2"/>
  <c r="P20" i="2" s="1"/>
  <c r="M20" i="23"/>
  <c r="M19" i="2"/>
  <c r="P19" i="2" s="1"/>
  <c r="M19" i="23"/>
  <c r="M18" i="2"/>
  <c r="P18" i="2" s="1"/>
  <c r="M18" i="23"/>
  <c r="M17" i="2"/>
  <c r="K18" i="23" s="1"/>
  <c r="M17" i="23"/>
  <c r="M16" i="2"/>
  <c r="P16" i="2" s="1"/>
  <c r="Q16" i="2" s="1"/>
  <c r="M16" i="23"/>
  <c r="M15" i="2"/>
  <c r="P15" i="2" s="1"/>
  <c r="M15" i="23"/>
  <c r="M14" i="2"/>
  <c r="P14" i="2" s="1"/>
  <c r="M14" i="23"/>
  <c r="M13" i="2"/>
  <c r="P13" i="2" s="1"/>
  <c r="AK12" i="2"/>
  <c r="M13" i="23"/>
  <c r="N6" i="2"/>
  <c r="R5" i="2"/>
  <c r="R4" i="2"/>
  <c r="R3" i="2"/>
  <c r="B4" i="28"/>
  <c r="AA81" i="36" l="1"/>
  <c r="E82" i="36"/>
  <c r="AO20" i="2"/>
  <c r="Z20" i="2"/>
  <c r="K13" i="23"/>
  <c r="P12" i="2"/>
  <c r="Z12" i="2"/>
  <c r="W13" i="23"/>
  <c r="W21" i="23"/>
  <c r="W15" i="23"/>
  <c r="W14" i="23"/>
  <c r="W16" i="23"/>
  <c r="W17" i="23"/>
  <c r="V19" i="23"/>
  <c r="W20" i="23"/>
  <c r="D90" i="32"/>
  <c r="D89" i="32"/>
  <c r="D88" i="32"/>
  <c r="Z13" i="2"/>
  <c r="S13" i="2"/>
  <c r="T13" i="2" s="1"/>
  <c r="S18" i="2"/>
  <c r="O19" i="23" s="1"/>
  <c r="O22" i="23"/>
  <c r="R23" i="23"/>
  <c r="S17" i="2"/>
  <c r="T17" i="2" s="1"/>
  <c r="P18" i="23" s="1"/>
  <c r="S15" i="2"/>
  <c r="T15" i="2" s="1"/>
  <c r="U15" i="2" s="1"/>
  <c r="W19" i="23"/>
  <c r="N19" i="23"/>
  <c r="Q19" i="23" s="1"/>
  <c r="Q18" i="2"/>
  <c r="X18" i="2" s="1"/>
  <c r="N17" i="23"/>
  <c r="Q17" i="23" s="1"/>
  <c r="N16" i="23"/>
  <c r="Q16" i="23" s="1"/>
  <c r="Q15" i="2"/>
  <c r="N15" i="23"/>
  <c r="Q15" i="23" s="1"/>
  <c r="Q14" i="2"/>
  <c r="N14" i="23"/>
  <c r="Q14" i="23" s="1"/>
  <c r="Q13" i="2"/>
  <c r="N21" i="23"/>
  <c r="Q21" i="23" s="1"/>
  <c r="Q20" i="2"/>
  <c r="X20" i="2" s="1"/>
  <c r="N20" i="23"/>
  <c r="Q20" i="23" s="1"/>
  <c r="Q19" i="2"/>
  <c r="K17" i="23"/>
  <c r="V18" i="23"/>
  <c r="K21" i="23"/>
  <c r="V22" i="23"/>
  <c r="S19" i="2"/>
  <c r="T19" i="2" s="1"/>
  <c r="S20" i="2"/>
  <c r="T20" i="2" s="1"/>
  <c r="U20" i="2" s="1"/>
  <c r="K14" i="23"/>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L22" i="23"/>
  <c r="P17" i="2"/>
  <c r="L52" i="32"/>
  <c r="L47" i="32"/>
  <c r="L55" i="32"/>
  <c r="L54" i="32"/>
  <c r="L53" i="32"/>
  <c r="L51" i="32"/>
  <c r="L50" i="32"/>
  <c r="L49" i="32"/>
  <c r="L48" i="32"/>
  <c r="L13" i="23"/>
  <c r="V15" i="23"/>
  <c r="V14" i="23"/>
  <c r="V13" i="23"/>
  <c r="X7" i="23"/>
  <c r="AB21" i="2"/>
  <c r="H14" i="11"/>
  <c r="V20" i="2" s="1"/>
  <c r="H13" i="11"/>
  <c r="V19" i="2" s="1"/>
  <c r="H12" i="11"/>
  <c r="V18" i="2" s="1"/>
  <c r="H11" i="11"/>
  <c r="V17" i="2" s="1"/>
  <c r="H9" i="11"/>
  <c r="V15" i="2" s="1"/>
  <c r="H8" i="11"/>
  <c r="V14" i="2" s="1"/>
  <c r="AA82" i="36" l="1"/>
  <c r="E83" i="36"/>
  <c r="P65" i="2"/>
  <c r="N11" i="36" s="1"/>
  <c r="K7" i="23"/>
  <c r="O7" i="23"/>
  <c r="AA14" i="2"/>
  <c r="AA17" i="2"/>
  <c r="AA15" i="2"/>
  <c r="AA20" i="2"/>
  <c r="AA18" i="2"/>
  <c r="AA19" i="2"/>
  <c r="Y21" i="2"/>
  <c r="G7" i="23"/>
  <c r="H7" i="23"/>
  <c r="O18" i="23"/>
  <c r="P16" i="23"/>
  <c r="P22" i="23"/>
  <c r="O14" i="23"/>
  <c r="T18" i="2"/>
  <c r="U18" i="2" s="1"/>
  <c r="O16" i="23"/>
  <c r="I14" i="11"/>
  <c r="I13" i="11"/>
  <c r="AB18" i="2"/>
  <c r="I11" i="11"/>
  <c r="AB17" i="2"/>
  <c r="I9" i="11"/>
  <c r="I8" i="11"/>
  <c r="O21" i="23"/>
  <c r="P21" i="23"/>
  <c r="O20" i="23"/>
  <c r="O17" i="23"/>
  <c r="T14" i="2"/>
  <c r="U14" i="2" s="1"/>
  <c r="AB14" i="2"/>
  <c r="AB20" i="2"/>
  <c r="AB15" i="2"/>
  <c r="I12" i="11"/>
  <c r="AB19" i="2"/>
  <c r="Q7" i="23"/>
  <c r="L7" i="23"/>
  <c r="P7" i="23"/>
  <c r="J7" i="23"/>
  <c r="N7" i="23"/>
  <c r="N22" i="23"/>
  <c r="Q22" i="23" s="1"/>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N13" i="23"/>
  <c r="Q12" i="2"/>
  <c r="T18" i="23"/>
  <c r="B18" i="23" s="1"/>
  <c r="T22" i="23"/>
  <c r="B22" i="23" s="1"/>
  <c r="T15" i="23"/>
  <c r="B15" i="23" s="1"/>
  <c r="P14" i="23"/>
  <c r="U13" i="2"/>
  <c r="H10" i="11"/>
  <c r="V16" i="2" s="1"/>
  <c r="H7" i="11"/>
  <c r="V13" i="2" s="1"/>
  <c r="H6" i="11"/>
  <c r="AA83" i="36" l="1"/>
  <c r="E84" i="36"/>
  <c r="Q65" i="2"/>
  <c r="N12" i="36" s="1"/>
  <c r="X19" i="2"/>
  <c r="AA16" i="2"/>
  <c r="AB13" i="2"/>
  <c r="Y15" i="2"/>
  <c r="Y17" i="2"/>
  <c r="Y18" i="2"/>
  <c r="Y20" i="2"/>
  <c r="Y19" i="2"/>
  <c r="Y14" i="2"/>
  <c r="I7" i="23"/>
  <c r="AA12" i="2"/>
  <c r="I6" i="11"/>
  <c r="V12" i="2"/>
  <c r="AB12" i="2" s="1"/>
  <c r="I10" i="11"/>
  <c r="AB16" i="2"/>
  <c r="I7" i="11"/>
  <c r="AA13" i="2"/>
  <c r="P19" i="23"/>
  <c r="S7" i="23"/>
  <c r="X15" i="2"/>
  <c r="G15" i="2" s="1"/>
  <c r="F16" i="23" s="1"/>
  <c r="T7" i="23"/>
  <c r="O23" i="23"/>
  <c r="P15" i="23"/>
  <c r="N23" i="23"/>
  <c r="Q13" i="23"/>
  <c r="Q23" i="23" s="1"/>
  <c r="AA7" i="23" s="1"/>
  <c r="R65" i="2" l="1"/>
  <c r="S65" i="2" s="1"/>
  <c r="T65" i="2" s="1"/>
  <c r="U65" i="2" s="1"/>
  <c r="X12" i="2"/>
  <c r="AA84" i="36"/>
  <c r="E85" i="36"/>
  <c r="E67" i="36"/>
  <c r="N23" i="36"/>
  <c r="Y16" i="2"/>
  <c r="Y13" i="2"/>
  <c r="U7" i="23"/>
  <c r="G24" i="2"/>
  <c r="G25" i="2"/>
  <c r="G18" i="2"/>
  <c r="F19" i="23" s="1"/>
  <c r="X17" i="2"/>
  <c r="G17" i="2" s="1"/>
  <c r="F18" i="23" s="1"/>
  <c r="X13" i="2"/>
  <c r="G13" i="2" s="1"/>
  <c r="F14" i="23" s="1"/>
  <c r="G20" i="2"/>
  <c r="F21" i="23" s="1"/>
  <c r="X16" i="2"/>
  <c r="G16" i="2" s="1"/>
  <c r="F17" i="23" s="1"/>
  <c r="X14" i="2"/>
  <c r="G14" i="2" s="1"/>
  <c r="F15" i="23" s="1"/>
  <c r="G19" i="2"/>
  <c r="F20" i="23" s="1"/>
  <c r="Y12" i="2"/>
  <c r="F75" i="11"/>
  <c r="F77" i="11" s="1"/>
  <c r="P23" i="23"/>
  <c r="V7" i="23" l="1"/>
  <c r="AA85" i="36"/>
  <c r="E86" i="36"/>
  <c r="AB71" i="36"/>
  <c r="M70" i="36"/>
  <c r="M64" i="36"/>
  <c r="M62" i="36"/>
  <c r="F22" i="23"/>
  <c r="G21" i="2"/>
  <c r="G12" i="2"/>
  <c r="F13" i="23" s="1"/>
  <c r="M7" i="23" s="1"/>
  <c r="E87" i="36" l="1"/>
  <c r="AA86" i="36"/>
  <c r="J70" i="36"/>
  <c r="X70" i="36"/>
  <c r="F70" i="36"/>
  <c r="F71" i="36" s="1"/>
  <c r="F72" i="36" s="1"/>
  <c r="F73" i="36" s="1"/>
  <c r="F74" i="36" s="1"/>
  <c r="F75" i="36" s="1"/>
  <c r="F76" i="36" s="1"/>
  <c r="F77" i="36" s="1"/>
  <c r="F78" i="36" s="1"/>
  <c r="F79" i="36" s="1"/>
  <c r="F80" i="36" s="1"/>
  <c r="F81" i="36" s="1"/>
  <c r="F82" i="36" s="1"/>
  <c r="F83" i="36" s="1"/>
  <c r="F84" i="36" s="1"/>
  <c r="F85" i="36" s="1"/>
  <c r="F86" i="36" s="1"/>
  <c r="F87" i="36" s="1"/>
  <c r="F88" i="36" s="1"/>
  <c r="F89" i="36" s="1"/>
  <c r="F90" i="36" s="1"/>
  <c r="F91" i="36" s="1"/>
  <c r="F92" i="36" s="1"/>
  <c r="F93" i="36" s="1"/>
  <c r="AO34" i="36"/>
  <c r="AO35" i="36"/>
  <c r="W7" i="23"/>
  <c r="Y7" i="23"/>
  <c r="AA87" i="36" l="1"/>
  <c r="E88" i="36"/>
  <c r="AO14" i="36"/>
  <c r="J72" i="36"/>
  <c r="J77" i="36"/>
  <c r="J92" i="36"/>
  <c r="J90" i="36"/>
  <c r="J71" i="36"/>
  <c r="J78" i="36"/>
  <c r="J86" i="36"/>
  <c r="J74" i="36"/>
  <c r="J88" i="36"/>
  <c r="J83" i="36"/>
  <c r="J73" i="36"/>
  <c r="J85" i="36"/>
  <c r="J76" i="36"/>
  <c r="J75" i="36"/>
  <c r="J87" i="36"/>
  <c r="J89" i="36"/>
  <c r="J84" i="36"/>
  <c r="J91" i="36"/>
  <c r="J79" i="36"/>
  <c r="J93" i="36"/>
  <c r="J82" i="36"/>
  <c r="J80" i="36"/>
  <c r="J81" i="36"/>
  <c r="G75" i="11"/>
  <c r="G77" i="11" s="1"/>
  <c r="H77" i="11" s="1"/>
  <c r="Z7" i="23"/>
  <c r="AA88" i="36" l="1"/>
  <c r="E89" i="36"/>
  <c r="G50" i="36"/>
  <c r="AO18" i="36" s="1"/>
  <c r="AQ14" i="36"/>
  <c r="G48" i="36"/>
  <c r="E88" i="32"/>
  <c r="E89" i="32"/>
  <c r="E90" i="32"/>
  <c r="E90" i="36" l="1"/>
  <c r="AA89" i="36"/>
  <c r="G49" i="36"/>
  <c r="N70" i="36" s="1"/>
  <c r="AC70" i="36" s="1"/>
  <c r="AS14" i="36"/>
  <c r="AS17" i="36" s="1"/>
  <c r="Y58" i="2"/>
  <c r="Y62" i="2" s="1"/>
  <c r="AB58" i="2"/>
  <c r="AB62" i="2" s="1"/>
  <c r="E91" i="32"/>
  <c r="C61" i="32" s="1"/>
  <c r="O70" i="36" l="1"/>
  <c r="AD70" i="36" s="1"/>
  <c r="AA90" i="36"/>
  <c r="E91" i="36"/>
  <c r="V70" i="36"/>
  <c r="AS16" i="36"/>
  <c r="AS18" i="36" s="1"/>
  <c r="AS19" i="36"/>
  <c r="V65" i="2"/>
  <c r="AB7" i="23" s="1"/>
  <c r="P70" i="36" l="1"/>
  <c r="R70" i="36" s="1"/>
  <c r="T70" i="36" s="1"/>
  <c r="L71" i="36" s="1"/>
  <c r="AA91" i="36"/>
  <c r="E92" i="36"/>
  <c r="AS20" i="36"/>
  <c r="W71" i="36" l="1"/>
  <c r="Z70" i="36"/>
  <c r="S70" i="36"/>
  <c r="U70" i="36"/>
  <c r="Y70" i="36" s="1"/>
  <c r="AA92" i="36"/>
  <c r="E93" i="36"/>
  <c r="AA93" i="36" s="1"/>
  <c r="X71" i="36" l="1"/>
  <c r="AB72" i="36"/>
  <c r="AQ15" i="36" l="1"/>
  <c r="AQ17" i="36" s="1"/>
  <c r="AQ16" i="36" l="1"/>
  <c r="AQ18" i="36" s="1"/>
  <c r="AQ19" i="36"/>
  <c r="AQ20" i="36" l="1"/>
  <c r="N71" i="36" s="1"/>
  <c r="M71" i="36" l="1"/>
  <c r="O71" i="36" s="1"/>
  <c r="AC71" i="36"/>
  <c r="V71" i="36"/>
  <c r="AD71" i="36" l="1"/>
  <c r="P71" i="36"/>
  <c r="R71" i="36" s="1"/>
  <c r="U71" i="36" s="1"/>
  <c r="S71" i="36" l="1"/>
  <c r="T71" i="36"/>
  <c r="L72" i="36" s="1"/>
  <c r="Y71" i="36"/>
  <c r="Z71" i="36" l="1"/>
  <c r="W72" i="36"/>
  <c r="X72" i="36" s="1"/>
  <c r="N72" i="36"/>
  <c r="M72" i="36" s="1"/>
  <c r="AB73" i="36"/>
  <c r="O72" i="36" l="1"/>
  <c r="P72" i="36" s="1"/>
  <c r="S72" i="36" s="1"/>
  <c r="AC72" i="36"/>
  <c r="V72" i="36"/>
  <c r="AD72" i="36" l="1"/>
  <c r="R72" i="36"/>
  <c r="T72" i="36" s="1"/>
  <c r="L73" i="36" l="1"/>
  <c r="U72" i="36"/>
  <c r="Y72" i="36" s="1"/>
  <c r="W73" i="36"/>
  <c r="X73" i="36" s="1"/>
  <c r="Z72" i="36"/>
  <c r="AB74" i="36" l="1"/>
  <c r="N73" i="36"/>
  <c r="M73" i="36" s="1"/>
  <c r="AC73" i="36" l="1"/>
  <c r="V73" i="36"/>
  <c r="O73" i="36"/>
  <c r="AD73" i="36" l="1"/>
  <c r="P73" i="36"/>
  <c r="R73" i="36" s="1"/>
  <c r="S73" i="36" l="1"/>
  <c r="T73" i="36"/>
  <c r="U73" i="36"/>
  <c r="Y73" i="36" l="1"/>
  <c r="W74" i="36"/>
  <c r="X74" i="36" s="1"/>
  <c r="L74" i="36"/>
  <c r="Z73" i="36"/>
  <c r="AB75" i="36" l="1"/>
  <c r="N74" i="36"/>
  <c r="M74" i="36" s="1"/>
  <c r="AC74" i="36" l="1"/>
  <c r="V74" i="36"/>
  <c r="O74" i="36"/>
  <c r="P74" i="36" l="1"/>
  <c r="S74" i="36" s="1"/>
  <c r="AD74" i="36"/>
  <c r="R74" i="36" l="1"/>
  <c r="T74" i="36" l="1"/>
  <c r="U74" i="36"/>
  <c r="Y74" i="36" l="1"/>
  <c r="Z74" i="36"/>
  <c r="L75" i="36"/>
  <c r="W75" i="36"/>
  <c r="X75" i="36" s="1"/>
  <c r="AB76" i="36" l="1"/>
  <c r="N75" i="36"/>
  <c r="M75" i="36" s="1"/>
  <c r="AC75" i="36" l="1"/>
  <c r="V75" i="36"/>
  <c r="O75" i="36"/>
  <c r="P75" i="36" l="1"/>
  <c r="R75" i="36" s="1"/>
  <c r="U75" i="36" s="1"/>
  <c r="AD75" i="36"/>
  <c r="S75" i="36" l="1"/>
  <c r="T75" i="36"/>
  <c r="W76" i="36" l="1"/>
  <c r="X76" i="36" s="1"/>
  <c r="Y75" i="36"/>
  <c r="L76" i="36"/>
  <c r="Z75" i="36"/>
  <c r="N76" i="36" l="1"/>
  <c r="M76" i="36" s="1"/>
  <c r="AB77" i="36"/>
  <c r="AC76" i="36" l="1"/>
  <c r="V76" i="36"/>
  <c r="O76" i="36"/>
  <c r="AD76" i="36" l="1"/>
  <c r="P76" i="36"/>
  <c r="S76" i="36" s="1"/>
  <c r="R76" i="36" l="1"/>
  <c r="T76" i="36" l="1"/>
  <c r="U76" i="36"/>
  <c r="Y76" i="36" l="1"/>
  <c r="Z76" i="36"/>
  <c r="L77" i="36"/>
  <c r="W77" i="36"/>
  <c r="X77" i="36" s="1"/>
  <c r="AB78" i="36" l="1"/>
  <c r="N77" i="36"/>
  <c r="AC77" i="36" l="1"/>
  <c r="M77" i="36"/>
  <c r="V77" i="36"/>
  <c r="O77" i="36"/>
  <c r="AD77" i="36" l="1"/>
  <c r="P77" i="36"/>
  <c r="R77" i="36" s="1"/>
  <c r="S77" i="36" l="1"/>
  <c r="T77" i="36"/>
  <c r="U77" i="36"/>
  <c r="Y77" i="36" l="1"/>
  <c r="Z77" i="36"/>
  <c r="W78" i="36"/>
  <c r="X78" i="36" s="1"/>
  <c r="L78" i="36"/>
  <c r="AB79" i="36" l="1"/>
  <c r="N78" i="36"/>
  <c r="AC78" i="36" l="1"/>
  <c r="M78" i="36"/>
  <c r="V78" i="36"/>
  <c r="O78" i="36"/>
  <c r="P78" i="36" l="1"/>
  <c r="R78" i="36" s="1"/>
  <c r="AD78" i="36"/>
  <c r="S78" i="36" l="1"/>
  <c r="T78" i="36"/>
  <c r="U78" i="36"/>
  <c r="Y78" i="36" l="1"/>
  <c r="Z78" i="36"/>
  <c r="W79" i="36"/>
  <c r="X79" i="36" s="1"/>
  <c r="L79" i="36"/>
  <c r="AB80" i="36" l="1"/>
  <c r="N79" i="36"/>
  <c r="AC79" i="36" l="1"/>
  <c r="M79" i="36"/>
  <c r="V79" i="36"/>
  <c r="O79" i="36"/>
  <c r="P79" i="36" l="1"/>
  <c r="R79" i="36" s="1"/>
  <c r="AD79" i="36"/>
  <c r="S79" i="36" l="1"/>
  <c r="T79" i="36"/>
  <c r="U79" i="36"/>
  <c r="Y79" i="36" l="1"/>
  <c r="W80" i="36"/>
  <c r="X80" i="36" s="1"/>
  <c r="L80" i="36"/>
  <c r="Z79" i="36"/>
  <c r="AB81" i="36" l="1"/>
  <c r="N80" i="36"/>
  <c r="AC80" i="36" l="1"/>
  <c r="M80" i="36"/>
  <c r="V80" i="36"/>
  <c r="O80" i="36"/>
  <c r="P80" i="36" l="1"/>
  <c r="R80" i="36" s="1"/>
  <c r="AD80" i="36"/>
  <c r="S80" i="36" l="1"/>
  <c r="T80" i="36"/>
  <c r="U80" i="36"/>
  <c r="Y80" i="36" s="1"/>
  <c r="L81" i="36" l="1"/>
  <c r="W81" i="36"/>
  <c r="X81" i="36" s="1"/>
  <c r="Z80" i="36"/>
  <c r="AB82" i="36" l="1"/>
  <c r="N81" i="36"/>
  <c r="AC81" i="36" l="1"/>
  <c r="M81" i="36"/>
  <c r="V81" i="36"/>
  <c r="O81" i="36"/>
  <c r="AD81" i="36" l="1"/>
  <c r="P81" i="36"/>
  <c r="S81" i="36" s="1"/>
  <c r="R81" i="36" l="1"/>
  <c r="U81" i="36" l="1"/>
  <c r="T81" i="36"/>
  <c r="Z81" i="36" l="1"/>
  <c r="W82" i="36"/>
  <c r="X82" i="36" s="1"/>
  <c r="L82" i="36"/>
  <c r="Y81" i="36"/>
  <c r="AB83" i="36" l="1"/>
  <c r="N82" i="36"/>
  <c r="AC82" i="36" l="1"/>
  <c r="M82" i="36"/>
  <c r="V82" i="36"/>
  <c r="O82" i="36"/>
  <c r="AC83" i="36"/>
  <c r="AD82" i="36" l="1"/>
  <c r="P82" i="36"/>
  <c r="S82" i="36" s="1"/>
  <c r="R82" i="36" l="1"/>
  <c r="T82" i="36" l="1"/>
  <c r="U82" i="36"/>
  <c r="Y82" i="36" l="1"/>
  <c r="W83" i="36"/>
  <c r="X83" i="36" s="1"/>
  <c r="Z82" i="36"/>
  <c r="L83" i="36"/>
  <c r="N83" i="36" l="1"/>
  <c r="M83" i="36" s="1"/>
  <c r="AB84" i="36"/>
  <c r="O83" i="36" l="1"/>
  <c r="AC84" i="36"/>
  <c r="V83" i="36"/>
  <c r="P83" i="36" l="1"/>
  <c r="S83" i="36" s="1"/>
  <c r="AD83" i="36"/>
  <c r="R83" i="36" l="1"/>
  <c r="T83" i="36" l="1"/>
  <c r="U83" i="36"/>
  <c r="Y83" i="36" l="1"/>
  <c r="W84" i="36"/>
  <c r="X84" i="36" s="1"/>
  <c r="Z83" i="36"/>
  <c r="L84" i="36"/>
  <c r="N84" i="36" l="1"/>
  <c r="M84" i="36" s="1"/>
  <c r="AB85" i="36"/>
  <c r="O84" i="36" l="1"/>
  <c r="AC85" i="36"/>
  <c r="V84" i="36"/>
  <c r="P84" i="36" l="1"/>
  <c r="AD84" i="36"/>
  <c r="R84" i="36" l="1"/>
  <c r="S84" i="36"/>
  <c r="T84" i="36" l="1"/>
  <c r="U84" i="36"/>
  <c r="Y84" i="36" l="1"/>
  <c r="W85" i="36"/>
  <c r="X85" i="36" s="1"/>
  <c r="Z84" i="36"/>
  <c r="L85" i="36"/>
  <c r="N85" i="36" l="1"/>
  <c r="M85" i="36" s="1"/>
  <c r="AB86" i="36"/>
  <c r="AC86" i="36" l="1"/>
  <c r="O85" i="36"/>
  <c r="V85" i="36"/>
  <c r="P85" i="36" l="1"/>
  <c r="S85" i="36" s="1"/>
  <c r="AD85" i="36"/>
  <c r="R85" i="36" l="1"/>
  <c r="T85" i="36" l="1"/>
  <c r="U85" i="36"/>
  <c r="Y85" i="36" l="1"/>
  <c r="W86" i="36"/>
  <c r="X86" i="36" s="1"/>
  <c r="Z85" i="36"/>
  <c r="L86" i="36"/>
  <c r="AB87" i="36" l="1"/>
  <c r="N86" i="36"/>
  <c r="M86" i="36" s="1"/>
  <c r="V86" i="36" l="1"/>
  <c r="AC87" i="36"/>
  <c r="O86" i="36"/>
  <c r="P86" i="36" l="1"/>
  <c r="S86" i="36" s="1"/>
  <c r="AD86" i="36"/>
  <c r="R86" i="36" l="1"/>
  <c r="T86" i="36" l="1"/>
  <c r="U86" i="36"/>
  <c r="Y86" i="36" l="1"/>
  <c r="W87" i="36"/>
  <c r="X87" i="36" s="1"/>
  <c r="L87" i="36"/>
  <c r="Z86" i="36"/>
  <c r="N87" i="36" l="1"/>
  <c r="M87" i="36" s="1"/>
  <c r="AB88" i="36"/>
  <c r="AC88" i="36" l="1"/>
  <c r="O87" i="36"/>
  <c r="V87" i="36"/>
  <c r="P87" i="36" l="1"/>
  <c r="S87" i="36" s="1"/>
  <c r="AD87" i="36"/>
  <c r="R87" i="36" l="1"/>
  <c r="T87" i="36" l="1"/>
  <c r="U87" i="36"/>
  <c r="Y87" i="36" l="1"/>
  <c r="Z87" i="36"/>
  <c r="L88" i="36"/>
  <c r="W88" i="36"/>
  <c r="X88" i="36" s="1"/>
  <c r="AB89" i="36" l="1"/>
  <c r="N88" i="36"/>
  <c r="M88" i="36" s="1"/>
  <c r="V88" i="36" l="1"/>
  <c r="AC89" i="36"/>
  <c r="O88" i="36"/>
  <c r="AD88" i="36" l="1"/>
  <c r="P88" i="36"/>
  <c r="R88" i="36" s="1"/>
  <c r="T88" i="36" l="1"/>
  <c r="U88" i="36"/>
  <c r="S88" i="36"/>
  <c r="Y88" i="36" l="1"/>
  <c r="Z88" i="36"/>
  <c r="L89" i="36"/>
  <c r="W89" i="36"/>
  <c r="X89" i="36" s="1"/>
  <c r="AB90" i="36" l="1"/>
  <c r="N89" i="36"/>
  <c r="M89" i="36" s="1"/>
  <c r="V89" i="36" l="1"/>
  <c r="AC90" i="36"/>
  <c r="O89" i="36"/>
  <c r="AD89" i="36" l="1"/>
  <c r="P89" i="36"/>
  <c r="R89" i="36" s="1"/>
  <c r="S89" i="36" l="1"/>
  <c r="T89" i="36"/>
  <c r="U89" i="36"/>
  <c r="Y89" i="36" l="1"/>
  <c r="L90" i="36"/>
  <c r="W90" i="36"/>
  <c r="X90" i="36" s="1"/>
  <c r="Z89" i="36"/>
  <c r="N90" i="36" l="1"/>
  <c r="M90" i="36" s="1"/>
  <c r="AB91" i="36"/>
  <c r="AC91" i="36" l="1"/>
  <c r="O90" i="36"/>
  <c r="V90" i="36"/>
  <c r="AD90" i="36" l="1"/>
  <c r="P90" i="36"/>
  <c r="S90" i="36" s="1"/>
  <c r="R90" i="36" l="1"/>
  <c r="T90" i="36" l="1"/>
  <c r="U90" i="36"/>
  <c r="Y90" i="36" l="1"/>
  <c r="W91" i="36"/>
  <c r="X91" i="36" s="1"/>
  <c r="Z90" i="36"/>
  <c r="L91" i="36"/>
  <c r="AB92" i="36" l="1"/>
  <c r="N91" i="36"/>
  <c r="M91" i="36" s="1"/>
  <c r="V91" i="36" l="1"/>
  <c r="O91" i="36"/>
  <c r="AC92" i="36"/>
  <c r="AD91" i="36" l="1"/>
  <c r="P91" i="36"/>
  <c r="R91" i="36" s="1"/>
  <c r="T91" i="36" l="1"/>
  <c r="U91" i="36"/>
  <c r="S91" i="36"/>
  <c r="Y91" i="36" l="1"/>
  <c r="L92" i="36"/>
  <c r="Z91" i="36"/>
  <c r="W92" i="36"/>
  <c r="X92" i="36" s="1"/>
  <c r="N92" i="36" l="1"/>
  <c r="M92" i="36" s="1"/>
  <c r="AB93" i="36"/>
  <c r="AC93" i="36" l="1"/>
  <c r="G51" i="36" s="1"/>
  <c r="O92" i="36"/>
  <c r="V92" i="36"/>
  <c r="P92" i="36" l="1"/>
  <c r="AD92" i="36"/>
  <c r="AO37" i="36"/>
  <c r="AO20" i="36"/>
  <c r="AO19" i="36" s="1"/>
  <c r="R92" i="36" l="1"/>
  <c r="S92" i="36"/>
  <c r="T92" i="36" l="1"/>
  <c r="U92" i="36"/>
  <c r="Y92" i="36" l="1"/>
  <c r="W93" i="36"/>
  <c r="M93" i="36" s="1"/>
  <c r="Z92" i="36"/>
  <c r="L93" i="36"/>
  <c r="N93" i="36" l="1"/>
  <c r="O93" i="36"/>
  <c r="X93" i="36"/>
  <c r="AO11" i="36" s="1"/>
  <c r="AD93" i="36" l="1"/>
  <c r="P93" i="36"/>
  <c r="R93" i="36" s="1"/>
  <c r="V93" i="36"/>
  <c r="G58" i="36" l="1"/>
  <c r="M60" i="36"/>
  <c r="M61" i="36" s="1"/>
  <c r="S93" i="36"/>
  <c r="T93" i="36"/>
  <c r="Z93" i="36" s="1"/>
  <c r="U93" i="36"/>
  <c r="Y93" i="36" s="1"/>
  <c r="D55" i="36"/>
  <c r="AO21" i="36" l="1"/>
</calcChain>
</file>

<file path=xl/sharedStrings.xml><?xml version="1.0" encoding="utf-8"?>
<sst xmlns="http://schemas.openxmlformats.org/spreadsheetml/2006/main" count="1041" uniqueCount="690">
  <si>
    <t>&lt;CrystalAddin Version="1" country="GB" lang="en"/&gt;</t>
  </si>
  <si>
    <t>Salix Finance: Terms and Conditions for Salix Compliance Tools</t>
  </si>
  <si>
    <t>Terms and conditions of use</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</si>
  <si>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</si>
  <si>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</si>
  <si>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</si>
  <si>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10 South Colonnade, Canary Wharf, London, E14 4PU.
</t>
  </si>
  <si>
    <t>Salix Finance - Compliance Tool</t>
  </si>
  <si>
    <t>Guidance Notes</t>
  </si>
  <si>
    <t>This new SEELS Wales Tool is to come into effect from July 2024.
The following section is designed to give some clear guidance on how to fill out the 'Project Compliance Tool' tab so that you can assess the compliancy of the project. Please also complete the Business Case section in the separate tab. The Loan Amortisation tab is a new feature for SEELS Wales, and can be used to assess indicative loan repayments with interest. There is separate guidance for the Business Case, which can be requested from:</t>
  </si>
  <si>
    <t>technical@salixfinance.co.uk</t>
  </si>
  <si>
    <t>Application Notes for specific guidance can be found on our website</t>
  </si>
  <si>
    <t>For guidance on calculating forecast energy please see below.</t>
  </si>
  <si>
    <t>Enter project details as shown in the example below:</t>
  </si>
  <si>
    <t>Enter information for each work type required for the project. Up to 10 work types may be entered here, although an extended version of the form can be requested.</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</si>
  <si>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</si>
  <si>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</si>
  <si>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</si>
  <si>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</si>
  <si>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</si>
  <si>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</si>
  <si>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</si>
  <si>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</si>
  <si>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</si>
  <si>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</si>
  <si>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</si>
  <si>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</si>
  <si>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Recycling Fund England</t>
  </si>
  <si>
    <t>Wales Compliance Tool V38.0</t>
  </si>
  <si>
    <t>Payback</t>
  </si>
  <si>
    <r>
      <t>£/tCO</t>
    </r>
    <r>
      <rPr>
        <b/>
        <vertAlign val="subscript"/>
        <sz val="10"/>
        <color theme="1"/>
        <rFont val="Verdana"/>
        <family val="2"/>
      </rPr>
      <t>2</t>
    </r>
    <r>
      <rPr>
        <b/>
        <sz val="10"/>
        <color theme="1"/>
        <rFont val="Verdana"/>
        <family val="2"/>
      </rPr>
      <t>e LT</t>
    </r>
  </si>
  <si>
    <t>District Heating Projects Only: Bespoke Carbon Factor kg/kWh</t>
  </si>
  <si>
    <t>Start Date</t>
  </si>
  <si>
    <t>Completion Date</t>
  </si>
  <si>
    <t>Site Name</t>
  </si>
  <si>
    <t>Remaining Site Life (yrs)</t>
  </si>
  <si>
    <t>Project Description</t>
  </si>
  <si>
    <t>Data Entry Check</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</si>
  <si>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</si>
  <si>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</si>
  <si>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</si>
  <si>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</si>
  <si>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</si>
  <si>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</si>
  <si>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</si>
  <si>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</si>
  <si>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</si>
  <si>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</si>
  <si>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</si>
  <si>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</si>
  <si>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</si>
  <si>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</si>
  <si>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</si>
  <si>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kgCO2/kWh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</si>
  <si>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</si>
  <si>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</si>
  <si>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</si>
  <si>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</si>
  <si>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Data Entry</t>
  </si>
  <si>
    <t>OK</t>
  </si>
  <si>
    <t>PF Round plus cell value 100</t>
  </si>
  <si>
    <t>Electiricty Carbon Factor</t>
  </si>
  <si>
    <t>£/tCO2</t>
  </si>
  <si>
    <t>Solar PV</t>
  </si>
  <si>
    <t>Heating - zone control valves</t>
  </si>
  <si>
    <t>Wind turbine</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</si>
  <si>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</si>
  <si>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</si>
  <si>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</si>
  <si>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</si>
  <si>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</si>
  <si>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</si>
  <si>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</si>
  <si>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</si>
  <si>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</si>
  <si>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</si>
  <si>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</si>
  <si>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</si>
  <si>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</si>
  <si>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</si>
  <si>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</si>
  <si>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</si>
  <si>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</si>
  <si>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</si>
  <si>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</si>
  <si>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</si>
  <si>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</si>
  <si>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</si>
  <si>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</si>
  <si>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</si>
  <si>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</si>
  <si>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</si>
  <si>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</si>
  <si>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</si>
  <si>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</si>
  <si>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</si>
  <si>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</si>
  <si>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</si>
  <si>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</si>
  <si>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</si>
  <si>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Plant room</t>
  </si>
  <si>
    <t xml:space="preserve">Outdoor Sport Facilities </t>
  </si>
  <si>
    <t>Police Station</t>
  </si>
  <si>
    <t xml:space="preserve">Lecture Room </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</si>
  <si>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</si>
  <si>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</si>
  <si>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</si>
  <si>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</si>
  <si>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</si>
  <si>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</si>
  <si>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</si>
  <si>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</si>
  <si>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</si>
  <si>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</si>
  <si>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</si>
  <si>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</si>
  <si>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</si>
  <si>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</si>
  <si>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</si>
  <si>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</si>
  <si>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</si>
  <si>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</si>
  <si>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</si>
  <si>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</si>
  <si>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Application Steps</t>
  </si>
  <si>
    <t>This is Step 1 of the 3 step application process. Please complete the above Project Compliance Tool for all projects you are seeking Salix funding for.</t>
  </si>
  <si>
    <t>If you have more than 10 projects you wish to apply for, please contact: technical@salixfinance.co.uk
Once you have completed Step 1, Step 2 involves supporting your application with the following information:
i. A completed Salix business case (in the next tab);
ii. Supporting information in the form of savings calculations, evidence of project/fuel costs, technical specifications etc.
Step 3 of the application process is to complete the Loan Amortisation tab.</t>
  </si>
  <si>
    <t>Carbon Factor for Electricity from "UK Government GHG Conversion Factors for Company Reporting" (2023)</t>
  </si>
  <si>
    <t>CO2e methodology</t>
  </si>
  <si>
    <t>Electricity</t>
  </si>
  <si>
    <t>Gas</t>
  </si>
  <si>
    <t>Gas Oil</t>
  </si>
  <si>
    <t>Fuel Oil</t>
  </si>
  <si>
    <t>Burning Oil</t>
  </si>
  <si>
    <t>Coal</t>
  </si>
  <si>
    <t>LPG</t>
  </si>
  <si>
    <t>Bespoke</t>
  </si>
  <si>
    <t>Wood pellets</t>
  </si>
  <si>
    <t>Wood chips</t>
  </si>
  <si>
    <t>Salix Business Case Template</t>
  </si>
  <si>
    <t>Programme details</t>
  </si>
  <si>
    <t>Project Title:</t>
  </si>
  <si>
    <t>Organisation name:</t>
  </si>
  <si>
    <t>Submission date:</t>
  </si>
  <si>
    <t>Estimated Completion Date:</t>
  </si>
  <si>
    <t>Main Contact for Project</t>
  </si>
  <si>
    <t>Project Cost Breakdown</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</si>
  <si>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</si>
  <si>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</si>
  <si>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</si>
  <si>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</si>
  <si>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</si>
  <si>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</si>
  <si>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</si>
  <si>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</si>
  <si>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</si>
  <si>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</si>
  <si>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</si>
  <si>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</si>
  <si>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</si>
  <si>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</si>
  <si>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1. Cost Breakdown</t>
  </si>
  <si>
    <t>Project cost breakdown - Provide commentary on the project cost breakdown.</t>
  </si>
  <si>
    <t>•   How have project costs been estimated?
•   Do the project costs account for operation/maintenance costs?</t>
  </si>
  <si>
    <t>2. Project Details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</si>
  <si>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</si>
  <si>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</si>
  <si>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3. Details of Supporting Documentation</t>
  </si>
  <si>
    <t xml:space="preserve">•  Please list all supporting information document titles in the box below.
•  All applications should provide energy savings calculations, cost calculations/evidence, data sheets, and an energy and carbon monitoring plan
•  For applications valued over £500,000 please also provide an internal risk register and project programme.    </t>
  </si>
  <si>
    <t>4. Details of Project Energy Saving Calculations</t>
  </si>
  <si>
    <t xml:space="preserve">•  Describe how the project energy and carbon savings have been calculated, detailing any assumptions.
•  Calculations should be submitted alongside your application form.
•  Describe the methodology used to calculate the forecasted fuel costs. </t>
  </si>
  <si>
    <t>5. Energy and Carbon Monitoring Plan Post-completion</t>
  </si>
  <si>
    <t>Salix recommends that energy and carbon consumption be monitored prior to and following the completion of the project.
•    What are the arrangements for monitoring and managing the programme post-completion?
•    What plans are there for evaluation?</t>
  </si>
  <si>
    <t>6. Project Governance</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</si>
  <si>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</si>
  <si>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7. Previous Experience</t>
  </si>
  <si>
    <t>Describe any previous experience that you may have with the proposed energy efficiency measure.
•    Please also outline the experience members of the project team have with managing projects of a similar scale, including that of any third-party support.</t>
  </si>
  <si>
    <t>8. Project Risks &amp; Mitigation</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</si>
  <si>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Please attach a copy of your internal risk register.</t>
  </si>
  <si>
    <t>Description of Risk</t>
  </si>
  <si>
    <t>Level of Risk</t>
  </si>
  <si>
    <t xml:space="preserve">How will the risk be managed and/or mitigated? </t>
  </si>
  <si>
    <t>9. Timescales</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</si>
  <si>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</si>
  <si>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10. Key Project Milestones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</si>
  <si>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</si>
  <si>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</si>
  <si>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</si>
  <si>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</si>
  <si>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</si>
  <si>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</si>
  <si>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</si>
  <si>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</si>
  <si>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</si>
  <si>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</si>
  <si>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</si>
  <si>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</si>
  <si>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</si>
  <si>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</si>
  <si>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</si>
  <si>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</si>
  <si>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</si>
  <si>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</si>
  <si>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</si>
  <si>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</si>
  <si>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</si>
  <si>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</si>
  <si>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</si>
  <si>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</si>
  <si>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</si>
  <si>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</si>
  <si>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</si>
  <si>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</si>
  <si>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11. Well-Being of Future Generations (Wales) Act 2015</t>
  </si>
  <si>
    <t xml:space="preserve">•   Please describe how this project will maximise the organisation's contribution to one or more of the seven well-being goals in the Act and how this project is in accordance with the Sustainable Development Principles.
•   Further information on the Act and Legislation can be found at https://www.futuregenerations.wales/
</t>
  </si>
  <si>
    <t>Salix Business Case Template - Part 3</t>
  </si>
  <si>
    <t>The final step of the application process is to complete the Loan Amortisation tab (see next tab).</t>
  </si>
  <si>
    <t>For questions regarding how to complete this form or what information to include in your application, please do not hesitate to contact a member of the Energy and Carbon Technical Team: technical@salixfinance.co.uk</t>
  </si>
  <si>
    <t>Loan Amortisation</t>
  </si>
  <si>
    <t>This loan amortisation provides an indicative loan repayment schedule and detail of your loan amortisation. The schedule is based on the costs, annual financial savings, technical payback, and completion date entered in the Project Compliance Tool.
The schedule automatically calculates the minimum required repayment value each year to ensure all funds are returned by the end of the payback period. Repayments of the capital will start after the project has completed. As per the terms of Wales SEELS, the first interest repayment will be due the February following your capital drawdown. The value due will be calculated dependent on the drawdown date of your loan.
The drawdown date has been set at six weeks from the date of your application for the purposes of this indicative repayment schedule. This can be subject to change and will be reconfirmed by Salix on behalf of Welsh Government and yourselves later in the process following the assessment of your application.
You can choose to repay part of your capital balance early either before the project has completed or throughout the repayment period by entering a value into the early capital repayment column. The table will update all other values accordingly to show the impact on the repayment period and your interest.
Salix will review the loan amortisation table to ensure it meets the requirement of the loan repayment deadline, and consider any early repayments. If your application is successful, the loan amortisation schedule will be confirmed at the deliverability call stage and mutually agreed between yourselves, Salix and the Welsh Government prior to issuing the loan agreement.
Note that Salix reserves the right, on behalf of Welsh Government, to share details of your application including the loan amortisation schedule both indicative and confirmed with the Welsh Government and funding partners.</t>
  </si>
  <si>
    <t>Date</t>
  </si>
  <si>
    <t>Year</t>
  </si>
  <si>
    <t>1. Proposed Repayment Plan</t>
  </si>
  <si>
    <t>Submission Date</t>
  </si>
  <si>
    <t>Your project's estimated annual financial savings</t>
  </si>
  <si>
    <t>Final Year Capital Repayment:</t>
  </si>
  <si>
    <r>
      <t>Your project's technical payback</t>
    </r>
    <r>
      <rPr>
        <sz val="14"/>
        <color rgb="FF382573"/>
        <rFont val="Verdana"/>
        <family val="2"/>
      </rPr>
      <t xml:space="preserve"> </t>
    </r>
    <r>
      <rPr>
        <sz val="11"/>
        <color rgb="FF382573"/>
        <rFont val="Verdana"/>
        <family val="2"/>
      </rPr>
      <t>- this is the maximum loan repayment period you can select.</t>
    </r>
  </si>
  <si>
    <t>Drawdown Year</t>
  </si>
  <si>
    <t>Year 1 interest due:</t>
  </si>
  <si>
    <t>Y2 Interest due</t>
  </si>
  <si>
    <t>Y3 Interest due</t>
  </si>
  <si>
    <t xml:space="preserve">1a. How many years do you intend to payback your loan in?
</t>
  </si>
  <si>
    <t>Drawdown Date 1</t>
  </si>
  <si>
    <t>Drawdown 2</t>
  </si>
  <si>
    <t>Drawdown 3</t>
  </si>
  <si>
    <t>If you anticipate to payback the loan in one year, you may skip the amortisation table in Section 3.</t>
  </si>
  <si>
    <t>First Full Interest Payment FY:</t>
  </si>
  <si>
    <t>Months before drawdown</t>
  </si>
  <si>
    <t>Months after drawdown</t>
  </si>
  <si>
    <t>Minimum required repayment value (pa)</t>
  </si>
  <si>
    <t>First Year Interest Payment accrued from Drawdown Date</t>
  </si>
  <si>
    <t>Interest 1</t>
  </si>
  <si>
    <t xml:space="preserve">This value will be apportioned to capital and interest as shown in the amortisation table below. </t>
  </si>
  <si>
    <t>Interest Payments after first year:</t>
  </si>
  <si>
    <t>Interest 2</t>
  </si>
  <si>
    <t>Total Interest Payments</t>
  </si>
  <si>
    <t>Total Interest</t>
  </si>
  <si>
    <t>Capital Repayments minus Final Year:</t>
  </si>
  <si>
    <t>1b. Do you anticipate to make any early repayments of the loan?</t>
  </si>
  <si>
    <t>Project complete FY</t>
  </si>
  <si>
    <t>If yes, please enter these in the 'Early Capital Repayment' column for the respective years in the loan amortisation table in Section 3.</t>
  </si>
  <si>
    <t>Maximum payback length</t>
  </si>
  <si>
    <t>Capital year</t>
  </si>
  <si>
    <t>Capital year trim</t>
  </si>
  <si>
    <t>1c. Do you intend to draw down all funds in the first year?</t>
  </si>
  <si>
    <t>Drawdown month</t>
  </si>
  <si>
    <t>If not, please complete the following table</t>
  </si>
  <si>
    <t>Capital payment year</t>
  </si>
  <si>
    <t>Do you intend to drawdown in the following years?</t>
  </si>
  <si>
    <t>When do you intend to drawdown?</t>
  </si>
  <si>
    <t>Drawdown amount</t>
  </si>
  <si>
    <t>Capital payment month</t>
  </si>
  <si>
    <t>Year 1</t>
  </si>
  <si>
    <t>Yes</t>
  </si>
  <si>
    <t>for formula</t>
  </si>
  <si>
    <t>28/</t>
  </si>
  <si>
    <t>Year 2</t>
  </si>
  <si>
    <t>Year 3</t>
  </si>
  <si>
    <t>02/</t>
  </si>
  <si>
    <t>Drawdown year minus 1</t>
  </si>
  <si>
    <t xml:space="preserve">1c. Please provide commentary to support the proposed repayment plan below. </t>
  </si>
  <si>
    <t>Drawdown year plus 1</t>
  </si>
  <si>
    <t>• Consider how financial savings generated from the project as shown above are used to contribute towards annual repayment values. 
• Where early capital repayments are used and the minimum required annual repayment value is exceeded please provide commentary to explain how the value of early repayments was deduced, and reasons for this.</t>
  </si>
  <si>
    <t>/</t>
  </si>
  <si>
    <t>Next FY</t>
  </si>
  <si>
    <t>2. Indicative Repayment Schedule; please ensure all previous Steps have been completed.</t>
  </si>
  <si>
    <t>Loan summary</t>
  </si>
  <si>
    <t>Interest Summary</t>
  </si>
  <si>
    <t>Total project value</t>
  </si>
  <si>
    <t>Year 1 Interest payment due</t>
  </si>
  <si>
    <t>Total loan requested</t>
  </si>
  <si>
    <t>First Full Interest Payment:</t>
  </si>
  <si>
    <t>Drawdown 4</t>
  </si>
  <si>
    <t>Annual interest rate</t>
  </si>
  <si>
    <t>First Year Interest length (months):</t>
  </si>
  <si>
    <t>Est. 1st drawdown date</t>
  </si>
  <si>
    <t>Est. 2nd drawdown date</t>
  </si>
  <si>
    <t>Est. 3rd drawdown date</t>
  </si>
  <si>
    <t>Est. project completion date</t>
  </si>
  <si>
    <t>Total Capital Repayments</t>
  </si>
  <si>
    <t>Capital Repayment Summary</t>
  </si>
  <si>
    <t>Is applicant making any early repayments?</t>
  </si>
  <si>
    <t>Total Early Repayments</t>
  </si>
  <si>
    <t>Total Capital Repayments:</t>
  </si>
  <si>
    <t>April</t>
  </si>
  <si>
    <t>Total</t>
  </si>
  <si>
    <t>October</t>
  </si>
  <si>
    <t>Annual capital repayment</t>
  </si>
  <si>
    <t>Trim capital payment year</t>
  </si>
  <si>
    <t>Trim total loan requested</t>
  </si>
  <si>
    <t>Leave blank</t>
  </si>
  <si>
    <t>Project completion month</t>
  </si>
  <si>
    <t>3. Loan Amortisation Table;</t>
  </si>
  <si>
    <t>Start of Year</t>
  </si>
  <si>
    <t>End of Year</t>
  </si>
  <si>
    <t>Capital Repayment Payment Number</t>
  </si>
  <si>
    <t>Interest Repayment Number</t>
  </si>
  <si>
    <t>Payment Financial Year</t>
  </si>
  <si>
    <t>Hide Column, First PY</t>
  </si>
  <si>
    <t>Hide Column</t>
  </si>
  <si>
    <t>Hide Column FY</t>
  </si>
  <si>
    <t>Hide - Starting Loan Payment</t>
  </si>
  <si>
    <t>Beginning Capital Balance</t>
  </si>
  <si>
    <t>Minimum required repayment value (per annum)</t>
  </si>
  <si>
    <t>Interest Payment</t>
  </si>
  <si>
    <t>Capital Repayment</t>
  </si>
  <si>
    <t xml:space="preserve">Hide - </t>
  </si>
  <si>
    <t>Early Capital Repayment</t>
  </si>
  <si>
    <t>Total Repayment (excludes interest payments)</t>
  </si>
  <si>
    <t>Hide - All payments</t>
  </si>
  <si>
    <t>Ending Capital Balance</t>
  </si>
  <si>
    <t>Cumulative Capital Payments</t>
  </si>
  <si>
    <t>Cumulative Interest Payments</t>
  </si>
  <si>
    <t>hide - Ending Balance Test - shows what the final payment should be</t>
  </si>
  <si>
    <t>Hide</t>
  </si>
  <si>
    <t>Hide 3</t>
  </si>
  <si>
    <t>Hide - If ending capital is loan</t>
  </si>
  <si>
    <t>Hide 4</t>
  </si>
  <si>
    <t>Repayment Status</t>
  </si>
  <si>
    <t>For interest (hide)</t>
  </si>
  <si>
    <t>For capital repayments (hide)</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</si>
  <si>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</si>
  <si>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</si>
  <si>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</si>
  <si>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</si>
  <si>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</si>
  <si>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</si>
  <si>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</si>
  <si>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</si>
  <si>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</si>
  <si>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</si>
  <si>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</si>
  <si>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</si>
  <si>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</si>
  <si>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</si>
  <si>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</si>
  <si>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</si>
  <si>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</si>
  <si>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2041-2042</t>
  </si>
  <si>
    <t>2042-2043</t>
  </si>
  <si>
    <t>2043-2044</t>
  </si>
  <si>
    <t>2044-2045</t>
  </si>
  <si>
    <t>2045-2046</t>
  </si>
  <si>
    <t>2046-2047</t>
  </si>
  <si>
    <t>2047-2048</t>
  </si>
  <si>
    <t>Examples of Eligible Technologies</t>
  </si>
  <si>
    <t>The following list includes examples of eligible technologies for the Recycling Fund and SEELS Schemes. If you intend to include technologies that do not appear on this list in your application, please discuss with Salix prior to submission.</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</si>
  <si>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</si>
  <si>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</si>
  <si>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</si>
  <si>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</si>
  <si>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</si>
  <si>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</si>
  <si>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</si>
  <si>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</si>
  <si>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</si>
  <si>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</si>
  <si>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</si>
  <si>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</si>
  <si>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</si>
  <si>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Heating - electric heating</t>
  </si>
  <si>
    <t>Hot water - electric point of use heaters</t>
  </si>
  <si>
    <t>Solar thermal</t>
  </si>
  <si>
    <t>Biomass</t>
  </si>
  <si>
    <t>Carbon Conversion Factors</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</si>
  <si>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</si>
  <si>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</si>
  <si>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</si>
  <si>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</si>
  <si>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</si>
  <si>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Building energy management systems (BEMS)</t>
  </si>
  <si>
    <t>BEMS - not remotely managed</t>
  </si>
  <si>
    <t>Scope 2 &amp; Scope 3  (Transmission and Distribution losses only)</t>
  </si>
  <si>
    <t>E</t>
  </si>
  <si>
    <t>BEMS - remotely managed</t>
  </si>
  <si>
    <t>Scope 1 only</t>
  </si>
  <si>
    <t>G</t>
  </si>
  <si>
    <t>Cooling</t>
  </si>
  <si>
    <t>Cooling - control system</t>
  </si>
  <si>
    <t>Gas oil</t>
  </si>
  <si>
    <t>GO</t>
  </si>
  <si>
    <t>Cooling - plant replacement/upgrade</t>
  </si>
  <si>
    <t>Fuel oil</t>
  </si>
  <si>
    <t>Heating oils other than gas oil or burning oil</t>
  </si>
  <si>
    <t>FO</t>
  </si>
  <si>
    <t>Energy efficient chillers</t>
  </si>
  <si>
    <t>Burning oil</t>
  </si>
  <si>
    <t>Also known as kerosene or paraffin used for heating systems</t>
  </si>
  <si>
    <t>BO</t>
  </si>
  <si>
    <t>Free cooling</t>
  </si>
  <si>
    <t>C</t>
  </si>
  <si>
    <t>Replacement of air conditioning with evaporative cooling</t>
  </si>
  <si>
    <t>L</t>
  </si>
  <si>
    <t>Energy from waste</t>
  </si>
  <si>
    <t>Anaerobic digestion</t>
  </si>
  <si>
    <t xml:space="preserve">Scope 1 only </t>
  </si>
  <si>
    <t>WP</t>
  </si>
  <si>
    <t>Incineration</t>
  </si>
  <si>
    <t>WC</t>
  </si>
  <si>
    <t>Heating</t>
  </si>
  <si>
    <t>Heat recovery</t>
  </si>
  <si>
    <t>Biogas</t>
  </si>
  <si>
    <t>BG</t>
  </si>
  <si>
    <t>Heating - discrete controls</t>
  </si>
  <si>
    <t xml:space="preserve">Source:
</t>
  </si>
  <si>
    <t>DESNZ: Current GHG conversion factors - updated June 2023</t>
  </si>
  <si>
    <t>Heating - distribution pipework improvements</t>
  </si>
  <si>
    <t>Replace steam calorifier with plate heat exchanger</t>
  </si>
  <si>
    <t>Steam trap replacements</t>
  </si>
  <si>
    <t>Thermal stores</t>
  </si>
  <si>
    <t>Hot water</t>
  </si>
  <si>
    <t>Flow restrictors</t>
  </si>
  <si>
    <t>Hot water - distribution improvements</t>
  </si>
  <si>
    <t>Hot water - efficient taps</t>
  </si>
  <si>
    <t>Insulation - building fabric</t>
  </si>
  <si>
    <t>Cavity wall insulation</t>
  </si>
  <si>
    <t xml:space="preserve">Double glazing with metal or plastic frames </t>
  </si>
  <si>
    <t>Dry wall lining</t>
  </si>
  <si>
    <t>Loft insulation</t>
  </si>
  <si>
    <t>Floor insulation - suspended timber floor</t>
  </si>
  <si>
    <t>Floor insulation - solid floor or other type</t>
  </si>
  <si>
    <t>Roof insulation</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</si>
  <si>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</si>
  <si>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</si>
  <si>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</si>
  <si>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</si>
  <si>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</si>
  <si>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</si>
  <si>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</si>
  <si>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</si>
  <si>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</si>
  <si>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</si>
  <si>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</si>
  <si>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</si>
  <si>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</si>
  <si>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</si>
  <si>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</si>
  <si>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</si>
  <si>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</si>
  <si>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</si>
  <si>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</si>
  <si>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</si>
  <si>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</si>
  <si>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</si>
  <si>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</si>
  <si>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</si>
  <si>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</si>
  <si>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Time switches</t>
  </si>
  <si>
    <t>Ventilation</t>
  </si>
  <si>
    <t>Fans - air handling unit</t>
  </si>
  <si>
    <t>Fans - high efficiency</t>
  </si>
  <si>
    <t xml:space="preserve">Phase change material </t>
  </si>
  <si>
    <t>Ultrasonic humidifiers</t>
  </si>
  <si>
    <t>Ventilation - distribution</t>
  </si>
  <si>
    <t>Ventilation - presence controls</t>
  </si>
  <si>
    <t>Work-type list name</t>
  </si>
  <si>
    <t xml:space="preserve">Client type </t>
  </si>
  <si>
    <t xml:space="preserve">Client-type list name </t>
  </si>
  <si>
    <t>Client Type Selected</t>
  </si>
  <si>
    <t>Client-type list name</t>
  </si>
  <si>
    <t>Building management systems</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</si>
  <si>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</si>
  <si>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</si>
  <si>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</si>
  <si>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</si>
  <si>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</si>
  <si>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</si>
  <si>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</si>
  <si>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</si>
  <si>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</si>
  <si>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</si>
  <si>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</si>
  <si>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</si>
  <si>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</si>
  <si>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</si>
  <si>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</si>
  <si>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</si>
  <si>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</si>
  <si>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</si>
  <si>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</si>
  <si>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</si>
  <si>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</si>
  <si>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</si>
  <si>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</si>
  <si>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</si>
  <si>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</si>
  <si>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</si>
  <si>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</si>
  <si>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Transformers</t>
  </si>
  <si>
    <t>Enter Project Type first</t>
  </si>
  <si>
    <t>Programme</t>
  </si>
  <si>
    <t>PB</t>
  </si>
  <si>
    <t>£/tCO2e</t>
  </si>
  <si>
    <t>SEELS Wales</t>
  </si>
  <si>
    <t>Recycling Fund Wales</t>
  </si>
  <si>
    <t>Overall project</t>
  </si>
  <si>
    <t>Criteria</t>
  </si>
  <si>
    <t>SEELS_Wales</t>
  </si>
  <si>
    <t>Higher_Education_Institute</t>
  </si>
  <si>
    <t>Recycling_Fund_England_HEI</t>
  </si>
  <si>
    <t>Recycling_Fund_Wales</t>
  </si>
  <si>
    <t>Further_Education_Institute</t>
  </si>
  <si>
    <t>Recycling_Fund_England</t>
  </si>
  <si>
    <t>Emergency Services</t>
  </si>
  <si>
    <t>Emergency_Services</t>
  </si>
  <si>
    <t xml:space="preserve">Primary School </t>
  </si>
  <si>
    <t xml:space="preserve">Primary_School </t>
  </si>
  <si>
    <t>SEELS_England</t>
  </si>
  <si>
    <t>SEELS_Schools</t>
  </si>
  <si>
    <t>Recycling_Fund_Scotland</t>
  </si>
  <si>
    <t>Primary School (Local Authority)</t>
  </si>
  <si>
    <t>Secondary School (Local Authority)</t>
  </si>
  <si>
    <t>SEELS_Scotland</t>
  </si>
  <si>
    <t>Salix_Decarbonisation_Fund</t>
  </si>
  <si>
    <t>Programme Selected</t>
  </si>
  <si>
    <t>vlookup</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</si>
  <si>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</si>
  <si>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</si>
  <si>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</si>
  <si>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</si>
  <si>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</si>
  <si>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</si>
  <si>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</si>
  <si>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</si>
  <si>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</si>
  <si>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 (For Wales Applications: Future Generations Act 2015)</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</si>
  <si>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</si>
  <si>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</si>
  <si>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</si>
  <si>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</si>
  <si>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</si>
  <si>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</si>
  <si>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</si>
  <si>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</si>
  <si>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</si>
  <si>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</si>
  <si>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</si>
  <si>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</si>
  <si>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</si>
  <si>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</si>
  <si>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</si>
  <si>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</si>
  <si>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</si>
  <si>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</si>
  <si>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</si>
  <si>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</si>
  <si>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</si>
  <si>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</si>
  <si>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</si>
  <si>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</si>
  <si>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</si>
  <si>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</si>
  <si>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</si>
  <si>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</si>
  <si>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</si>
  <si>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</si>
  <si>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</si>
  <si>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</si>
  <si>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</si>
  <si>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</si>
  <si>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</si>
  <si>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</si>
  <si>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</si>
  <si>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</si>
  <si>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</si>
  <si>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</si>
  <si>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</si>
  <si>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</si>
  <si>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</si>
  <si>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</si>
  <si>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</si>
  <si>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</si>
  <si>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</si>
  <si>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</si>
  <si>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</si>
  <si>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</si>
  <si>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</si>
  <si>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</si>
  <si>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</si>
  <si>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</si>
  <si>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QA</t>
  </si>
  <si>
    <t>Approved by</t>
  </si>
  <si>
    <t xml:space="preserve">Scoring </t>
  </si>
  <si>
    <t>Number of score</t>
  </si>
  <si>
    <t>Column2</t>
  </si>
  <si>
    <t>Red</t>
  </si>
  <si>
    <t>Amber</t>
  </si>
  <si>
    <t>Green</t>
  </si>
  <si>
    <t>Total ranking</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</si>
  <si>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</si>
  <si>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</si>
  <si>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</si>
  <si>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</si>
  <si>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</si>
  <si>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</si>
  <si>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</si>
  <si>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</si>
  <si>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</si>
  <si>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</si>
  <si>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</si>
  <si>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</si>
  <si>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</si>
  <si>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</si>
  <si>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</si>
  <si>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</si>
  <si>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</si>
  <si>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</si>
  <si>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</si>
  <si>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</si>
  <si>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</si>
  <si>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</si>
  <si>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</si>
  <si>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</si>
  <si>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</si>
  <si>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</si>
  <si>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</si>
  <si>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</si>
  <si>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</si>
  <si>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</si>
  <si>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kg/kWh</t>
  </si>
  <si>
    <t>tCO2 pa</t>
  </si>
  <si>
    <t>tCO2 LT Savings</t>
  </si>
  <si>
    <t>£/tCO2 LT</t>
  </si>
  <si>
    <t>LT Financial Saving</t>
  </si>
  <si>
    <t>Back Data:</t>
  </si>
  <si>
    <t>Measure Reference:</t>
  </si>
  <si>
    <t>Energy
type</t>
  </si>
  <si>
    <t>p/kWh</t>
  </si>
  <si>
    <t>Annual Financial Saving</t>
  </si>
  <si>
    <t>tCO2 LT</t>
  </si>
  <si>
    <t>Cost per Measure</t>
  </si>
  <si>
    <t>Number</t>
  </si>
  <si>
    <t>Energy type</t>
  </si>
  <si>
    <t>Ver</t>
  </si>
  <si>
    <t>Change</t>
  </si>
  <si>
    <t>By</t>
  </si>
  <si>
    <t>Jul-24</t>
  </si>
  <si>
    <t>Application form SEELS Wales specific.
Changes to design to bring in line with other Salix schemes.
Addition of loan amortisation tab.</t>
  </si>
  <si>
    <t>CS</t>
  </si>
  <si>
    <t>Nov-23</t>
  </si>
  <si>
    <t>Updated carbon factors for electricity</t>
  </si>
  <si>
    <t xml:space="preserve">Upgrade form to become universal tool for all loan schemes.
Update carbon factors and addition of bespoke option (for distict heating).
Removal of boilers and voltage optimisation as an eligible technology.
Business case includes question for Welsh applicants.
Re-wording of questions in business case section.
</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</si>
  <si>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</si>
  <si>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</si>
  <si>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</si>
  <si>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</si>
  <si>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</si>
  <si>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</si>
  <si>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</si>
  <si>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</si>
  <si>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</si>
  <si>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</si>
  <si>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</si>
  <si>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</si>
  <si>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</si>
  <si>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</si>
  <si>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</si>
  <si>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</si>
  <si>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</si>
  <si>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</si>
  <si>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</si>
  <si>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</si>
  <si>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</si>
  <si>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</si>
  <si>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</si>
  <si>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</si>
  <si>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</si>
  <si>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</si>
  <si>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</si>
  <si>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</si>
  <si>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</si>
  <si>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</si>
  <si>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</si>
  <si>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</si>
  <si>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</si>
  <si>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</si>
  <si>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</si>
  <si>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</si>
  <si>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</si>
  <si>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Salix Finance Ltd (“Salix”) offers loan funding for energy efficiency and decarbonisation projects for public sector bodies registered in Wales at a fixed interest rate of 2.05%. Salix’s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</si>
</sst>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8" formatCode="&quot;£&quot;#,##0.00;[Red]\-&quot;£&quot;#,##0.00"/>
    <numFmt numFmtId="44" formatCode="_-&quot;£&quot;* #,##0.00_-;\-&quot;£&quot;* #,##0.00_-;_-&quot;£&quot;* &quot;-&quot;??_-;_-@_-"/>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 numFmtId="174" formatCode="_-* #,##0.00000_-;\-* #,##0.00000_-;_-* &quot;-&quot;??_-;_-@_-"/>
    <numFmt numFmtId="175" formatCode="dd/mm/yyyy;@"/>
  </numFmts>
  <fonts count="127" x14ac:knownFonts="1">
    <font>
      <sz val="10"/>
      <color theme="1"/>
      <name val="Arial"/>
      <family val="2"/>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0"/>
      <color rgb="FF000000"/>
      <name val="Calibri"/>
      <family val="2"/>
      <scheme val="minor"/>
    </font>
    <font>
      <b/>
      <sz val="11"/>
      <color rgb="FFF4FFF5"/>
      <name val="Verdana"/>
      <family val="2"/>
    </font>
    <font>
      <u/>
      <sz val="11"/>
      <color theme="10"/>
      <name val="Calibri"/>
      <family val="2"/>
      <scheme val="minor"/>
    </font>
    <font>
      <sz val="10"/>
      <color rgb="FF000000"/>
      <name val="Verdana"/>
      <family val="2"/>
    </font>
    <font>
      <b/>
      <sz val="9"/>
      <color rgb="FFFF0000"/>
      <name val="Verdana"/>
      <family val="2"/>
    </font>
    <font>
      <sz val="10"/>
      <color rgb="FFFF0000"/>
      <name val="Arial"/>
      <family val="2"/>
    </font>
    <font>
      <b/>
      <sz val="28"/>
      <color theme="6"/>
      <name val="Verdana"/>
      <family val="2"/>
    </font>
    <font>
      <b/>
      <sz val="16"/>
      <color theme="0"/>
      <name val="Verdana"/>
      <family val="2"/>
    </font>
    <font>
      <b/>
      <sz val="14"/>
      <color theme="6"/>
      <name val="Verdana"/>
      <family val="2"/>
    </font>
    <font>
      <sz val="8"/>
      <color rgb="FFFF0000"/>
      <name val="Verdana"/>
      <family val="2"/>
    </font>
    <font>
      <sz val="8"/>
      <color theme="1"/>
      <name val="Verdana"/>
      <family val="2"/>
    </font>
    <font>
      <b/>
      <sz val="14"/>
      <color rgb="FF382573"/>
      <name val="Verdana"/>
      <family val="2"/>
    </font>
    <font>
      <sz val="14"/>
      <color rgb="FF382573"/>
      <name val="Verdana"/>
      <family val="2"/>
    </font>
    <font>
      <sz val="12"/>
      <color rgb="FFFF0000"/>
      <name val="Verdana"/>
      <family val="2"/>
    </font>
    <font>
      <sz val="9"/>
      <color rgb="FFFF0000"/>
      <name val="Verdana"/>
      <family val="2"/>
    </font>
    <font>
      <sz val="12"/>
      <color theme="6"/>
      <name val="Calibri"/>
      <family val="2"/>
      <scheme val="minor"/>
    </font>
    <font>
      <sz val="11"/>
      <color theme="0"/>
      <name val="Verdana"/>
      <family val="2"/>
    </font>
    <font>
      <sz val="9"/>
      <color theme="0"/>
      <name val="Verdana"/>
      <family val="2"/>
    </font>
    <font>
      <b/>
      <sz val="9"/>
      <name val="Verdana"/>
      <family val="2"/>
    </font>
    <font>
      <sz val="9"/>
      <color theme="0"/>
      <name val="Arial"/>
      <family val="2"/>
    </font>
    <font>
      <sz val="9"/>
      <color rgb="FFFF0000"/>
      <name val="Arial"/>
      <family val="2"/>
    </font>
    <font>
      <b/>
      <sz val="8"/>
      <color theme="0"/>
      <name val="Verdana"/>
      <family val="2"/>
    </font>
    <font>
      <sz val="8"/>
      <color theme="0"/>
      <name val="Verdana"/>
      <family val="2"/>
    </font>
    <font>
      <sz val="8"/>
      <color rgb="FF000000"/>
      <name val="Verdana"/>
      <family val="2"/>
    </font>
    <font>
      <sz val="8"/>
      <name val="Verdana"/>
      <family val="2"/>
    </font>
    <font>
      <b/>
      <sz val="8"/>
      <color theme="1"/>
      <name val="Verdana"/>
      <family val="2"/>
    </font>
    <font>
      <b/>
      <sz val="16"/>
      <color rgb="FF382573"/>
      <name val="Verdana"/>
      <family val="2"/>
    </font>
    <font>
      <sz val="8"/>
      <color rgb="FF382573"/>
      <name val="Verdana"/>
      <family val="2"/>
    </font>
    <font>
      <b/>
      <sz val="12"/>
      <color rgb="FF382573"/>
      <name val="Verdana"/>
      <family val="2"/>
    </font>
    <font>
      <sz val="10"/>
      <color rgb="FF382573"/>
      <name val="Verdana"/>
      <family val="2"/>
    </font>
    <font>
      <u/>
      <sz val="12"/>
      <color rgb="FF382573"/>
      <name val="Verdana"/>
      <family val="2"/>
    </font>
    <font>
      <b/>
      <sz val="10"/>
      <color rgb="FF382573"/>
      <name val="Verdana"/>
      <family val="2"/>
    </font>
    <font>
      <u/>
      <sz val="10"/>
      <color rgb="FF382573"/>
      <name val="Verdana"/>
      <family val="2"/>
    </font>
    <font>
      <b/>
      <sz val="9"/>
      <color rgb="FF382573"/>
      <name val="Verdana"/>
      <family val="2"/>
    </font>
    <font>
      <sz val="9"/>
      <color rgb="FF382573"/>
      <name val="Verdana"/>
      <family val="2"/>
    </font>
    <font>
      <sz val="8"/>
      <name val="Arial"/>
      <family val="2"/>
    </font>
    <font>
      <b/>
      <sz val="11"/>
      <color rgb="FFFF0000"/>
      <name val="Verdana"/>
      <family val="2"/>
    </font>
    <font>
      <sz val="9"/>
      <color rgb="FF382573"/>
      <name val="Arial"/>
      <family val="2"/>
    </font>
  </fonts>
  <fills count="31">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rgb="FFA6A6A6"/>
      </patternFill>
    </fill>
    <fill>
      <patternFill patternType="solid">
        <fgColor theme="0"/>
        <bgColor rgb="FFD9D9D9"/>
      </patternFill>
    </fill>
    <fill>
      <patternFill patternType="solid">
        <fgColor theme="0" tint="-0.14999847407452621"/>
        <bgColor indexed="64"/>
      </patternFill>
    </fill>
    <fill>
      <patternFill patternType="solid">
        <fgColor rgb="FFD0F2E3"/>
        <bgColor indexed="64"/>
      </patternFill>
    </fill>
    <fill>
      <patternFill patternType="solid">
        <fgColor rgb="FF2DAE76"/>
        <bgColor rgb="FF000000"/>
      </patternFill>
    </fill>
  </fills>
  <borders count="20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style="medium">
        <color theme="1"/>
      </left>
      <right style="medium">
        <color indexed="64"/>
      </right>
      <top style="medium">
        <color indexed="64"/>
      </top>
      <bottom style="hair">
        <color indexed="64"/>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theme="2" tint="-0.249977111117893"/>
      </left>
      <right style="thin">
        <color theme="2" tint="-0.249977111117893"/>
      </right>
      <top style="medium">
        <color indexed="64"/>
      </top>
      <bottom/>
      <diagonal/>
    </border>
    <border>
      <left style="medium">
        <color indexed="64"/>
      </left>
      <right style="thin">
        <color theme="2" tint="-0.249977111117893"/>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theme="1"/>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2" tint="-0.249977111117893"/>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theme="1"/>
      </top>
      <bottom/>
      <diagonal/>
    </border>
    <border>
      <left style="medium">
        <color indexed="64"/>
      </left>
      <right/>
      <top style="medium">
        <color indexed="64"/>
      </top>
      <bottom style="medium">
        <color theme="1"/>
      </bottom>
      <diagonal/>
    </border>
    <border>
      <left style="medium">
        <color indexed="64"/>
      </left>
      <right style="medium">
        <color indexed="64"/>
      </right>
      <top style="hair">
        <color theme="1"/>
      </top>
      <bottom style="hair">
        <color theme="1"/>
      </bottom>
      <diagonal/>
    </border>
    <border>
      <left style="medium">
        <color indexed="64"/>
      </left>
      <right style="medium">
        <color indexed="64"/>
      </right>
      <top style="hair">
        <color theme="1"/>
      </top>
      <bottom style="medium">
        <color indexed="64"/>
      </bottom>
      <diagonal/>
    </border>
    <border>
      <left/>
      <right style="medium">
        <color indexed="64"/>
      </right>
      <top style="medium">
        <color indexed="64"/>
      </top>
      <bottom style="medium">
        <color theme="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right style="thin">
        <color indexed="64"/>
      </right>
      <top style="thin">
        <color indexed="64"/>
      </top>
      <bottom/>
      <diagonal/>
    </border>
    <border>
      <left/>
      <right/>
      <top/>
      <bottom style="thin">
        <color rgb="FF382573"/>
      </bottom>
      <diagonal/>
    </border>
    <border>
      <left style="thin">
        <color rgb="FF382573"/>
      </left>
      <right/>
      <top style="thin">
        <color rgb="FF382573"/>
      </top>
      <bottom style="thin">
        <color rgb="FF382573"/>
      </bottom>
      <diagonal/>
    </border>
    <border>
      <left/>
      <right/>
      <top style="thin">
        <color rgb="FF382573"/>
      </top>
      <bottom style="thin">
        <color rgb="FF382573"/>
      </bottom>
      <diagonal/>
    </border>
    <border>
      <left/>
      <right style="thin">
        <color rgb="FF382573"/>
      </right>
      <top style="thin">
        <color rgb="FF382573"/>
      </top>
      <bottom style="thin">
        <color rgb="FF382573"/>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382573"/>
      </right>
      <top style="medium">
        <color indexed="64"/>
      </top>
      <bottom style="thin">
        <color rgb="FF382573"/>
      </bottom>
      <diagonal/>
    </border>
    <border>
      <left/>
      <right style="medium">
        <color indexed="64"/>
      </right>
      <top style="medium">
        <color indexed="64"/>
      </top>
      <bottom style="thin">
        <color indexed="64"/>
      </bottom>
      <diagonal/>
    </border>
    <border>
      <left style="medium">
        <color indexed="64"/>
      </left>
      <right style="thin">
        <color rgb="FF382573"/>
      </right>
      <top style="thin">
        <color rgb="FF382573"/>
      </top>
      <bottom style="thin">
        <color rgb="FF382573"/>
      </bottom>
      <diagonal/>
    </border>
    <border>
      <left style="medium">
        <color indexed="64"/>
      </left>
      <right style="thin">
        <color rgb="FF382573"/>
      </right>
      <top style="thin">
        <color rgb="FF382573"/>
      </top>
      <bottom style="thin">
        <color theme="1"/>
      </bottom>
      <diagonal/>
    </border>
    <border>
      <left/>
      <right style="medium">
        <color indexed="64"/>
      </right>
      <top style="thin">
        <color theme="1"/>
      </top>
      <bottom style="thin">
        <color theme="1"/>
      </bottom>
      <diagonal/>
    </border>
    <border>
      <left style="medium">
        <color indexed="64"/>
      </left>
      <right style="thin">
        <color rgb="FF382573"/>
      </right>
      <top style="thin">
        <color theme="1"/>
      </top>
      <bottom style="thin">
        <color theme="1"/>
      </bottom>
      <diagonal/>
    </border>
    <border>
      <left style="medium">
        <color indexed="64"/>
      </left>
      <right style="thin">
        <color rgb="FF382573"/>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thin">
        <color rgb="FF382573"/>
      </right>
      <top style="thin">
        <color rgb="FF382573"/>
      </top>
      <bottom style="medium">
        <color indexed="64"/>
      </bottom>
      <diagonal/>
    </border>
    <border>
      <left/>
      <right style="medium">
        <color indexed="64"/>
      </right>
      <top style="thin">
        <color indexed="64"/>
      </top>
      <bottom style="medium">
        <color indexed="64"/>
      </bottom>
      <diagonal/>
    </border>
    <border>
      <left style="medium">
        <color indexed="64"/>
      </left>
      <right style="thin">
        <color rgb="FF382573"/>
      </right>
      <top style="thin">
        <color rgb="FF382573"/>
      </top>
      <bottom/>
      <diagonal/>
    </border>
    <border>
      <left style="medium">
        <color indexed="64"/>
      </left>
      <right style="thin">
        <color rgb="FF382573"/>
      </right>
      <top/>
      <bottom/>
      <diagonal/>
    </border>
    <border>
      <left style="medium">
        <color indexed="64"/>
      </left>
      <right style="thin">
        <color rgb="FF382573"/>
      </right>
      <top/>
      <bottom style="thin">
        <color rgb="FF382573"/>
      </bottom>
      <diagonal/>
    </border>
  </borders>
  <cellStyleXfs count="28">
    <xf numFmtId="0" fontId="0" fillId="0" borderId="0"/>
    <xf numFmtId="43" fontId="11"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10" fillId="0" borderId="0"/>
    <xf numFmtId="9" fontId="11" fillId="0" borderId="0" applyFont="0" applyFill="0" applyBorder="0" applyAlignment="0" applyProtection="0"/>
    <xf numFmtId="0" fontId="11" fillId="0" borderId="0"/>
    <xf numFmtId="0" fontId="9" fillId="0" borderId="0"/>
    <xf numFmtId="0" fontId="8" fillId="0" borderId="0"/>
    <xf numFmtId="9" fontId="8" fillId="0" borderId="0" applyFont="0" applyFill="0" applyBorder="0" applyAlignment="0" applyProtection="0"/>
    <xf numFmtId="0" fontId="8" fillId="0" borderId="0"/>
    <xf numFmtId="0" fontId="11" fillId="0" borderId="0"/>
    <xf numFmtId="0" fontId="28" fillId="0" borderId="0"/>
    <xf numFmtId="0" fontId="22" fillId="0" borderId="0"/>
    <xf numFmtId="0" fontId="29" fillId="0" borderId="0" applyNumberFormat="0" applyFill="0" applyBorder="0" applyAlignment="0" applyProtection="0">
      <alignment vertical="top"/>
      <protection locked="0"/>
    </xf>
    <xf numFmtId="0" fontId="7" fillId="0" borderId="0"/>
    <xf numFmtId="43" fontId="11" fillId="0" borderId="0" applyFont="0" applyFill="0" applyBorder="0" applyAlignment="0" applyProtection="0"/>
    <xf numFmtId="0" fontId="11" fillId="0" borderId="0"/>
    <xf numFmtId="0" fontId="5" fillId="0" borderId="0"/>
    <xf numFmtId="9" fontId="5" fillId="0" borderId="0" applyFont="0" applyFill="0" applyBorder="0" applyAlignment="0" applyProtection="0"/>
    <xf numFmtId="0" fontId="4" fillId="0" borderId="0"/>
    <xf numFmtId="0" fontId="3" fillId="0" borderId="0"/>
    <xf numFmtId="0" fontId="12" fillId="0" borderId="0" applyNumberFormat="0" applyFill="0" applyBorder="0" applyAlignment="0" applyProtection="0">
      <alignment vertical="top"/>
      <protection locked="0"/>
    </xf>
    <xf numFmtId="0" fontId="3" fillId="0" borderId="0"/>
    <xf numFmtId="0" fontId="91" fillId="0" borderId="0" applyNumberFormat="0" applyFill="0" applyBorder="0" applyAlignment="0" applyProtection="0"/>
    <xf numFmtId="0" fontId="2" fillId="0" borderId="0"/>
    <xf numFmtId="0" fontId="2" fillId="0" borderId="0"/>
    <xf numFmtId="44" fontId="11" fillId="0" borderId="0" applyFont="0" applyFill="0" applyBorder="0" applyAlignment="0" applyProtection="0"/>
  </cellStyleXfs>
  <cellXfs count="1052">
    <xf numFmtId="0" fontId="0" fillId="0" borderId="0" xfId="0"/>
    <xf numFmtId="0" fontId="0" fillId="0" borderId="0" xfId="0" quotePrefix="1"/>
    <xf numFmtId="0" fontId="0" fillId="3" borderId="0" xfId="0" applyFill="1"/>
    <xf numFmtId="0" fontId="14" fillId="0" borderId="0" xfId="0" applyFont="1"/>
    <xf numFmtId="0" fontId="14" fillId="0" borderId="0" xfId="0" applyFont="1" applyAlignment="1">
      <alignment vertical="center"/>
    </xf>
    <xf numFmtId="0" fontId="20" fillId="5" borderId="0" xfId="0" applyFont="1" applyFill="1" applyAlignment="1">
      <alignment horizontal="center" vertical="center" wrapText="1"/>
    </xf>
    <xf numFmtId="0" fontId="17" fillId="5" borderId="0" xfId="0" applyFont="1" applyFill="1" applyAlignment="1">
      <alignment vertical="center"/>
    </xf>
    <xf numFmtId="0" fontId="20" fillId="5" borderId="0" xfId="0" applyFont="1" applyFill="1" applyAlignment="1">
      <alignment vertical="center"/>
    </xf>
    <xf numFmtId="0" fontId="17" fillId="5" borderId="0" xfId="0" applyFont="1" applyFill="1" applyAlignment="1">
      <alignment horizontal="left" vertical="top" wrapText="1"/>
    </xf>
    <xf numFmtId="0" fontId="17" fillId="5" borderId="0" xfId="0" applyFont="1" applyFill="1" applyAlignment="1" applyProtection="1">
      <alignment horizontal="left" vertical="top" wrapText="1"/>
      <protection hidden="1"/>
    </xf>
    <xf numFmtId="0" fontId="17" fillId="5" borderId="0" xfId="0" applyFont="1" applyFill="1" applyAlignment="1">
      <alignment vertical="center" wrapText="1"/>
    </xf>
    <xf numFmtId="0" fontId="17" fillId="5" borderId="0" xfId="0" applyFont="1" applyFill="1"/>
    <xf numFmtId="0" fontId="17" fillId="5" borderId="0" xfId="0" applyFont="1" applyFill="1" applyAlignment="1">
      <alignment wrapText="1"/>
    </xf>
    <xf numFmtId="0" fontId="22" fillId="3" borderId="0" xfId="0" applyFont="1" applyFill="1"/>
    <xf numFmtId="0" fontId="23" fillId="3" borderId="0" xfId="0" applyFont="1" applyFill="1" applyAlignment="1">
      <alignment vertical="top"/>
    </xf>
    <xf numFmtId="0" fontId="24" fillId="3" borderId="0" xfId="0" applyFont="1" applyFill="1" applyAlignment="1">
      <alignment horizontal="left" vertical="top"/>
    </xf>
    <xf numFmtId="0" fontId="17" fillId="0" borderId="0" xfId="0" applyFont="1" applyAlignment="1">
      <alignment horizontal="center"/>
    </xf>
    <xf numFmtId="166" fontId="17" fillId="0" borderId="0" xfId="0" applyNumberFormat="1" applyFont="1" applyAlignment="1">
      <alignment horizontal="center"/>
    </xf>
    <xf numFmtId="0" fontId="17" fillId="0" borderId="0" xfId="0" applyFont="1" applyAlignment="1">
      <alignment horizontal="left" wrapText="1"/>
    </xf>
    <xf numFmtId="1" fontId="17" fillId="0" borderId="0" xfId="0" applyNumberFormat="1" applyFont="1" applyAlignment="1">
      <alignment horizontal="center"/>
    </xf>
    <xf numFmtId="0" fontId="17" fillId="0" borderId="0" xfId="0" applyFont="1" applyAlignment="1">
      <alignment horizontal="left"/>
    </xf>
    <xf numFmtId="5" fontId="17" fillId="0" borderId="0" xfId="1" applyNumberFormat="1" applyFont="1"/>
    <xf numFmtId="164" fontId="17" fillId="0" borderId="0" xfId="0" applyNumberFormat="1" applyFont="1"/>
    <xf numFmtId="0" fontId="17" fillId="0" borderId="0" xfId="0" applyFont="1"/>
    <xf numFmtId="0" fontId="17" fillId="0" borderId="0" xfId="0" applyFont="1" applyAlignment="1">
      <alignment vertical="center"/>
    </xf>
    <xf numFmtId="0" fontId="20" fillId="5" borderId="0" xfId="0" applyFont="1" applyFill="1" applyAlignment="1" applyProtection="1">
      <alignment horizontal="left" vertical="top" wrapText="1"/>
      <protection hidden="1"/>
    </xf>
    <xf numFmtId="0" fontId="0" fillId="5" borderId="0" xfId="0" applyFill="1"/>
    <xf numFmtId="0" fontId="20" fillId="5" borderId="0" xfId="0" applyFont="1" applyFill="1" applyAlignment="1">
      <alignment horizontal="left" vertical="top" wrapText="1"/>
    </xf>
    <xf numFmtId="0" fontId="22" fillId="5" borderId="0" xfId="13" applyFill="1" applyAlignment="1" applyProtection="1">
      <alignment horizontal="left" vertical="top"/>
      <protection hidden="1"/>
    </xf>
    <xf numFmtId="0" fontId="22" fillId="5" borderId="0" xfId="13" applyFill="1" applyAlignment="1" applyProtection="1">
      <alignment horizontal="left" vertical="top" wrapText="1"/>
      <protection hidden="1"/>
    </xf>
    <xf numFmtId="0" fontId="17" fillId="5" borderId="1" xfId="0" applyFont="1" applyFill="1" applyBorder="1" applyAlignment="1" applyProtection="1">
      <alignment horizontal="left" vertical="top" wrapText="1"/>
      <protection hidden="1"/>
    </xf>
    <xf numFmtId="14" fontId="17" fillId="5" borderId="0" xfId="0" applyNumberFormat="1" applyFont="1" applyFill="1" applyAlignment="1">
      <alignment vertical="center"/>
    </xf>
    <xf numFmtId="0" fontId="30" fillId="4" borderId="1" xfId="0" applyFont="1" applyFill="1" applyBorder="1" applyAlignment="1" applyProtection="1">
      <alignment vertical="top" wrapText="1"/>
      <protection locked="0" hidden="1"/>
    </xf>
    <xf numFmtId="0" fontId="17" fillId="0" borderId="0" xfId="0" applyFont="1" applyAlignment="1" applyProtection="1">
      <alignment vertical="top" wrapText="1"/>
      <protection locked="0" hidden="1"/>
    </xf>
    <xf numFmtId="0" fontId="17" fillId="2" borderId="1" xfId="0" applyFont="1" applyFill="1" applyBorder="1" applyAlignment="1" applyProtection="1">
      <alignment horizontal="left" vertical="top" wrapText="1"/>
      <protection locked="0" hidden="1"/>
    </xf>
    <xf numFmtId="1" fontId="17" fillId="0" borderId="0" xfId="0" applyNumberFormat="1" applyFont="1" applyAlignment="1" applyProtection="1">
      <alignment vertical="top" wrapText="1"/>
      <protection locked="0" hidden="1"/>
    </xf>
    <xf numFmtId="5" fontId="17" fillId="0" borderId="0" xfId="0" applyNumberFormat="1" applyFont="1" applyAlignment="1" applyProtection="1">
      <alignment vertical="top" wrapText="1"/>
      <protection locked="0" hidden="1"/>
    </xf>
    <xf numFmtId="9" fontId="17" fillId="0" borderId="0" xfId="0" applyNumberFormat="1" applyFont="1" applyAlignment="1" applyProtection="1">
      <alignment vertical="top" wrapText="1"/>
      <protection locked="0" hidden="1"/>
    </xf>
    <xf numFmtId="2" fontId="17" fillId="0" borderId="0" xfId="0" applyNumberFormat="1" applyFont="1" applyAlignment="1" applyProtection="1">
      <alignment vertical="top" wrapText="1"/>
      <protection locked="0" hidden="1"/>
    </xf>
    <xf numFmtId="43" fontId="17" fillId="0" borderId="0" xfId="0" applyNumberFormat="1" applyFont="1" applyAlignment="1" applyProtection="1">
      <alignment vertical="top" wrapText="1"/>
      <protection locked="0" hidden="1"/>
    </xf>
    <xf numFmtId="0" fontId="31" fillId="0" borderId="0" xfId="0" applyFont="1" applyAlignment="1" applyProtection="1">
      <alignment vertical="top" wrapText="1"/>
      <protection locked="0" hidden="1"/>
    </xf>
    <xf numFmtId="0" fontId="30" fillId="4" borderId="1" xfId="0" applyFont="1" applyFill="1" applyBorder="1" applyAlignment="1" applyProtection="1">
      <alignment horizontal="left" vertical="top" wrapText="1"/>
      <protection locked="0" hidden="1"/>
    </xf>
    <xf numFmtId="14" fontId="17" fillId="2" borderId="1" xfId="0" applyNumberFormat="1" applyFont="1" applyFill="1" applyBorder="1" applyAlignment="1" applyProtection="1">
      <alignment horizontal="left" vertical="top" wrapText="1"/>
      <protection locked="0" hidden="1"/>
    </xf>
    <xf numFmtId="1" fontId="17" fillId="2" borderId="1" xfId="0" applyNumberFormat="1" applyFont="1" applyFill="1" applyBorder="1" applyAlignment="1" applyProtection="1">
      <alignment horizontal="left" vertical="top" wrapText="1"/>
      <protection locked="0" hidden="1"/>
    </xf>
    <xf numFmtId="171" fontId="17" fillId="2" borderId="1" xfId="0" applyNumberFormat="1" applyFont="1" applyFill="1" applyBorder="1" applyAlignment="1" applyProtection="1">
      <alignment horizontal="left" vertical="top" wrapText="1"/>
      <protection locked="0" hidden="1"/>
    </xf>
    <xf numFmtId="9" fontId="17" fillId="2" borderId="1" xfId="5" applyFont="1" applyFill="1" applyBorder="1" applyAlignment="1" applyProtection="1">
      <alignment horizontal="left" vertical="top" wrapText="1"/>
      <protection locked="0" hidden="1"/>
    </xf>
    <xf numFmtId="0" fontId="32" fillId="2" borderId="1" xfId="0" applyFont="1" applyFill="1" applyBorder="1" applyAlignment="1" applyProtection="1">
      <alignment horizontal="left" vertical="top" wrapText="1"/>
      <protection locked="0" hidden="1"/>
    </xf>
    <xf numFmtId="9" fontId="32" fillId="2" borderId="1" xfId="5" applyFont="1" applyFill="1" applyBorder="1" applyAlignment="1" applyProtection="1">
      <alignment horizontal="left" vertical="top" wrapText="1"/>
      <protection locked="0" hidden="1"/>
    </xf>
    <xf numFmtId="2" fontId="17" fillId="2" borderId="1" xfId="0" applyNumberFormat="1" applyFont="1" applyFill="1" applyBorder="1" applyAlignment="1" applyProtection="1">
      <alignment horizontal="left" vertical="top" wrapText="1"/>
      <protection locked="0" hidden="1"/>
    </xf>
    <xf numFmtId="43" fontId="17" fillId="2" borderId="1" xfId="0" applyNumberFormat="1" applyFont="1" applyFill="1" applyBorder="1" applyAlignment="1" applyProtection="1">
      <alignment horizontal="left" vertical="top" wrapText="1"/>
      <protection locked="0" hidden="1"/>
    </xf>
    <xf numFmtId="43" fontId="17" fillId="2" borderId="1" xfId="1" applyFont="1" applyFill="1" applyBorder="1" applyAlignment="1" applyProtection="1">
      <alignment horizontal="left" vertical="top" wrapText="1"/>
      <protection locked="0" hidden="1"/>
    </xf>
    <xf numFmtId="10" fontId="17" fillId="2" borderId="1" xfId="0" applyNumberFormat="1" applyFont="1" applyFill="1" applyBorder="1" applyAlignment="1" applyProtection="1">
      <alignment horizontal="left" vertical="top" wrapText="1"/>
      <protection locked="0" hidden="1"/>
    </xf>
    <xf numFmtId="0" fontId="25" fillId="0" borderId="0" xfId="0" applyFont="1" applyAlignment="1" applyProtection="1">
      <alignment vertical="top" wrapText="1"/>
      <protection locked="0" hidden="1"/>
    </xf>
    <xf numFmtId="0" fontId="17" fillId="0" borderId="0" xfId="0" applyFont="1" applyAlignment="1">
      <alignment horizontal="left" vertical="top"/>
    </xf>
    <xf numFmtId="2" fontId="17" fillId="0" borderId="0" xfId="0" applyNumberFormat="1" applyFont="1"/>
    <xf numFmtId="0" fontId="21"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vertical="center"/>
    </xf>
    <xf numFmtId="2" fontId="20" fillId="0" borderId="0" xfId="0" applyNumberFormat="1" applyFont="1" applyAlignment="1">
      <alignment vertical="center"/>
    </xf>
    <xf numFmtId="0" fontId="18" fillId="0" borderId="0" xfId="0" applyFont="1" applyAlignment="1">
      <alignment horizontal="left" vertical="top"/>
    </xf>
    <xf numFmtId="0" fontId="18" fillId="0" borderId="0" xfId="0" applyFont="1" applyAlignment="1">
      <alignment horizontal="left" vertical="top" wrapText="1"/>
    </xf>
    <xf numFmtId="0" fontId="17" fillId="0" borderId="0" xfId="0" applyFont="1" applyProtection="1">
      <protection hidden="1"/>
    </xf>
    <xf numFmtId="0" fontId="17" fillId="0" borderId="1" xfId="0" applyFont="1" applyBorder="1" applyProtection="1">
      <protection hidden="1"/>
    </xf>
    <xf numFmtId="2" fontId="17" fillId="0" borderId="0" xfId="0" applyNumberFormat="1" applyFont="1" applyProtection="1">
      <protection hidden="1"/>
    </xf>
    <xf numFmtId="43" fontId="17" fillId="0" borderId="0" xfId="0" applyNumberFormat="1" applyFont="1" applyProtection="1">
      <protection hidden="1"/>
    </xf>
    <xf numFmtId="2" fontId="17" fillId="9" borderId="0" xfId="0" applyNumberFormat="1" applyFont="1" applyFill="1"/>
    <xf numFmtId="0" fontId="17" fillId="9" borderId="0" xfId="0" applyFont="1" applyFill="1"/>
    <xf numFmtId="0" fontId="17" fillId="11" borderId="0" xfId="0" applyFont="1" applyFill="1"/>
    <xf numFmtId="2" fontId="17" fillId="12" borderId="0" xfId="0" applyNumberFormat="1" applyFont="1" applyFill="1"/>
    <xf numFmtId="0" fontId="17" fillId="12" borderId="0" xfId="0" applyFont="1" applyFill="1"/>
    <xf numFmtId="0" fontId="17" fillId="6" borderId="0" xfId="0" applyFont="1" applyFill="1"/>
    <xf numFmtId="2" fontId="17" fillId="10" borderId="0" xfId="0" applyNumberFormat="1" applyFont="1" applyFill="1"/>
    <xf numFmtId="0" fontId="17" fillId="10" borderId="0" xfId="0" applyFont="1" applyFill="1"/>
    <xf numFmtId="0" fontId="17" fillId="13" borderId="0" xfId="0" applyFont="1" applyFill="1"/>
    <xf numFmtId="0" fontId="17" fillId="13" borderId="0" xfId="0" applyFont="1" applyFill="1" applyAlignment="1">
      <alignment horizontal="center"/>
    </xf>
    <xf numFmtId="0" fontId="17" fillId="8" borderId="0" xfId="0" applyFont="1" applyFill="1"/>
    <xf numFmtId="0" fontId="17" fillId="2" borderId="0" xfId="0" applyFont="1" applyFill="1"/>
    <xf numFmtId="49" fontId="17" fillId="2" borderId="1" xfId="0" applyNumberFormat="1" applyFont="1" applyFill="1" applyBorder="1" applyAlignment="1" applyProtection="1">
      <alignment horizontal="left" vertical="top" wrapText="1"/>
      <protection locked="0" hidden="1"/>
    </xf>
    <xf numFmtId="0" fontId="22" fillId="5" borderId="77" xfId="13" applyFill="1" applyBorder="1" applyAlignment="1" applyProtection="1">
      <alignment horizontal="left" vertical="top" wrapText="1"/>
      <protection hidden="1"/>
    </xf>
    <xf numFmtId="0" fontId="39" fillId="5" borderId="78" xfId="13" applyFont="1" applyFill="1" applyBorder="1" applyAlignment="1" applyProtection="1">
      <alignment horizontal="left" vertical="top" wrapText="1"/>
      <protection hidden="1"/>
    </xf>
    <xf numFmtId="0" fontId="6" fillId="5" borderId="78" xfId="0" applyFont="1" applyFill="1" applyBorder="1" applyAlignment="1">
      <alignment vertical="center"/>
    </xf>
    <xf numFmtId="0" fontId="40" fillId="5" borderId="78" xfId="13" applyFont="1" applyFill="1" applyBorder="1" applyAlignment="1" applyProtection="1">
      <alignment horizontal="left" vertical="top" wrapText="1"/>
      <protection hidden="1"/>
    </xf>
    <xf numFmtId="0" fontId="6" fillId="5" borderId="78" xfId="13" applyFont="1" applyFill="1" applyBorder="1" applyAlignment="1" applyProtection="1">
      <alignment horizontal="left" vertical="top" wrapText="1"/>
      <protection hidden="1"/>
    </xf>
    <xf numFmtId="0" fontId="22" fillId="14" borderId="79" xfId="13" applyFill="1" applyBorder="1" applyAlignment="1" applyProtection="1">
      <alignment horizontal="left" vertical="top" wrapText="1"/>
      <protection hidden="1"/>
    </xf>
    <xf numFmtId="0" fontId="23" fillId="5" borderId="83" xfId="0" applyFont="1" applyFill="1" applyBorder="1" applyAlignment="1">
      <alignment vertical="top"/>
    </xf>
    <xf numFmtId="0" fontId="24" fillId="5" borderId="83" xfId="0" applyFont="1" applyFill="1" applyBorder="1" applyAlignment="1">
      <alignment horizontal="left" vertical="top"/>
    </xf>
    <xf numFmtId="0" fontId="41" fillId="5" borderId="0" xfId="0" applyFont="1" applyFill="1" applyAlignment="1">
      <alignment horizontal="left" vertical="top"/>
    </xf>
    <xf numFmtId="0" fontId="38" fillId="5" borderId="84" xfId="0" applyFont="1" applyFill="1" applyBorder="1"/>
    <xf numFmtId="0" fontId="42" fillId="5" borderId="0" xfId="0" applyFont="1" applyFill="1" applyAlignment="1">
      <alignment vertical="top"/>
    </xf>
    <xf numFmtId="0" fontId="38" fillId="5" borderId="0" xfId="0" applyFont="1" applyFill="1"/>
    <xf numFmtId="0" fontId="38" fillId="5" borderId="0" xfId="0" applyFont="1" applyFill="1" applyAlignment="1">
      <alignment horizontal="left" vertical="top" wrapText="1"/>
    </xf>
    <xf numFmtId="0" fontId="6" fillId="5" borderId="0" xfId="0" applyFont="1" applyFill="1" applyAlignment="1">
      <alignment horizontal="left" vertical="top" wrapText="1"/>
    </xf>
    <xf numFmtId="0" fontId="6" fillId="5" borderId="84" xfId="0" applyFont="1" applyFill="1" applyBorder="1" applyAlignment="1">
      <alignment horizontal="left" vertical="top" wrapText="1"/>
    </xf>
    <xf numFmtId="0" fontId="6" fillId="5" borderId="0" xfId="0" applyFont="1" applyFill="1"/>
    <xf numFmtId="0" fontId="6" fillId="5" borderId="84" xfId="0" applyFont="1" applyFill="1" applyBorder="1"/>
    <xf numFmtId="0" fontId="40" fillId="5" borderId="0" xfId="0" applyFont="1" applyFill="1" applyAlignment="1">
      <alignment horizontal="left" vertical="top"/>
    </xf>
    <xf numFmtId="165" fontId="36" fillId="5" borderId="1" xfId="1" applyNumberFormat="1" applyFont="1" applyFill="1" applyBorder="1" applyAlignment="1" applyProtection="1">
      <alignment horizontal="left" vertical="center"/>
      <protection hidden="1"/>
    </xf>
    <xf numFmtId="165" fontId="6" fillId="5" borderId="1" xfId="1" applyNumberFormat="1" applyFont="1" applyFill="1" applyBorder="1" applyAlignment="1" applyProtection="1">
      <alignment vertical="center"/>
      <protection hidden="1"/>
    </xf>
    <xf numFmtId="49" fontId="6" fillId="0" borderId="49" xfId="0" applyNumberFormat="1" applyFont="1" applyBorder="1" applyAlignment="1" applyProtection="1">
      <alignment horizontal="left" vertical="center" wrapText="1"/>
      <protection locked="0"/>
    </xf>
    <xf numFmtId="14" fontId="6" fillId="0" borderId="74"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2" fontId="6" fillId="0" borderId="36" xfId="0" applyNumberFormat="1" applyFont="1" applyBorder="1" applyAlignment="1" applyProtection="1">
      <alignment horizontal="center" vertical="center" wrapText="1"/>
      <protection locked="0"/>
    </xf>
    <xf numFmtId="2" fontId="6" fillId="0" borderId="58" xfId="0" applyNumberFormat="1" applyFont="1" applyBorder="1" applyAlignment="1" applyProtection="1">
      <alignment horizontal="center" vertical="center" wrapText="1"/>
      <protection locked="0"/>
    </xf>
    <xf numFmtId="165" fontId="6" fillId="0" borderId="36" xfId="1" applyNumberFormat="1" applyFont="1" applyBorder="1" applyAlignment="1" applyProtection="1">
      <alignment horizontal="center" vertical="center" wrapText="1"/>
      <protection locked="0"/>
    </xf>
    <xf numFmtId="165" fontId="6" fillId="0" borderId="9" xfId="1" applyNumberFormat="1" applyFont="1" applyBorder="1" applyAlignment="1" applyProtection="1">
      <alignment horizontal="center" vertical="center" wrapText="1"/>
      <protection locked="0"/>
    </xf>
    <xf numFmtId="171" fontId="6" fillId="0" borderId="70" xfId="1" applyNumberFormat="1" applyFont="1" applyBorder="1" applyAlignment="1" applyProtection="1">
      <alignment horizontal="center" vertical="center" wrapText="1"/>
      <protection locked="0"/>
    </xf>
    <xf numFmtId="14" fontId="6" fillId="0" borderId="76" xfId="0" applyNumberFormat="1" applyFont="1" applyBorder="1" applyAlignment="1" applyProtection="1">
      <alignment horizontal="center" vertical="center" wrapText="1"/>
      <protection locked="0"/>
    </xf>
    <xf numFmtId="14" fontId="6" fillId="0" borderId="75" xfId="0" applyNumberFormat="1" applyFont="1" applyBorder="1" applyAlignment="1" applyProtection="1">
      <alignment horizontal="center" vertical="center" wrapText="1"/>
      <protection locked="0"/>
    </xf>
    <xf numFmtId="14" fontId="6" fillId="0" borderId="36" xfId="0" applyNumberFormat="1" applyFont="1" applyBorder="1" applyAlignment="1" applyProtection="1">
      <alignment horizontal="center" vertical="center" wrapText="1"/>
      <protection locked="0"/>
    </xf>
    <xf numFmtId="0" fontId="6" fillId="5" borderId="0" xfId="0" applyFont="1" applyFill="1" applyAlignment="1">
      <alignment horizontal="center"/>
    </xf>
    <xf numFmtId="166" fontId="6" fillId="5" borderId="0" xfId="0" applyNumberFormat="1" applyFont="1" applyFill="1" applyAlignment="1">
      <alignment horizontal="center"/>
    </xf>
    <xf numFmtId="0" fontId="6" fillId="5" borderId="0" xfId="0" applyFont="1" applyFill="1" applyAlignment="1">
      <alignment horizontal="left" wrapText="1"/>
    </xf>
    <xf numFmtId="1" fontId="6" fillId="5" borderId="0" xfId="0" applyNumberFormat="1" applyFont="1" applyFill="1" applyAlignment="1">
      <alignment horizontal="center"/>
    </xf>
    <xf numFmtId="0" fontId="6" fillId="5" borderId="0" xfId="0" applyFont="1" applyFill="1" applyAlignment="1">
      <alignment horizontal="left"/>
    </xf>
    <xf numFmtId="5" fontId="6" fillId="5" borderId="0" xfId="1" applyNumberFormat="1" applyFont="1" applyFill="1"/>
    <xf numFmtId="164" fontId="6" fillId="5" borderId="0" xfId="0" applyNumberFormat="1" applyFont="1" applyFill="1"/>
    <xf numFmtId="165" fontId="34" fillId="14" borderId="18" xfId="1" applyNumberFormat="1" applyFont="1" applyFill="1" applyBorder="1" applyAlignment="1" applyProtection="1">
      <alignment vertical="center" wrapText="1"/>
      <protection hidden="1"/>
    </xf>
    <xf numFmtId="165" fontId="36" fillId="14" borderId="30" xfId="1" applyNumberFormat="1" applyFont="1" applyFill="1" applyBorder="1" applyAlignment="1" applyProtection="1">
      <alignment vertical="center"/>
      <protection hidden="1"/>
    </xf>
    <xf numFmtId="0" fontId="34" fillId="14" borderId="12" xfId="0" applyFont="1" applyFill="1" applyBorder="1" applyAlignment="1">
      <alignment horizontal="center" vertical="center" wrapText="1"/>
    </xf>
    <xf numFmtId="0" fontId="34" fillId="14" borderId="35" xfId="0" applyFont="1" applyFill="1" applyBorder="1" applyAlignment="1">
      <alignment vertical="center" wrapText="1"/>
    </xf>
    <xf numFmtId="0" fontId="34" fillId="14" borderId="35" xfId="0" applyFont="1" applyFill="1" applyBorder="1" applyAlignment="1">
      <alignment horizontal="center" vertical="center" wrapText="1"/>
    </xf>
    <xf numFmtId="0" fontId="34" fillId="14" borderId="56" xfId="0" applyFont="1" applyFill="1" applyBorder="1" applyAlignment="1">
      <alignment horizontal="center" vertical="center" wrapText="1"/>
    </xf>
    <xf numFmtId="0" fontId="34" fillId="14" borderId="13" xfId="0" applyFont="1" applyFill="1" applyBorder="1" applyAlignment="1">
      <alignment horizontal="center" vertical="center" wrapText="1"/>
    </xf>
    <xf numFmtId="0" fontId="34" fillId="14" borderId="6" xfId="0" applyFont="1" applyFill="1" applyBorder="1" applyAlignment="1">
      <alignment horizontal="center" vertical="center" wrapText="1"/>
    </xf>
    <xf numFmtId="165" fontId="34" fillId="14" borderId="12" xfId="1" applyNumberFormat="1" applyFont="1" applyFill="1" applyBorder="1" applyAlignment="1">
      <alignment horizontal="center" vertical="center" wrapText="1"/>
    </xf>
    <xf numFmtId="0" fontId="34" fillId="14" borderId="12" xfId="0" applyFont="1" applyFill="1" applyBorder="1" applyAlignment="1">
      <alignment horizontal="center" vertical="center"/>
    </xf>
    <xf numFmtId="0" fontId="34" fillId="14" borderId="17" xfId="0" applyFont="1" applyFill="1" applyBorder="1" applyAlignment="1">
      <alignment horizontal="center" vertical="center" wrapText="1"/>
    </xf>
    <xf numFmtId="9" fontId="6" fillId="15" borderId="59" xfId="5" applyFont="1" applyFill="1" applyBorder="1" applyAlignment="1" applyProtection="1">
      <alignment horizontal="center" vertical="center" wrapText="1"/>
      <protection hidden="1"/>
    </xf>
    <xf numFmtId="170" fontId="6" fillId="15" borderId="71" xfId="1" applyNumberFormat="1" applyFont="1" applyFill="1" applyBorder="1" applyAlignment="1" applyProtection="1">
      <alignment horizontal="center" vertical="center" wrapText="1"/>
      <protection hidden="1"/>
    </xf>
    <xf numFmtId="9" fontId="6" fillId="15" borderId="73" xfId="5" applyFont="1" applyFill="1" applyBorder="1" applyAlignment="1" applyProtection="1">
      <alignment horizontal="center" vertical="center" wrapText="1"/>
      <protection hidden="1"/>
    </xf>
    <xf numFmtId="170" fontId="6" fillId="15" borderId="49" xfId="1" applyNumberFormat="1" applyFont="1" applyFill="1" applyBorder="1" applyAlignment="1" applyProtection="1">
      <alignment horizontal="center" vertical="center" wrapText="1"/>
      <protection hidden="1"/>
    </xf>
    <xf numFmtId="9" fontId="6" fillId="15" borderId="46" xfId="5" applyFont="1" applyFill="1" applyBorder="1" applyAlignment="1" applyProtection="1">
      <alignment horizontal="center" vertical="center" wrapText="1"/>
      <protection hidden="1"/>
    </xf>
    <xf numFmtId="170" fontId="6" fillId="15" borderId="15" xfId="1" applyNumberFormat="1" applyFont="1" applyFill="1" applyBorder="1" applyAlignment="1" applyProtection="1">
      <alignment horizontal="center" vertical="center" wrapText="1"/>
      <protection hidden="1"/>
    </xf>
    <xf numFmtId="170" fontId="6" fillId="15" borderId="72" xfId="1" applyNumberFormat="1" applyFont="1" applyFill="1" applyBorder="1" applyAlignment="1" applyProtection="1">
      <alignment horizontal="center" vertical="center" wrapText="1"/>
      <protection hidden="1"/>
    </xf>
    <xf numFmtId="164" fontId="6" fillId="15" borderId="39" xfId="1" applyNumberFormat="1" applyFont="1" applyFill="1" applyBorder="1" applyAlignment="1" applyProtection="1">
      <alignment horizontal="center" vertical="center" wrapText="1"/>
      <protection hidden="1"/>
    </xf>
    <xf numFmtId="43" fontId="6" fillId="15" borderId="2" xfId="1" applyFont="1" applyFill="1" applyBorder="1" applyAlignment="1" applyProtection="1">
      <alignment horizontal="right" vertical="center" wrapText="1" indent="1"/>
      <protection hidden="1"/>
    </xf>
    <xf numFmtId="167" fontId="6" fillId="15" borderId="43" xfId="1" applyNumberFormat="1" applyFont="1" applyFill="1" applyBorder="1" applyAlignment="1" applyProtection="1">
      <alignment horizontal="right" vertical="center" wrapText="1" indent="1"/>
      <protection hidden="1"/>
    </xf>
    <xf numFmtId="43" fontId="6" fillId="15" borderId="40" xfId="1" applyFont="1" applyFill="1" applyBorder="1" applyAlignment="1" applyProtection="1">
      <alignment horizontal="right" vertical="center" wrapText="1" indent="1"/>
      <protection hidden="1"/>
    </xf>
    <xf numFmtId="43" fontId="6" fillId="15" borderId="3" xfId="1" applyFont="1" applyFill="1" applyBorder="1" applyAlignment="1" applyProtection="1">
      <alignment horizontal="right" vertical="center" wrapText="1" indent="1"/>
      <protection hidden="1"/>
    </xf>
    <xf numFmtId="164" fontId="6" fillId="15" borderId="41" xfId="1" applyNumberFormat="1" applyFont="1" applyFill="1" applyBorder="1" applyAlignment="1" applyProtection="1">
      <alignment horizontal="center" vertical="center" wrapText="1"/>
      <protection hidden="1"/>
    </xf>
    <xf numFmtId="43" fontId="6" fillId="15" borderId="44" xfId="1" applyFont="1" applyFill="1" applyBorder="1" applyAlignment="1" applyProtection="1">
      <alignment horizontal="right" vertical="center" wrapText="1" indent="1"/>
      <protection hidden="1"/>
    </xf>
    <xf numFmtId="43" fontId="6" fillId="15" borderId="42" xfId="1" applyFont="1" applyFill="1" applyBorder="1" applyAlignment="1" applyProtection="1">
      <alignment horizontal="right" vertical="center" wrapText="1" indent="1"/>
      <protection hidden="1"/>
    </xf>
    <xf numFmtId="43" fontId="6" fillId="15" borderId="45" xfId="1" applyFont="1" applyFill="1" applyBorder="1" applyAlignment="1" applyProtection="1">
      <alignment horizontal="right" vertical="center" wrapText="1" indent="1"/>
      <protection hidden="1"/>
    </xf>
    <xf numFmtId="164" fontId="6" fillId="5" borderId="0" xfId="1" applyNumberFormat="1" applyFont="1" applyFill="1" applyBorder="1" applyAlignment="1" applyProtection="1">
      <alignment horizontal="center" vertical="center" wrapText="1"/>
      <protection hidden="1"/>
    </xf>
    <xf numFmtId="43" fontId="6" fillId="5" borderId="0" xfId="1" applyFont="1" applyFill="1" applyBorder="1" applyAlignment="1" applyProtection="1">
      <alignment horizontal="right" vertical="center" wrapText="1" indent="2"/>
      <protection hidden="1"/>
    </xf>
    <xf numFmtId="167" fontId="6" fillId="5" borderId="0" xfId="1" applyNumberFormat="1" applyFont="1" applyFill="1" applyBorder="1" applyAlignment="1" applyProtection="1">
      <alignment horizontal="right" vertical="center" wrapText="1" indent="1"/>
      <protection hidden="1"/>
    </xf>
    <xf numFmtId="43" fontId="6" fillId="5" borderId="0" xfId="1" applyFont="1" applyFill="1" applyBorder="1" applyAlignment="1" applyProtection="1">
      <alignment horizontal="right" vertical="center" wrapText="1" indent="1"/>
      <protection hidden="1"/>
    </xf>
    <xf numFmtId="43" fontId="6" fillId="5" borderId="0" xfId="1" applyFont="1" applyFill="1" applyBorder="1" applyAlignment="1" applyProtection="1">
      <alignment horizontal="left" vertical="center" wrapText="1"/>
      <protection hidden="1"/>
    </xf>
    <xf numFmtId="0" fontId="36" fillId="5" borderId="0" xfId="0" applyFont="1" applyFill="1" applyAlignment="1" applyProtection="1">
      <alignment horizontal="center" vertical="center" wrapText="1"/>
      <protection hidden="1"/>
    </xf>
    <xf numFmtId="0" fontId="6" fillId="5" borderId="83" xfId="0" applyFont="1" applyFill="1" applyBorder="1" applyAlignment="1">
      <alignment horizontal="center" vertical="center"/>
    </xf>
    <xf numFmtId="0" fontId="6" fillId="0" borderId="83"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83" xfId="0" applyFont="1" applyBorder="1" applyAlignment="1">
      <alignment vertical="center"/>
    </xf>
    <xf numFmtId="166" fontId="34" fillId="14" borderId="6" xfId="0" applyNumberFormat="1" applyFont="1" applyFill="1" applyBorder="1" applyAlignment="1">
      <alignment horizontal="center" vertical="center" wrapText="1"/>
    </xf>
    <xf numFmtId="172" fontId="39" fillId="0" borderId="1" xfId="8" applyNumberFormat="1" applyFont="1" applyBorder="1" applyAlignment="1" applyProtection="1">
      <alignment horizontal="left" vertical="center"/>
      <protection locked="0"/>
    </xf>
    <xf numFmtId="14" fontId="38" fillId="0" borderId="65" xfId="10" applyNumberFormat="1" applyFont="1" applyBorder="1" applyAlignment="1" applyProtection="1">
      <alignment horizontal="center" vertical="center"/>
      <protection locked="0"/>
    </xf>
    <xf numFmtId="1" fontId="38" fillId="0" borderId="26" xfId="10" applyNumberFormat="1" applyFont="1" applyBorder="1" applyAlignment="1" applyProtection="1">
      <alignment horizontal="center" vertical="center"/>
      <protection locked="0"/>
    </xf>
    <xf numFmtId="14" fontId="38" fillId="0" borderId="30" xfId="10" applyNumberFormat="1" applyFont="1" applyBorder="1" applyAlignment="1" applyProtection="1">
      <alignment horizontal="center" vertical="center"/>
      <protection locked="0"/>
    </xf>
    <xf numFmtId="0" fontId="40" fillId="0" borderId="62" xfId="0" applyFont="1" applyBorder="1" applyAlignment="1" applyProtection="1">
      <alignment horizontal="right" vertical="center" wrapText="1"/>
      <protection hidden="1"/>
    </xf>
    <xf numFmtId="14" fontId="38" fillId="0" borderId="63" xfId="10" applyNumberFormat="1" applyFont="1" applyBorder="1" applyAlignment="1" applyProtection="1">
      <alignment horizontal="center" vertical="center"/>
      <protection locked="0"/>
    </xf>
    <xf numFmtId="1" fontId="38" fillId="0" borderId="91" xfId="10" applyNumberFormat="1" applyFont="1" applyBorder="1" applyAlignment="1" applyProtection="1">
      <alignment horizontal="center" vertical="center"/>
      <protection locked="0"/>
    </xf>
    <xf numFmtId="14" fontId="38" fillId="0" borderId="88" xfId="10" applyNumberFormat="1" applyFont="1" applyBorder="1" applyAlignment="1" applyProtection="1">
      <alignment horizontal="center" vertical="center"/>
      <protection locked="0"/>
    </xf>
    <xf numFmtId="0" fontId="43" fillId="0" borderId="0" xfId="2" applyFont="1" applyBorder="1" applyAlignment="1" applyProtection="1">
      <alignment vertical="center"/>
      <protection hidden="1"/>
    </xf>
    <xf numFmtId="15" fontId="63" fillId="14" borderId="53" xfId="0" applyNumberFormat="1" applyFont="1" applyFill="1" applyBorder="1" applyAlignment="1">
      <alignment horizontal="center"/>
    </xf>
    <xf numFmtId="0" fontId="63" fillId="14" borderId="54" xfId="0" applyFont="1" applyFill="1" applyBorder="1" applyAlignment="1">
      <alignment horizontal="center"/>
    </xf>
    <xf numFmtId="0" fontId="63" fillId="14" borderId="54" xfId="0" applyFont="1" applyFill="1" applyBorder="1" applyAlignment="1">
      <alignment horizontal="left"/>
    </xf>
    <xf numFmtId="0" fontId="63" fillId="14" borderId="55" xfId="0" applyFont="1" applyFill="1" applyBorder="1" applyAlignment="1">
      <alignment horizontal="left"/>
    </xf>
    <xf numFmtId="17" fontId="28" fillId="5" borderId="25" xfId="0" applyNumberFormat="1" applyFont="1" applyFill="1" applyBorder="1" applyAlignment="1">
      <alignment horizontal="center" vertical="top"/>
    </xf>
    <xf numFmtId="0" fontId="28" fillId="5" borderId="20" xfId="0" applyFont="1" applyFill="1" applyBorder="1" applyAlignment="1">
      <alignment horizontal="center" vertical="top"/>
    </xf>
    <xf numFmtId="0" fontId="28" fillId="5" borderId="20" xfId="0" applyFont="1" applyFill="1" applyBorder="1" applyAlignment="1">
      <alignment horizontal="left" vertical="top" wrapText="1"/>
    </xf>
    <xf numFmtId="0" fontId="28" fillId="5" borderId="26" xfId="0" applyFont="1" applyFill="1" applyBorder="1" applyAlignment="1">
      <alignment horizontal="left" vertical="top"/>
    </xf>
    <xf numFmtId="17" fontId="28" fillId="5" borderId="19" xfId="0" applyNumberFormat="1" applyFont="1" applyFill="1" applyBorder="1" applyAlignment="1">
      <alignment horizontal="center" vertical="top"/>
    </xf>
    <xf numFmtId="0" fontId="28" fillId="5" borderId="1" xfId="0" applyFont="1" applyFill="1" applyBorder="1" applyAlignment="1">
      <alignment horizontal="center" vertical="top"/>
    </xf>
    <xf numFmtId="0" fontId="28" fillId="5" borderId="1" xfId="0" applyFont="1" applyFill="1" applyBorder="1" applyAlignment="1">
      <alignment horizontal="left" vertical="top" wrapText="1"/>
    </xf>
    <xf numFmtId="0" fontId="28" fillId="5" borderId="21" xfId="0" applyFont="1" applyFill="1" applyBorder="1" applyAlignment="1">
      <alignment horizontal="left" vertical="top"/>
    </xf>
    <xf numFmtId="0" fontId="28" fillId="5" borderId="1" xfId="0" applyFont="1" applyFill="1" applyBorder="1" applyAlignment="1">
      <alignment horizontal="left" wrapText="1"/>
    </xf>
    <xf numFmtId="17" fontId="6" fillId="5" borderId="25" xfId="0" applyNumberFormat="1" applyFont="1" applyFill="1" applyBorder="1" applyAlignment="1">
      <alignment horizontal="center" vertical="top"/>
    </xf>
    <xf numFmtId="0" fontId="28" fillId="5" borderId="27" xfId="0" applyFont="1" applyFill="1" applyBorder="1" applyAlignment="1">
      <alignment horizontal="left" vertical="top" wrapText="1"/>
    </xf>
    <xf numFmtId="0" fontId="6" fillId="5" borderId="20" xfId="0" applyFont="1" applyFill="1" applyBorder="1" applyAlignment="1">
      <alignment horizontal="center" vertical="top"/>
    </xf>
    <xf numFmtId="0" fontId="6" fillId="5" borderId="20" xfId="0" applyFont="1" applyFill="1" applyBorder="1" applyAlignment="1">
      <alignment vertical="top" wrapText="1"/>
    </xf>
    <xf numFmtId="0" fontId="28" fillId="5" borderId="26" xfId="0" applyFont="1" applyFill="1" applyBorder="1" applyAlignment="1">
      <alignment vertical="top"/>
    </xf>
    <xf numFmtId="17" fontId="6" fillId="5" borderId="19" xfId="0" applyNumberFormat="1" applyFont="1" applyFill="1" applyBorder="1" applyAlignment="1">
      <alignment horizontal="center" vertical="top"/>
    </xf>
    <xf numFmtId="0" fontId="6" fillId="5" borderId="1" xfId="0" applyFont="1" applyFill="1" applyBorder="1" applyAlignment="1">
      <alignment horizontal="center" vertical="top"/>
    </xf>
    <xf numFmtId="0" fontId="6" fillId="5" borderId="1" xfId="0" applyFont="1" applyFill="1" applyBorder="1" applyAlignment="1">
      <alignment vertical="top" wrapText="1"/>
    </xf>
    <xf numFmtId="0" fontId="28" fillId="5" borderId="21" xfId="0" applyFont="1" applyFill="1" applyBorder="1" applyAlignment="1">
      <alignment vertical="top"/>
    </xf>
    <xf numFmtId="17" fontId="6" fillId="5" borderId="22" xfId="0" applyNumberFormat="1" applyFont="1" applyFill="1" applyBorder="1" applyAlignment="1">
      <alignment horizontal="center" vertical="top"/>
    </xf>
    <xf numFmtId="0" fontId="6" fillId="5" borderId="23" xfId="0" applyFont="1" applyFill="1" applyBorder="1" applyAlignment="1">
      <alignment horizontal="center" vertical="top"/>
    </xf>
    <xf numFmtId="0" fontId="6" fillId="5" borderId="23" xfId="0" applyFont="1" applyFill="1" applyBorder="1" applyAlignment="1">
      <alignment vertical="top" wrapText="1"/>
    </xf>
    <xf numFmtId="0" fontId="28" fillId="5" borderId="24" xfId="0" applyFont="1" applyFill="1" applyBorder="1" applyAlignment="1">
      <alignment vertical="top"/>
    </xf>
    <xf numFmtId="0" fontId="19" fillId="0" borderId="0" xfId="2" applyFont="1" applyFill="1" applyAlignment="1" applyProtection="1">
      <alignment vertical="center"/>
    </xf>
    <xf numFmtId="0" fontId="19" fillId="14" borderId="14" xfId="2" applyFont="1" applyFill="1" applyBorder="1" applyAlignment="1" applyProtection="1">
      <alignment vertical="center"/>
    </xf>
    <xf numFmtId="0" fontId="14" fillId="14" borderId="12" xfId="0" applyFont="1" applyFill="1" applyBorder="1" applyAlignment="1">
      <alignment vertical="center"/>
    </xf>
    <xf numFmtId="0" fontId="14" fillId="14" borderId="17" xfId="0" applyFont="1" applyFill="1" applyBorder="1" applyAlignment="1">
      <alignment vertical="center"/>
    </xf>
    <xf numFmtId="0" fontId="19" fillId="0" borderId="0" xfId="2" applyFont="1" applyFill="1" applyAlignment="1" applyProtection="1"/>
    <xf numFmtId="0" fontId="28" fillId="0" borderId="50" xfId="4" applyFont="1" applyBorder="1" applyAlignment="1">
      <alignment horizontal="left" vertical="center"/>
    </xf>
    <xf numFmtId="169" fontId="28" fillId="0" borderId="31" xfId="0" applyNumberFormat="1" applyFont="1" applyBorder="1" applyAlignment="1">
      <alignment horizontal="center" vertical="center"/>
    </xf>
    <xf numFmtId="0" fontId="28" fillId="0" borderId="52" xfId="4" applyFont="1" applyBorder="1" applyAlignment="1">
      <alignment horizontal="left" vertical="center"/>
    </xf>
    <xf numFmtId="169" fontId="28" fillId="0" borderId="28" xfId="0" applyNumberFormat="1" applyFont="1" applyBorder="1" applyAlignment="1">
      <alignment horizontal="center" vertical="center"/>
    </xf>
    <xf numFmtId="0" fontId="6" fillId="0" borderId="51" xfId="0" applyFont="1" applyBorder="1" applyAlignment="1">
      <alignment horizontal="left" vertical="center"/>
    </xf>
    <xf numFmtId="0" fontId="28" fillId="0" borderId="51" xfId="4" applyFont="1" applyBorder="1" applyAlignment="1">
      <alignment horizontal="left" vertical="center"/>
    </xf>
    <xf numFmtId="169" fontId="28" fillId="0" borderId="28" xfId="4" applyNumberFormat="1" applyFont="1" applyBorder="1" applyAlignment="1">
      <alignment horizontal="center" vertical="center"/>
    </xf>
    <xf numFmtId="0" fontId="6" fillId="0" borderId="51" xfId="0" applyFont="1" applyBorder="1" applyAlignment="1">
      <alignment vertical="center"/>
    </xf>
    <xf numFmtId="0" fontId="6" fillId="0" borderId="15" xfId="0" applyFont="1" applyBorder="1" applyAlignment="1">
      <alignment vertical="center"/>
    </xf>
    <xf numFmtId="0" fontId="28" fillId="0" borderId="51" xfId="0" applyFont="1" applyBorder="1" applyAlignment="1">
      <alignment vertical="center"/>
    </xf>
    <xf numFmtId="169" fontId="28" fillId="0" borderId="29" xfId="4" applyNumberFormat="1" applyFont="1" applyBorder="1" applyAlignment="1">
      <alignment horizontal="center" vertical="center"/>
    </xf>
    <xf numFmtId="14" fontId="28" fillId="5" borderId="48" xfId="6" applyNumberFormat="1" applyFont="1" applyFill="1" applyBorder="1" applyAlignment="1">
      <alignment horizontal="left" vertical="center"/>
    </xf>
    <xf numFmtId="0" fontId="28" fillId="5" borderId="48" xfId="6" applyFont="1" applyFill="1" applyBorder="1" applyAlignment="1">
      <alignment horizontal="left" vertical="center"/>
    </xf>
    <xf numFmtId="0" fontId="28" fillId="5" borderId="32" xfId="6" applyFont="1" applyFill="1" applyBorder="1" applyAlignment="1">
      <alignment horizontal="left" vertical="center" wrapText="1"/>
    </xf>
    <xf numFmtId="0" fontId="28" fillId="5" borderId="34" xfId="6" applyFont="1" applyFill="1" applyBorder="1" applyAlignment="1">
      <alignment horizontal="left" vertical="center"/>
    </xf>
    <xf numFmtId="0" fontId="28" fillId="5" borderId="47" xfId="6" applyFont="1" applyFill="1" applyBorder="1" applyAlignment="1">
      <alignment horizontal="left" vertical="center"/>
    </xf>
    <xf numFmtId="0" fontId="28" fillId="5" borderId="33" xfId="6" applyFont="1" applyFill="1" applyBorder="1" applyAlignment="1">
      <alignment horizontal="left" vertical="center" wrapText="1"/>
    </xf>
    <xf numFmtId="0" fontId="36" fillId="5" borderId="8" xfId="0" applyFont="1" applyFill="1" applyBorder="1" applyAlignment="1">
      <alignment vertical="top" wrapText="1"/>
    </xf>
    <xf numFmtId="0" fontId="15" fillId="14" borderId="100" xfId="0" applyFont="1" applyFill="1" applyBorder="1" applyAlignment="1">
      <alignment vertical="top" wrapText="1"/>
    </xf>
    <xf numFmtId="0" fontId="15" fillId="14" borderId="101" xfId="0" applyFont="1" applyFill="1" applyBorder="1" applyAlignment="1">
      <alignment vertical="top" wrapText="1"/>
    </xf>
    <xf numFmtId="0" fontId="15" fillId="14" borderId="102" xfId="0" applyFont="1" applyFill="1" applyBorder="1" applyAlignment="1">
      <alignment vertical="top" wrapText="1"/>
    </xf>
    <xf numFmtId="164" fontId="66" fillId="14" borderId="14" xfId="1" applyNumberFormat="1" applyFont="1" applyFill="1" applyBorder="1" applyAlignment="1" applyProtection="1">
      <alignment horizontal="center" vertical="center" wrapText="1"/>
      <protection hidden="1"/>
    </xf>
    <xf numFmtId="0" fontId="6" fillId="14" borderId="14" xfId="0" applyFont="1" applyFill="1" applyBorder="1" applyAlignment="1">
      <alignment vertical="center"/>
    </xf>
    <xf numFmtId="0" fontId="6" fillId="14" borderId="12" xfId="0" applyFont="1" applyFill="1" applyBorder="1" applyAlignment="1">
      <alignment vertical="center"/>
    </xf>
    <xf numFmtId="0" fontId="6" fillId="14" borderId="17" xfId="0" applyFont="1" applyFill="1" applyBorder="1" applyAlignment="1">
      <alignment vertical="center"/>
    </xf>
    <xf numFmtId="171" fontId="6" fillId="5" borderId="5" xfId="1" applyNumberFormat="1" applyFont="1" applyFill="1" applyBorder="1" applyAlignment="1" applyProtection="1">
      <alignment horizontal="center" vertical="center" wrapText="1"/>
      <protection locked="0"/>
    </xf>
    <xf numFmtId="171" fontId="6" fillId="15" borderId="5" xfId="1" applyNumberFormat="1" applyFont="1" applyFill="1" applyBorder="1" applyAlignment="1" applyProtection="1">
      <alignment horizontal="center" vertical="center" wrapText="1"/>
      <protection hidden="1"/>
    </xf>
    <xf numFmtId="164" fontId="6" fillId="15" borderId="6" xfId="1" applyNumberFormat="1" applyFont="1" applyFill="1" applyBorder="1" applyAlignment="1" applyProtection="1">
      <alignment horizontal="center" vertical="center" wrapText="1"/>
      <protection hidden="1"/>
    </xf>
    <xf numFmtId="2" fontId="6" fillId="15" borderId="6" xfId="1" applyNumberFormat="1" applyFont="1" applyFill="1" applyBorder="1" applyAlignment="1" applyProtection="1">
      <alignment horizontal="center" vertical="center" wrapText="1"/>
      <protection hidden="1"/>
    </xf>
    <xf numFmtId="167" fontId="6" fillId="15" borderId="6" xfId="1" applyNumberFormat="1" applyFont="1" applyFill="1" applyBorder="1" applyAlignment="1" applyProtection="1">
      <alignment horizontal="right" vertical="center" wrapText="1" indent="1"/>
      <protection hidden="1"/>
    </xf>
    <xf numFmtId="43" fontId="6" fillId="15" borderId="6" xfId="1" applyFont="1" applyFill="1" applyBorder="1" applyAlignment="1" applyProtection="1">
      <alignment horizontal="right" vertical="center" wrapText="1" indent="1"/>
      <protection hidden="1"/>
    </xf>
    <xf numFmtId="43" fontId="6" fillId="15" borderId="6" xfId="1" applyFont="1" applyFill="1" applyBorder="1" applyAlignment="1" applyProtection="1">
      <alignment horizontal="left" vertical="center" wrapText="1"/>
      <protection hidden="1"/>
    </xf>
    <xf numFmtId="43" fontId="6" fillId="15" borderId="7" xfId="1" applyFont="1" applyFill="1" applyBorder="1" applyAlignment="1" applyProtection="1">
      <alignment horizontal="left" vertical="center" wrapText="1"/>
      <protection hidden="1"/>
    </xf>
    <xf numFmtId="0" fontId="36" fillId="15" borderId="7" xfId="0" applyFont="1" applyFill="1" applyBorder="1" applyAlignment="1" applyProtection="1">
      <alignment horizontal="center" vertical="center" wrapText="1"/>
      <protection hidden="1"/>
    </xf>
    <xf numFmtId="164" fontId="34" fillId="14" borderId="14" xfId="0" applyNumberFormat="1" applyFont="1" applyFill="1" applyBorder="1" applyAlignment="1">
      <alignment horizontal="center" vertical="center" wrapText="1"/>
    </xf>
    <xf numFmtId="164" fontId="34" fillId="14" borderId="12" xfId="0" applyNumberFormat="1" applyFont="1" applyFill="1" applyBorder="1" applyAlignment="1">
      <alignment horizontal="center" vertical="center" wrapText="1"/>
    </xf>
    <xf numFmtId="0" fontId="34" fillId="14" borderId="17" xfId="0" applyFont="1" applyFill="1" applyBorder="1" applyAlignment="1">
      <alignment horizontal="center" vertical="center"/>
    </xf>
    <xf numFmtId="165" fontId="34" fillId="14" borderId="14" xfId="1" applyNumberFormat="1" applyFont="1" applyFill="1" applyBorder="1" applyAlignment="1">
      <alignment horizontal="center" vertical="center" wrapText="1"/>
    </xf>
    <xf numFmtId="165" fontId="34" fillId="14" borderId="17" xfId="1" applyNumberFormat="1" applyFont="1" applyFill="1" applyBorder="1" applyAlignment="1">
      <alignment horizontal="center" vertical="center" wrapText="1"/>
    </xf>
    <xf numFmtId="9" fontId="36" fillId="0" borderId="15" xfId="5" applyFont="1" applyBorder="1" applyAlignment="1" applyProtection="1">
      <alignment horizontal="center" vertical="center" wrapText="1"/>
      <protection hidden="1"/>
    </xf>
    <xf numFmtId="166" fontId="6" fillId="0" borderId="35" xfId="0" applyNumberFormat="1" applyFont="1" applyBorder="1" applyAlignment="1" applyProtection="1">
      <alignment horizontal="center" vertical="center" wrapText="1"/>
      <protection locked="0"/>
    </xf>
    <xf numFmtId="49" fontId="6" fillId="0" borderId="35" xfId="0" applyNumberFormat="1" applyFont="1" applyBorder="1" applyAlignment="1" applyProtection="1">
      <alignment horizontal="left" vertical="center" wrapText="1"/>
      <protection locked="0"/>
    </xf>
    <xf numFmtId="1" fontId="6" fillId="0" borderId="35" xfId="0" applyNumberFormat="1" applyFont="1" applyBorder="1" applyAlignment="1" applyProtection="1">
      <alignment horizontal="center" vertical="center" wrapText="1"/>
      <protection locked="0"/>
    </xf>
    <xf numFmtId="14" fontId="38" fillId="0" borderId="106" xfId="10" applyNumberFormat="1" applyFont="1" applyBorder="1" applyAlignment="1" applyProtection="1">
      <alignment horizontal="center" vertical="center"/>
      <protection locked="0"/>
    </xf>
    <xf numFmtId="1" fontId="38" fillId="0" borderId="107" xfId="10" applyNumberFormat="1" applyFont="1" applyBorder="1" applyAlignment="1" applyProtection="1">
      <alignment horizontal="center" vertical="center"/>
      <protection locked="0"/>
    </xf>
    <xf numFmtId="14" fontId="38" fillId="0" borderId="108" xfId="10" applyNumberFormat="1" applyFont="1" applyBorder="1" applyAlignment="1" applyProtection="1">
      <alignment horizontal="center" vertical="center"/>
      <protection locked="0"/>
    </xf>
    <xf numFmtId="14" fontId="38" fillId="0" borderId="109" xfId="10" applyNumberFormat="1" applyFont="1" applyBorder="1" applyAlignment="1" applyProtection="1">
      <alignment horizontal="center" vertical="center"/>
      <protection locked="0"/>
    </xf>
    <xf numFmtId="1" fontId="38" fillId="0" borderId="110" xfId="10" applyNumberFormat="1" applyFont="1" applyBorder="1" applyAlignment="1" applyProtection="1">
      <alignment horizontal="center" vertical="center"/>
      <protection locked="0"/>
    </xf>
    <xf numFmtId="14" fontId="38" fillId="0" borderId="112" xfId="10" applyNumberFormat="1" applyFont="1" applyBorder="1" applyAlignment="1" applyProtection="1">
      <alignment horizontal="center" vertical="center"/>
      <protection locked="0"/>
    </xf>
    <xf numFmtId="14" fontId="38" fillId="0" borderId="113" xfId="10" applyNumberFormat="1" applyFont="1" applyBorder="1" applyAlignment="1" applyProtection="1">
      <alignment horizontal="center" vertical="center"/>
      <protection locked="0"/>
    </xf>
    <xf numFmtId="1" fontId="38" fillId="0" borderId="114" xfId="10" applyNumberFormat="1" applyFont="1" applyBorder="1" applyAlignment="1" applyProtection="1">
      <alignment horizontal="center" vertical="center"/>
      <protection locked="0"/>
    </xf>
    <xf numFmtId="0" fontId="6" fillId="5" borderId="12" xfId="0" applyFont="1" applyFill="1" applyBorder="1"/>
    <xf numFmtId="0" fontId="6" fillId="5" borderId="17" xfId="0" applyFont="1" applyFill="1" applyBorder="1"/>
    <xf numFmtId="0" fontId="39" fillId="0" borderId="14" xfId="0" applyFont="1" applyBorder="1" applyAlignment="1">
      <alignment horizontal="left" vertical="center"/>
    </xf>
    <xf numFmtId="0" fontId="6" fillId="0" borderId="12" xfId="0" applyFont="1" applyBorder="1"/>
    <xf numFmtId="0" fontId="6" fillId="0" borderId="17" xfId="0" applyFont="1" applyBorder="1"/>
    <xf numFmtId="0" fontId="39" fillId="5" borderId="14" xfId="0" applyFont="1" applyFill="1" applyBorder="1" applyAlignment="1">
      <alignment horizontal="left" vertical="center"/>
    </xf>
    <xf numFmtId="0" fontId="22" fillId="0" borderId="0" xfId="18" applyFont="1" applyAlignment="1" applyProtection="1">
      <alignment vertical="center"/>
      <protection hidden="1"/>
    </xf>
    <xf numFmtId="0" fontId="27" fillId="0" borderId="0" xfId="18" applyFont="1" applyAlignment="1" applyProtection="1">
      <alignment vertical="center"/>
      <protection hidden="1"/>
    </xf>
    <xf numFmtId="0" fontId="17" fillId="0" borderId="0" xfId="18" applyFont="1" applyAlignment="1" applyProtection="1">
      <alignment vertical="center"/>
      <protection hidden="1"/>
    </xf>
    <xf numFmtId="0" fontId="27" fillId="0" borderId="80" xfId="18" applyFont="1" applyBorder="1" applyAlignment="1" applyProtection="1">
      <alignment vertical="center"/>
      <protection hidden="1"/>
    </xf>
    <xf numFmtId="0" fontId="27" fillId="0" borderId="83" xfId="18" applyFont="1" applyBorder="1" applyAlignment="1" applyProtection="1">
      <alignment vertical="center"/>
      <protection hidden="1"/>
    </xf>
    <xf numFmtId="0" fontId="27" fillId="5" borderId="83" xfId="18" applyFont="1" applyFill="1" applyBorder="1" applyAlignment="1" applyProtection="1">
      <alignment vertical="center"/>
      <protection hidden="1"/>
    </xf>
    <xf numFmtId="0" fontId="40" fillId="0" borderId="83" xfId="18" applyFont="1" applyBorder="1" applyAlignment="1" applyProtection="1">
      <alignment vertical="center"/>
      <protection hidden="1"/>
    </xf>
    <xf numFmtId="0" fontId="68" fillId="0" borderId="83" xfId="18" applyFont="1" applyBorder="1" applyAlignment="1" applyProtection="1">
      <alignment vertical="center"/>
      <protection hidden="1"/>
    </xf>
    <xf numFmtId="0" fontId="40" fillId="0" borderId="0" xfId="18" applyFont="1" applyAlignment="1" applyProtection="1">
      <alignment vertical="center"/>
      <protection hidden="1"/>
    </xf>
    <xf numFmtId="0" fontId="6" fillId="0" borderId="83" xfId="18" applyFont="1" applyBorder="1" applyAlignment="1" applyProtection="1">
      <alignment vertical="center"/>
      <protection hidden="1"/>
    </xf>
    <xf numFmtId="0" fontId="36" fillId="0" borderId="83" xfId="18" applyFont="1" applyBorder="1" applyAlignment="1" applyProtection="1">
      <alignment vertical="center"/>
      <protection hidden="1"/>
    </xf>
    <xf numFmtId="0" fontId="6" fillId="0" borderId="0" xfId="18" applyFont="1" applyAlignment="1" applyProtection="1">
      <alignment vertical="center"/>
      <protection hidden="1"/>
    </xf>
    <xf numFmtId="0" fontId="28" fillId="0" borderId="83" xfId="17" applyFont="1" applyBorder="1" applyAlignment="1" applyProtection="1">
      <alignment vertical="center" wrapText="1"/>
      <protection hidden="1"/>
    </xf>
    <xf numFmtId="0" fontId="48" fillId="0" borderId="0" xfId="17" applyFont="1" applyAlignment="1" applyProtection="1">
      <alignment horizontal="center" vertical="center" wrapText="1"/>
      <protection hidden="1"/>
    </xf>
    <xf numFmtId="0" fontId="28" fillId="0" borderId="0" xfId="17" applyFont="1" applyAlignment="1" applyProtection="1">
      <alignment horizontal="left" vertical="top" wrapText="1"/>
      <protection hidden="1"/>
    </xf>
    <xf numFmtId="0" fontId="6" fillId="0" borderId="0" xfId="18" applyFont="1" applyAlignment="1" applyProtection="1">
      <alignment horizontal="left" vertical="top"/>
      <protection hidden="1"/>
    </xf>
    <xf numFmtId="0" fontId="6" fillId="0" borderId="84" xfId="18" applyFont="1" applyBorder="1" applyAlignment="1" applyProtection="1">
      <alignment horizontal="left" vertical="top"/>
      <protection hidden="1"/>
    </xf>
    <xf numFmtId="0" fontId="17" fillId="0" borderId="0" xfId="18" applyFont="1" applyAlignment="1" applyProtection="1">
      <alignment vertical="center" wrapText="1"/>
      <protection hidden="1"/>
    </xf>
    <xf numFmtId="0" fontId="28" fillId="0" borderId="0" xfId="17" applyFont="1" applyAlignment="1" applyProtection="1">
      <alignment vertical="center" wrapText="1"/>
      <protection hidden="1"/>
    </xf>
    <xf numFmtId="0" fontId="6" fillId="0" borderId="84" xfId="18" applyFont="1" applyBorder="1" applyAlignment="1" applyProtection="1">
      <alignment vertical="center"/>
      <protection hidden="1"/>
    </xf>
    <xf numFmtId="0" fontId="28" fillId="0" borderId="0" xfId="17" applyFont="1" applyAlignment="1" applyProtection="1">
      <alignment vertical="top" wrapText="1"/>
      <protection hidden="1"/>
    </xf>
    <xf numFmtId="0" fontId="6" fillId="0" borderId="0" xfId="18" applyFont="1" applyAlignment="1" applyProtection="1">
      <alignment vertical="top"/>
      <protection hidden="1"/>
    </xf>
    <xf numFmtId="0" fontId="6" fillId="0" borderId="84" xfId="18" applyFont="1" applyBorder="1" applyAlignment="1" applyProtection="1">
      <alignment vertical="top"/>
      <protection hidden="1"/>
    </xf>
    <xf numFmtId="0" fontId="37" fillId="16" borderId="97" xfId="17" applyFont="1" applyFill="1" applyBorder="1" applyAlignment="1" applyProtection="1">
      <alignment vertical="top" wrapText="1"/>
      <protection hidden="1"/>
    </xf>
    <xf numFmtId="0" fontId="69" fillId="0" borderId="83"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69" fillId="0" borderId="84" xfId="18" applyFont="1" applyBorder="1" applyAlignment="1" applyProtection="1">
      <alignment horizontal="left" vertical="center"/>
      <protection hidden="1"/>
    </xf>
    <xf numFmtId="0" fontId="70" fillId="0" borderId="0" xfId="18" applyFont="1" applyAlignment="1" applyProtection="1">
      <alignment horizontal="left" vertical="center"/>
      <protection hidden="1"/>
    </xf>
    <xf numFmtId="0" fontId="40" fillId="0" borderId="83" xfId="18" applyFont="1" applyBorder="1" applyAlignment="1" applyProtection="1">
      <alignment horizontal="left" vertical="center"/>
      <protection hidden="1"/>
    </xf>
    <xf numFmtId="0" fontId="71" fillId="0" borderId="0" xfId="18" applyFont="1" applyAlignment="1" applyProtection="1">
      <alignment horizontal="left" vertical="center"/>
      <protection hidden="1"/>
    </xf>
    <xf numFmtId="0" fontId="71" fillId="0" borderId="84" xfId="18" applyFont="1" applyBorder="1" applyAlignment="1" applyProtection="1">
      <alignment horizontal="left" vertical="center"/>
      <protection hidden="1"/>
    </xf>
    <xf numFmtId="0" fontId="73" fillId="0" borderId="0" xfId="18" applyFont="1" applyAlignment="1" applyProtection="1">
      <alignment vertical="center"/>
      <protection hidden="1"/>
    </xf>
    <xf numFmtId="0" fontId="74" fillId="0" borderId="0" xfId="18" applyFont="1" applyAlignment="1" applyProtection="1">
      <alignment horizontal="center" vertical="center"/>
      <protection hidden="1"/>
    </xf>
    <xf numFmtId="9" fontId="74" fillId="0" borderId="0" xfId="19" applyFont="1" applyBorder="1" applyAlignment="1" applyProtection="1">
      <alignment horizontal="center" vertical="center"/>
      <protection hidden="1"/>
    </xf>
    <xf numFmtId="9" fontId="74" fillId="0" borderId="84" xfId="19" applyFont="1" applyBorder="1" applyAlignment="1" applyProtection="1">
      <alignment horizontal="center" vertical="center"/>
      <protection hidden="1"/>
    </xf>
    <xf numFmtId="0" fontId="75" fillId="0" borderId="0" xfId="18" applyFont="1" applyAlignment="1" applyProtection="1">
      <alignment vertical="center"/>
      <protection hidden="1"/>
    </xf>
    <xf numFmtId="9" fontId="75" fillId="0" borderId="0" xfId="18" applyNumberFormat="1" applyFont="1" applyAlignment="1" applyProtection="1">
      <alignment vertical="center"/>
      <protection hidden="1"/>
    </xf>
    <xf numFmtId="0" fontId="27" fillId="0" borderId="96" xfId="18" applyFont="1" applyBorder="1" applyAlignment="1" applyProtection="1">
      <alignment vertical="center"/>
      <protection hidden="1"/>
    </xf>
    <xf numFmtId="0" fontId="74" fillId="0" borderId="48" xfId="18" applyFont="1" applyBorder="1" applyAlignment="1" applyProtection="1">
      <alignment horizontal="center" vertical="center"/>
      <protection hidden="1"/>
    </xf>
    <xf numFmtId="9" fontId="74" fillId="0" borderId="48" xfId="19" applyFont="1" applyBorder="1" applyAlignment="1" applyProtection="1">
      <alignment horizontal="center" vertical="center"/>
      <protection hidden="1"/>
    </xf>
    <xf numFmtId="9" fontId="74" fillId="0" borderId="95" xfId="19" applyFont="1" applyBorder="1" applyAlignment="1" applyProtection="1">
      <alignment horizontal="center" vertical="center"/>
      <protection hidden="1"/>
    </xf>
    <xf numFmtId="0" fontId="36" fillId="0" borderId="83" xfId="18" applyFont="1" applyBorder="1" applyAlignment="1" applyProtection="1">
      <alignment vertical="top"/>
      <protection hidden="1"/>
    </xf>
    <xf numFmtId="0" fontId="48" fillId="0" borderId="83" xfId="17" applyFont="1" applyBorder="1" applyAlignment="1" applyProtection="1">
      <alignment horizontal="left" vertical="top" wrapText="1"/>
      <protection hidden="1"/>
    </xf>
    <xf numFmtId="0" fontId="36" fillId="0" borderId="0" xfId="18" applyFont="1" applyAlignment="1" applyProtection="1">
      <alignment horizontal="center" vertical="center"/>
      <protection hidden="1"/>
    </xf>
    <xf numFmtId="0" fontId="48" fillId="0" borderId="97" xfId="17" applyFont="1" applyBorder="1" applyAlignment="1" applyProtection="1">
      <alignment vertical="top" wrapText="1"/>
      <protection hidden="1"/>
    </xf>
    <xf numFmtId="1" fontId="36" fillId="0" borderId="1" xfId="18" applyNumberFormat="1" applyFont="1" applyBorder="1" applyAlignment="1" applyProtection="1">
      <alignment horizontal="center" vertical="center"/>
      <protection hidden="1"/>
    </xf>
    <xf numFmtId="0" fontId="76" fillId="0" borderId="0" xfId="18" applyFont="1" applyAlignment="1" applyProtection="1">
      <alignment vertical="center"/>
      <protection hidden="1"/>
    </xf>
    <xf numFmtId="0" fontId="76" fillId="0" borderId="84" xfId="18" applyFont="1" applyBorder="1" applyAlignment="1" applyProtection="1">
      <alignment vertical="center"/>
      <protection hidden="1"/>
    </xf>
    <xf numFmtId="0" fontId="77" fillId="0" borderId="83" xfId="17" applyFont="1" applyBorder="1" applyAlignment="1" applyProtection="1">
      <alignment vertical="center" wrapText="1"/>
      <protection hidden="1"/>
    </xf>
    <xf numFmtId="0" fontId="77" fillId="5" borderId="0" xfId="17" applyFont="1" applyFill="1" applyAlignment="1" applyProtection="1">
      <alignment horizontal="center" vertical="center" wrapText="1"/>
      <protection hidden="1"/>
    </xf>
    <xf numFmtId="0" fontId="77" fillId="5" borderId="0" xfId="17" applyFont="1" applyFill="1" applyAlignment="1" applyProtection="1">
      <alignment vertical="center" wrapText="1"/>
      <protection hidden="1"/>
    </xf>
    <xf numFmtId="0" fontId="78" fillId="0" borderId="0" xfId="18" applyFont="1" applyAlignment="1" applyProtection="1">
      <alignment vertical="center"/>
      <protection hidden="1"/>
    </xf>
    <xf numFmtId="0" fontId="33" fillId="0" borderId="0" xfId="18" applyFont="1" applyAlignment="1" applyProtection="1">
      <alignment vertical="center"/>
      <protection hidden="1"/>
    </xf>
    <xf numFmtId="49" fontId="6" fillId="0" borderId="0" xfId="18" applyNumberFormat="1" applyFont="1" applyAlignment="1" applyProtection="1">
      <alignment vertical="center" wrapText="1"/>
      <protection hidden="1"/>
    </xf>
    <xf numFmtId="0" fontId="6" fillId="0" borderId="27" xfId="18" applyFont="1" applyBorder="1" applyAlignment="1" applyProtection="1">
      <alignment vertical="center" wrapText="1"/>
      <protection hidden="1"/>
    </xf>
    <xf numFmtId="0" fontId="6" fillId="0" borderId="48" xfId="18" applyFont="1" applyBorder="1" applyAlignment="1" applyProtection="1">
      <alignment vertical="center" wrapText="1"/>
      <protection hidden="1"/>
    </xf>
    <xf numFmtId="0" fontId="6" fillId="0" borderId="84" xfId="18" applyFont="1" applyBorder="1" applyAlignment="1" applyProtection="1">
      <alignment horizontal="right" vertical="center"/>
      <protection hidden="1"/>
    </xf>
    <xf numFmtId="0" fontId="27" fillId="14" borderId="100" xfId="18" applyFont="1" applyFill="1" applyBorder="1" applyAlignment="1" applyProtection="1">
      <alignment vertical="center"/>
      <protection hidden="1"/>
    </xf>
    <xf numFmtId="0" fontId="78" fillId="0" borderId="57" xfId="0" applyFont="1" applyBorder="1" applyAlignment="1" applyProtection="1">
      <alignment horizontal="left" vertical="center" wrapText="1"/>
      <protection locked="0"/>
    </xf>
    <xf numFmtId="0" fontId="6" fillId="0" borderId="0" xfId="18" applyFont="1" applyAlignment="1" applyProtection="1">
      <alignment vertical="center" wrapText="1"/>
      <protection hidden="1"/>
    </xf>
    <xf numFmtId="0" fontId="6" fillId="0" borderId="0" xfId="18" applyFont="1" applyAlignment="1" applyProtection="1">
      <alignment horizontal="left" vertical="center"/>
      <protection hidden="1"/>
    </xf>
    <xf numFmtId="0" fontId="17" fillId="18" borderId="0" xfId="0" applyFont="1" applyFill="1"/>
    <xf numFmtId="0" fontId="6" fillId="0" borderId="0" xfId="0" applyFont="1"/>
    <xf numFmtId="0" fontId="34" fillId="14" borderId="14" xfId="0" applyFont="1" applyFill="1" applyBorder="1" applyAlignment="1">
      <alignment horizontal="center" vertical="center" wrapText="1"/>
    </xf>
    <xf numFmtId="0" fontId="34" fillId="14" borderId="38" xfId="0" applyFont="1" applyFill="1" applyBorder="1" applyAlignment="1">
      <alignment horizontal="center" vertical="center"/>
    </xf>
    <xf numFmtId="0" fontId="6" fillId="0" borderId="0" xfId="0" applyFont="1" applyAlignment="1">
      <alignment vertical="center"/>
    </xf>
    <xf numFmtId="0" fontId="37" fillId="0" borderId="0" xfId="0" applyFont="1" applyAlignment="1">
      <alignment vertical="center"/>
    </xf>
    <xf numFmtId="0" fontId="6" fillId="0" borderId="0" xfId="0" applyFont="1" applyAlignment="1">
      <alignment horizontal="center" vertical="center" wrapText="1"/>
    </xf>
    <xf numFmtId="2" fontId="6" fillId="0" borderId="0" xfId="0" applyNumberFormat="1" applyFont="1" applyAlignment="1">
      <alignment horizontal="center" vertical="center" wrapText="1"/>
    </xf>
    <xf numFmtId="2" fontId="6" fillId="0" borderId="0" xfId="0" applyNumberFormat="1" applyFont="1" applyAlignment="1">
      <alignment horizontal="left" vertical="center" wrapText="1"/>
    </xf>
    <xf numFmtId="170" fontId="6" fillId="0" borderId="0" xfId="1" applyNumberFormat="1" applyFont="1" applyBorder="1" applyAlignment="1" applyProtection="1">
      <alignment horizontal="center" vertical="center" wrapText="1"/>
    </xf>
    <xf numFmtId="0" fontId="6" fillId="5" borderId="0" xfId="0" applyFont="1" applyFill="1" applyAlignment="1">
      <alignment horizontal="center" vertical="center" wrapText="1"/>
    </xf>
    <xf numFmtId="2" fontId="6" fillId="5" borderId="0" xfId="0" applyNumberFormat="1" applyFont="1" applyFill="1" applyAlignment="1">
      <alignment horizontal="center" vertical="center" wrapText="1"/>
    </xf>
    <xf numFmtId="2" fontId="6" fillId="5" borderId="0" xfId="0" applyNumberFormat="1" applyFont="1" applyFill="1" applyAlignment="1">
      <alignment horizontal="left" vertical="center" wrapText="1"/>
    </xf>
    <xf numFmtId="170" fontId="6" fillId="5" borderId="0" xfId="1" applyNumberFormat="1" applyFont="1" applyFill="1" applyBorder="1" applyAlignment="1" applyProtection="1">
      <alignment horizontal="center" vertical="center" wrapText="1"/>
    </xf>
    <xf numFmtId="9" fontId="6" fillId="5" borderId="0" xfId="1" applyNumberFormat="1" applyFont="1" applyFill="1" applyBorder="1" applyAlignment="1" applyProtection="1">
      <alignment horizontal="center" vertical="center" wrapText="1"/>
    </xf>
    <xf numFmtId="0" fontId="6" fillId="0" borderId="11" xfId="0" applyFont="1" applyBorder="1" applyAlignment="1">
      <alignment horizontal="center" vertical="center"/>
    </xf>
    <xf numFmtId="0" fontId="6" fillId="0" borderId="0" xfId="0" applyFont="1" applyAlignment="1">
      <alignment horizontal="center" vertical="center"/>
    </xf>
    <xf numFmtId="0" fontId="54" fillId="0" borderId="0" xfId="0" applyFont="1" applyAlignment="1">
      <alignment horizontal="left" vertical="top" wrapText="1"/>
    </xf>
    <xf numFmtId="0" fontId="6" fillId="5" borderId="0" xfId="0" applyFont="1" applyFill="1" applyAlignment="1">
      <alignment vertical="center"/>
    </xf>
    <xf numFmtId="166" fontId="51" fillId="5" borderId="6" xfId="0" applyNumberFormat="1" applyFont="1" applyFill="1" applyBorder="1" applyAlignment="1">
      <alignment horizontal="center"/>
    </xf>
    <xf numFmtId="0" fontId="51" fillId="5" borderId="6" xfId="0" applyFont="1" applyFill="1" applyBorder="1" applyAlignment="1">
      <alignment horizontal="left" wrapText="1"/>
    </xf>
    <xf numFmtId="1" fontId="51" fillId="5" borderId="6" xfId="0" applyNumberFormat="1" applyFont="1" applyFill="1" applyBorder="1" applyAlignment="1">
      <alignment horizontal="center"/>
    </xf>
    <xf numFmtId="0" fontId="51" fillId="5" borderId="6" xfId="0" applyFont="1" applyFill="1" applyBorder="1" applyAlignment="1">
      <alignment horizontal="left"/>
    </xf>
    <xf numFmtId="5" fontId="51" fillId="5" borderId="6" xfId="1" applyNumberFormat="1" applyFont="1" applyFill="1" applyBorder="1" applyProtection="1"/>
    <xf numFmtId="166" fontId="49" fillId="5" borderId="15" xfId="0" applyNumberFormat="1" applyFont="1" applyFill="1" applyBorder="1"/>
    <xf numFmtId="5" fontId="6" fillId="5" borderId="0" xfId="1" applyNumberFormat="1" applyFont="1" applyFill="1" applyBorder="1" applyAlignment="1" applyProtection="1">
      <alignment vertical="center"/>
    </xf>
    <xf numFmtId="0" fontId="28" fillId="5" borderId="6" xfId="0" applyFont="1" applyFill="1" applyBorder="1"/>
    <xf numFmtId="0" fontId="28" fillId="5" borderId="6" xfId="0" applyFont="1" applyFill="1" applyBorder="1" applyAlignment="1">
      <alignment horizontal="left"/>
    </xf>
    <xf numFmtId="5" fontId="36" fillId="0" borderId="0" xfId="1" applyNumberFormat="1" applyFont="1" applyBorder="1" applyAlignment="1" applyProtection="1">
      <alignment horizontal="center" vertical="center" wrapText="1"/>
    </xf>
    <xf numFmtId="0" fontId="14" fillId="7" borderId="0" xfId="0" applyFont="1" applyFill="1" applyProtection="1">
      <protection hidden="1"/>
    </xf>
    <xf numFmtId="15" fontId="14" fillId="7" borderId="0" xfId="0" applyNumberFormat="1" applyFont="1" applyFill="1" applyAlignment="1" applyProtection="1">
      <alignment horizontal="center"/>
      <protection hidden="1"/>
    </xf>
    <xf numFmtId="0" fontId="16" fillId="7" borderId="0" xfId="0" applyFont="1" applyFill="1" applyAlignment="1" applyProtection="1">
      <alignment vertical="top"/>
      <protection hidden="1"/>
    </xf>
    <xf numFmtId="0" fontId="14" fillId="7" borderId="0" xfId="0" applyFont="1" applyFill="1" applyAlignment="1" applyProtection="1">
      <alignment vertical="top"/>
      <protection hidden="1"/>
    </xf>
    <xf numFmtId="0" fontId="14" fillId="7" borderId="0" xfId="0" applyFont="1" applyFill="1" applyAlignment="1" applyProtection="1">
      <alignment horizontal="center" vertical="top"/>
      <protection hidden="1"/>
    </xf>
    <xf numFmtId="0" fontId="14" fillId="19" borderId="0" xfId="0" applyFont="1" applyFill="1" applyProtection="1">
      <protection hidden="1"/>
    </xf>
    <xf numFmtId="0" fontId="14" fillId="5" borderId="0" xfId="0" applyFont="1" applyFill="1" applyProtection="1">
      <protection hidden="1"/>
    </xf>
    <xf numFmtId="168" fontId="80" fillId="0" borderId="116" xfId="1" applyNumberFormat="1" applyFont="1" applyBorder="1" applyAlignment="1" applyProtection="1">
      <alignment horizontal="left" vertical="center" indent="1"/>
      <protection hidden="1"/>
    </xf>
    <xf numFmtId="0" fontId="81" fillId="0" borderId="117" xfId="0" applyFont="1" applyBorder="1" applyAlignment="1" applyProtection="1">
      <alignment horizontal="center" vertical="center"/>
      <protection hidden="1"/>
    </xf>
    <xf numFmtId="0" fontId="81" fillId="0" borderId="118" xfId="0" applyFont="1" applyBorder="1" applyAlignment="1" applyProtection="1">
      <alignment horizontal="left" vertical="center" indent="1"/>
      <protection hidden="1"/>
    </xf>
    <xf numFmtId="0" fontId="81" fillId="0" borderId="119" xfId="0" applyFont="1" applyBorder="1" applyAlignment="1" applyProtection="1">
      <alignment horizontal="left" vertical="center" indent="1"/>
      <protection hidden="1"/>
    </xf>
    <xf numFmtId="0" fontId="6" fillId="19" borderId="0" xfId="0" applyFont="1" applyFill="1" applyProtection="1">
      <protection hidden="1"/>
    </xf>
    <xf numFmtId="0" fontId="6" fillId="5" borderId="0" xfId="0" applyFont="1" applyFill="1" applyProtection="1">
      <protection hidden="1"/>
    </xf>
    <xf numFmtId="168" fontId="80" fillId="0" borderId="120" xfId="1" applyNumberFormat="1" applyFont="1" applyBorder="1" applyAlignment="1" applyProtection="1">
      <alignment horizontal="left" vertical="center" indent="1"/>
      <protection hidden="1"/>
    </xf>
    <xf numFmtId="0" fontId="81" fillId="0" borderId="121" xfId="0" applyFont="1" applyBorder="1" applyAlignment="1" applyProtection="1">
      <alignment horizontal="center" vertical="center"/>
      <protection hidden="1"/>
    </xf>
    <xf numFmtId="0" fontId="81" fillId="0" borderId="122" xfId="0" applyFont="1" applyBorder="1" applyAlignment="1" applyProtection="1">
      <alignment horizontal="left" vertical="center" indent="1"/>
      <protection hidden="1"/>
    </xf>
    <xf numFmtId="0" fontId="81" fillId="0" borderId="123" xfId="0" applyFont="1" applyBorder="1" applyAlignment="1" applyProtection="1">
      <alignment horizontal="left" vertical="center" indent="1"/>
      <protection hidden="1"/>
    </xf>
    <xf numFmtId="0" fontId="6" fillId="19" borderId="0" xfId="0" applyFont="1" applyFill="1" applyAlignment="1" applyProtection="1">
      <alignment horizontal="center"/>
      <protection hidden="1"/>
    </xf>
    <xf numFmtId="0" fontId="6" fillId="5" borderId="0" xfId="0" applyFont="1" applyFill="1" applyAlignment="1" applyProtection="1">
      <alignment horizontal="center"/>
      <protection hidden="1"/>
    </xf>
    <xf numFmtId="0" fontId="80" fillId="0" borderId="123" xfId="0" applyFont="1" applyBorder="1" applyAlignment="1" applyProtection="1">
      <alignment horizontal="left" vertical="center" indent="1"/>
      <protection hidden="1"/>
    </xf>
    <xf numFmtId="168" fontId="80" fillId="0" borderId="124" xfId="1" applyNumberFormat="1" applyFont="1" applyBorder="1" applyAlignment="1" applyProtection="1">
      <alignment horizontal="left" vertical="center" indent="1"/>
      <protection hidden="1"/>
    </xf>
    <xf numFmtId="0" fontId="81" fillId="0" borderId="125" xfId="0" applyFont="1" applyBorder="1" applyAlignment="1" applyProtection="1">
      <alignment horizontal="center" vertical="center"/>
      <protection hidden="1"/>
    </xf>
    <xf numFmtId="0" fontId="81" fillId="0" borderId="126" xfId="0" applyFont="1" applyBorder="1" applyAlignment="1" applyProtection="1">
      <alignment horizontal="left" vertical="center" indent="1"/>
      <protection hidden="1"/>
    </xf>
    <xf numFmtId="0" fontId="80" fillId="0" borderId="127" xfId="0" applyFont="1" applyBorder="1" applyAlignment="1" applyProtection="1">
      <alignment horizontal="left" vertical="center" indent="1"/>
      <protection hidden="1"/>
    </xf>
    <xf numFmtId="0" fontId="80" fillId="0" borderId="119" xfId="0" applyFont="1" applyBorder="1" applyAlignment="1" applyProtection="1">
      <alignment horizontal="left" vertical="center" indent="1"/>
      <protection hidden="1"/>
    </xf>
    <xf numFmtId="168" fontId="80" fillId="0" borderId="128" xfId="1" applyNumberFormat="1" applyFont="1" applyBorder="1" applyAlignment="1" applyProtection="1">
      <alignment horizontal="left" vertical="center" indent="1"/>
      <protection hidden="1"/>
    </xf>
    <xf numFmtId="0" fontId="81" fillId="0" borderId="129" xfId="0" applyFont="1" applyBorder="1" applyAlignment="1" applyProtection="1">
      <alignment horizontal="center" vertical="center"/>
      <protection hidden="1"/>
    </xf>
    <xf numFmtId="0" fontId="81" fillId="0" borderId="130" xfId="0" applyFont="1" applyBorder="1" applyAlignment="1" applyProtection="1">
      <alignment horizontal="left" vertical="center" indent="1"/>
      <protection hidden="1"/>
    </xf>
    <xf numFmtId="0" fontId="80" fillId="0" borderId="131" xfId="0" applyFont="1" applyBorder="1" applyAlignment="1" applyProtection="1">
      <alignment horizontal="left" vertical="center" indent="1"/>
      <protection hidden="1"/>
    </xf>
    <xf numFmtId="168" fontId="80" fillId="0" borderId="132" xfId="1" applyNumberFormat="1" applyFont="1" applyBorder="1" applyAlignment="1" applyProtection="1">
      <alignment horizontal="left" vertical="center" indent="1"/>
      <protection hidden="1"/>
    </xf>
    <xf numFmtId="0" fontId="81" fillId="0" borderId="133" xfId="0" applyFont="1" applyBorder="1" applyAlignment="1" applyProtection="1">
      <alignment horizontal="center" vertical="center"/>
      <protection hidden="1"/>
    </xf>
    <xf numFmtId="0" fontId="81" fillId="0" borderId="134" xfId="0" applyFont="1" applyBorder="1" applyAlignment="1" applyProtection="1">
      <alignment horizontal="left" vertical="center" indent="1"/>
      <protection hidden="1"/>
    </xf>
    <xf numFmtId="0" fontId="80" fillId="0" borderId="135" xfId="0" applyFont="1" applyBorder="1" applyAlignment="1" applyProtection="1">
      <alignment horizontal="left" vertical="center" indent="1"/>
      <protection hidden="1"/>
    </xf>
    <xf numFmtId="168" fontId="80" fillId="0" borderId="116" xfId="1" applyNumberFormat="1" applyFont="1" applyFill="1" applyBorder="1" applyAlignment="1" applyProtection="1">
      <alignment horizontal="left" vertical="center" indent="1"/>
      <protection hidden="1"/>
    </xf>
    <xf numFmtId="0" fontId="81" fillId="0" borderId="136" xfId="0" applyFont="1" applyBorder="1" applyAlignment="1" applyProtection="1">
      <alignment horizontal="center" vertical="center"/>
      <protection hidden="1"/>
    </xf>
    <xf numFmtId="0" fontId="81" fillId="0" borderId="137" xfId="0" applyFont="1" applyBorder="1" applyAlignment="1" applyProtection="1">
      <alignment horizontal="left" vertical="center" indent="1"/>
      <protection hidden="1"/>
    </xf>
    <xf numFmtId="0" fontId="81" fillId="0" borderId="138" xfId="0" applyFont="1" applyBorder="1" applyAlignment="1" applyProtection="1">
      <alignment horizontal="left" vertical="center" indent="1"/>
      <protection hidden="1"/>
    </xf>
    <xf numFmtId="0" fontId="81" fillId="0" borderId="117" xfId="0" applyFont="1" applyBorder="1" applyAlignment="1" applyProtection="1">
      <alignment horizontal="center" vertical="center" wrapText="1"/>
      <protection hidden="1"/>
    </xf>
    <xf numFmtId="0" fontId="81" fillId="0" borderId="118" xfId="0" applyFont="1" applyBorder="1" applyAlignment="1" applyProtection="1">
      <alignment horizontal="left" vertical="center" wrapText="1" indent="1"/>
      <protection hidden="1"/>
    </xf>
    <xf numFmtId="0" fontId="81" fillId="0" borderId="125" xfId="0" applyFont="1" applyBorder="1" applyAlignment="1" applyProtection="1">
      <alignment horizontal="center" vertical="center" wrapText="1"/>
      <protection hidden="1"/>
    </xf>
    <xf numFmtId="0" fontId="81" fillId="0" borderId="126" xfId="0" applyFont="1" applyBorder="1" applyAlignment="1" applyProtection="1">
      <alignment horizontal="left" vertical="center" wrapText="1" indent="1"/>
      <protection hidden="1"/>
    </xf>
    <xf numFmtId="0" fontId="81" fillId="0" borderId="121" xfId="0" applyFont="1" applyBorder="1" applyAlignment="1" applyProtection="1">
      <alignment horizontal="center" vertical="center" wrapText="1"/>
      <protection hidden="1"/>
    </xf>
    <xf numFmtId="0" fontId="81" fillId="0" borderId="122" xfId="0" applyFont="1" applyBorder="1" applyAlignment="1" applyProtection="1">
      <alignment horizontal="left" vertical="center" wrapText="1" indent="1"/>
      <protection hidden="1"/>
    </xf>
    <xf numFmtId="0" fontId="80" fillId="0" borderId="139" xfId="0" applyFont="1" applyBorder="1" applyAlignment="1" applyProtection="1">
      <alignment horizontal="left" vertical="center" indent="1"/>
      <protection hidden="1"/>
    </xf>
    <xf numFmtId="0" fontId="81" fillId="0" borderId="140" xfId="0" applyFont="1" applyBorder="1" applyAlignment="1" applyProtection="1">
      <alignment horizontal="center" vertical="center"/>
      <protection hidden="1"/>
    </xf>
    <xf numFmtId="168" fontId="80" fillId="20" borderId="120" xfId="1" applyNumberFormat="1" applyFont="1" applyFill="1" applyBorder="1" applyAlignment="1" applyProtection="1">
      <alignment horizontal="left" vertical="center" indent="1"/>
      <protection hidden="1"/>
    </xf>
    <xf numFmtId="0" fontId="81" fillId="20" borderId="122" xfId="0" applyFont="1" applyFill="1" applyBorder="1" applyAlignment="1" applyProtection="1">
      <alignment horizontal="left" vertical="center" indent="1"/>
      <protection hidden="1"/>
    </xf>
    <xf numFmtId="0" fontId="80" fillId="20" borderId="123" xfId="0" applyFont="1" applyFill="1" applyBorder="1" applyAlignment="1" applyProtection="1">
      <alignment horizontal="left" vertical="center" indent="1"/>
      <protection hidden="1"/>
    </xf>
    <xf numFmtId="168" fontId="80" fillId="20" borderId="128" xfId="1" applyNumberFormat="1" applyFont="1" applyFill="1" applyBorder="1" applyAlignment="1" applyProtection="1">
      <alignment horizontal="left" vertical="center" indent="1"/>
      <protection hidden="1"/>
    </xf>
    <xf numFmtId="0" fontId="81" fillId="20" borderId="130" xfId="0" applyFont="1" applyFill="1" applyBorder="1" applyAlignment="1" applyProtection="1">
      <alignment horizontal="left" vertical="center" indent="1"/>
      <protection hidden="1"/>
    </xf>
    <xf numFmtId="0" fontId="82" fillId="20" borderId="123" xfId="0" applyFont="1" applyFill="1" applyBorder="1" applyAlignment="1" applyProtection="1">
      <alignment horizontal="left" indent="1"/>
      <protection hidden="1"/>
    </xf>
    <xf numFmtId="0" fontId="80" fillId="20" borderId="139" xfId="0" applyFont="1" applyFill="1" applyBorder="1" applyAlignment="1" applyProtection="1">
      <alignment horizontal="left" vertical="center" indent="1"/>
      <protection hidden="1"/>
    </xf>
    <xf numFmtId="0" fontId="81" fillId="0" borderId="126" xfId="0" applyFont="1" applyBorder="1" applyAlignment="1" applyProtection="1">
      <alignment horizontal="center" vertical="center"/>
      <protection hidden="1"/>
    </xf>
    <xf numFmtId="0" fontId="81" fillId="0" borderId="141" xfId="0" applyFont="1" applyBorder="1" applyAlignment="1" applyProtection="1">
      <alignment horizontal="center" vertical="center"/>
      <protection hidden="1"/>
    </xf>
    <xf numFmtId="0" fontId="81" fillId="5" borderId="122" xfId="0" applyFont="1" applyFill="1" applyBorder="1" applyAlignment="1" applyProtection="1">
      <alignment horizontal="left" vertical="center" indent="1"/>
      <protection hidden="1"/>
    </xf>
    <xf numFmtId="168" fontId="80" fillId="0" borderId="142" xfId="1" applyNumberFormat="1" applyFont="1" applyBorder="1" applyAlignment="1" applyProtection="1">
      <alignment horizontal="left" vertical="center" indent="1"/>
      <protection hidden="1"/>
    </xf>
    <xf numFmtId="0" fontId="81" fillId="0" borderId="141" xfId="0" applyFont="1" applyBorder="1" applyAlignment="1" applyProtection="1">
      <alignment horizontal="left" vertical="center" indent="1"/>
      <protection hidden="1"/>
    </xf>
    <xf numFmtId="0" fontId="80" fillId="0" borderId="143" xfId="0" applyFont="1" applyBorder="1" applyAlignment="1" applyProtection="1">
      <alignment horizontal="left" vertical="center" indent="1"/>
      <protection hidden="1"/>
    </xf>
    <xf numFmtId="0" fontId="80" fillId="0" borderId="127" xfId="0" applyFont="1" applyBorder="1" applyAlignment="1" applyProtection="1">
      <alignment horizontal="left" vertical="center" wrapText="1" indent="1"/>
      <protection hidden="1"/>
    </xf>
    <xf numFmtId="0" fontId="83" fillId="14" borderId="144" xfId="0" applyFont="1" applyFill="1" applyBorder="1" applyAlignment="1" applyProtection="1">
      <alignment horizontal="left" vertical="center" wrapText="1" indent="1"/>
      <protection hidden="1"/>
    </xf>
    <xf numFmtId="0" fontId="83" fillId="14" borderId="145" xfId="0" applyFont="1" applyFill="1" applyBorder="1" applyAlignment="1" applyProtection="1">
      <alignment horizontal="left" vertical="center" wrapText="1" indent="1"/>
      <protection hidden="1"/>
    </xf>
    <xf numFmtId="0" fontId="83" fillId="14" borderId="146" xfId="0" applyFont="1" applyFill="1" applyBorder="1" applyAlignment="1" applyProtection="1">
      <alignment horizontal="left" vertical="center" indent="1"/>
      <protection hidden="1"/>
    </xf>
    <xf numFmtId="0" fontId="83" fillId="14" borderId="147" xfId="0" applyFont="1" applyFill="1" applyBorder="1" applyAlignment="1" applyProtection="1">
      <alignment horizontal="left" vertical="center" indent="1"/>
      <protection hidden="1"/>
    </xf>
    <xf numFmtId="0" fontId="81" fillId="0" borderId="117" xfId="0" applyFont="1" applyBorder="1" applyAlignment="1" applyProtection="1">
      <alignment horizontal="left" vertical="center" indent="1"/>
      <protection hidden="1"/>
    </xf>
    <xf numFmtId="168" fontId="80" fillId="0" borderId="142" xfId="1" applyNumberFormat="1" applyFont="1" applyFill="1" applyBorder="1" applyAlignment="1" applyProtection="1">
      <alignment horizontal="left" vertical="center" indent="1"/>
      <protection hidden="1"/>
    </xf>
    <xf numFmtId="0" fontId="81" fillId="0" borderId="140" xfId="0" applyFont="1" applyBorder="1" applyAlignment="1" applyProtection="1">
      <alignment horizontal="left" vertical="center" indent="1"/>
      <protection hidden="1"/>
    </xf>
    <xf numFmtId="0" fontId="84" fillId="7" borderId="0" xfId="0" applyFont="1" applyFill="1" applyAlignment="1" applyProtection="1">
      <alignment wrapText="1"/>
      <protection hidden="1"/>
    </xf>
    <xf numFmtId="0" fontId="84" fillId="19" borderId="0" xfId="0" applyFont="1" applyFill="1" applyProtection="1">
      <protection hidden="1"/>
    </xf>
    <xf numFmtId="0" fontId="76" fillId="19" borderId="0" xfId="0" applyFont="1" applyFill="1" applyAlignment="1" applyProtection="1">
      <alignment horizontal="center"/>
      <protection hidden="1"/>
    </xf>
    <xf numFmtId="0" fontId="76" fillId="5" borderId="0" xfId="0" applyFont="1" applyFill="1" applyAlignment="1" applyProtection="1">
      <alignment horizontal="center"/>
      <protection hidden="1"/>
    </xf>
    <xf numFmtId="0" fontId="84" fillId="5" borderId="0" xfId="0" applyFont="1" applyFill="1" applyAlignment="1" applyProtection="1">
      <alignment wrapText="1"/>
      <protection hidden="1"/>
    </xf>
    <xf numFmtId="0" fontId="84" fillId="19" borderId="0" xfId="0" applyFont="1" applyFill="1" applyAlignment="1" applyProtection="1">
      <alignment wrapText="1"/>
      <protection hidden="1"/>
    </xf>
    <xf numFmtId="0" fontId="14" fillId="7" borderId="0" xfId="0" applyFont="1" applyFill="1" applyAlignment="1" applyProtection="1">
      <alignment wrapText="1"/>
      <protection hidden="1"/>
    </xf>
    <xf numFmtId="168" fontId="80" fillId="0" borderId="120" xfId="1" applyNumberFormat="1" applyFont="1" applyFill="1" applyBorder="1" applyAlignment="1" applyProtection="1">
      <alignment horizontal="left" vertical="center" indent="1"/>
      <protection hidden="1"/>
    </xf>
    <xf numFmtId="0" fontId="81" fillId="0" borderId="121" xfId="0" applyFont="1" applyBorder="1" applyAlignment="1" applyProtection="1">
      <alignment horizontal="left" vertical="center" indent="1"/>
      <protection hidden="1"/>
    </xf>
    <xf numFmtId="0" fontId="14" fillId="5" borderId="0" xfId="0" applyFont="1" applyFill="1" applyAlignment="1" applyProtection="1">
      <alignment wrapText="1"/>
      <protection hidden="1"/>
    </xf>
    <xf numFmtId="0" fontId="14" fillId="19" borderId="0" xfId="0" applyFont="1" applyFill="1" applyAlignment="1" applyProtection="1">
      <alignment wrapText="1"/>
      <protection hidden="1"/>
    </xf>
    <xf numFmtId="0" fontId="81" fillId="0" borderId="129" xfId="0" applyFont="1" applyBorder="1" applyAlignment="1" applyProtection="1">
      <alignment horizontal="left" vertical="center" indent="1"/>
      <protection hidden="1"/>
    </xf>
    <xf numFmtId="0" fontId="81" fillId="0" borderId="125" xfId="0" applyFont="1" applyBorder="1" applyAlignment="1" applyProtection="1">
      <alignment horizontal="left" vertical="center" indent="1"/>
      <protection hidden="1"/>
    </xf>
    <xf numFmtId="0" fontId="84" fillId="7" borderId="0" xfId="0" applyFont="1" applyFill="1" applyProtection="1">
      <protection hidden="1"/>
    </xf>
    <xf numFmtId="0" fontId="83" fillId="14" borderId="145" xfId="0" applyFont="1" applyFill="1" applyBorder="1" applyAlignment="1" applyProtection="1">
      <alignment horizontal="left" vertical="center" indent="1"/>
      <protection hidden="1"/>
    </xf>
    <xf numFmtId="0" fontId="84" fillId="5" borderId="0" xfId="0" applyFont="1" applyFill="1" applyProtection="1">
      <protection hidden="1"/>
    </xf>
    <xf numFmtId="0" fontId="46" fillId="0" borderId="149" xfId="0" applyFont="1" applyBorder="1" applyAlignment="1" applyProtection="1">
      <alignment horizontal="left" vertical="center"/>
      <protection hidden="1"/>
    </xf>
    <xf numFmtId="0" fontId="87" fillId="0" borderId="0" xfId="0" applyFont="1" applyAlignment="1" applyProtection="1">
      <alignment vertical="center"/>
      <protection hidden="1"/>
    </xf>
    <xf numFmtId="15" fontId="14" fillId="19" borderId="0" xfId="0" applyNumberFormat="1" applyFont="1" applyFill="1" applyAlignment="1" applyProtection="1">
      <alignment horizontal="center"/>
      <protection hidden="1"/>
    </xf>
    <xf numFmtId="15" fontId="14" fillId="5" borderId="0" xfId="0" applyNumberFormat="1" applyFont="1" applyFill="1" applyAlignment="1" applyProtection="1">
      <alignment horizontal="center"/>
      <protection hidden="1"/>
    </xf>
    <xf numFmtId="0" fontId="16" fillId="5" borderId="0" xfId="0" applyFont="1" applyFill="1" applyAlignment="1" applyProtection="1">
      <alignment vertical="top"/>
      <protection hidden="1"/>
    </xf>
    <xf numFmtId="0" fontId="14" fillId="5" borderId="0" xfId="0" applyFont="1" applyFill="1" applyAlignment="1" applyProtection="1">
      <alignment vertical="top"/>
      <protection hidden="1"/>
    </xf>
    <xf numFmtId="0" fontId="16" fillId="19" borderId="0" xfId="0" applyFont="1" applyFill="1" applyAlignment="1" applyProtection="1">
      <alignment vertical="top"/>
      <protection hidden="1"/>
    </xf>
    <xf numFmtId="0" fontId="14" fillId="19" borderId="0" xfId="0" applyFont="1" applyFill="1" applyAlignment="1" applyProtection="1">
      <alignment vertical="top"/>
      <protection hidden="1"/>
    </xf>
    <xf numFmtId="0" fontId="14" fillId="19" borderId="0" xfId="0" applyFont="1" applyFill="1" applyAlignment="1" applyProtection="1">
      <alignment horizontal="center" vertical="top"/>
      <protection hidden="1"/>
    </xf>
    <xf numFmtId="0" fontId="6" fillId="17" borderId="97" xfId="17" applyFont="1" applyFill="1" applyBorder="1" applyAlignment="1" applyProtection="1">
      <alignment horizontal="left" vertical="top" wrapText="1"/>
      <protection hidden="1"/>
    </xf>
    <xf numFmtId="0" fontId="6" fillId="0" borderId="0" xfId="18" applyFont="1" applyAlignment="1" applyProtection="1">
      <alignment horizontal="left" vertical="center" wrapText="1"/>
      <protection hidden="1"/>
    </xf>
    <xf numFmtId="0" fontId="37" fillId="16" borderId="97" xfId="17" applyFont="1" applyFill="1" applyBorder="1" applyAlignment="1" applyProtection="1">
      <alignment horizontal="left" vertical="top" wrapText="1"/>
      <protection hidden="1"/>
    </xf>
    <xf numFmtId="0" fontId="6" fillId="14" borderId="97" xfId="17" applyFont="1" applyFill="1" applyBorder="1" applyAlignment="1" applyProtection="1">
      <alignment horizontal="left" vertical="top" wrapText="1"/>
      <protection hidden="1"/>
    </xf>
    <xf numFmtId="0" fontId="34" fillId="0" borderId="30" xfId="17" applyFont="1" applyBorder="1" applyAlignment="1" applyProtection="1">
      <alignment horizontal="center" vertical="center" wrapText="1"/>
      <protection locked="0"/>
    </xf>
    <xf numFmtId="0" fontId="30" fillId="21" borderId="150" xfId="20" applyFont="1" applyFill="1" applyBorder="1"/>
    <xf numFmtId="0" fontId="88" fillId="21" borderId="150" xfId="20" applyFont="1" applyFill="1" applyBorder="1" applyAlignment="1">
      <alignment vertical="center"/>
    </xf>
    <xf numFmtId="0" fontId="17" fillId="22" borderId="88" xfId="20" applyFont="1" applyFill="1" applyBorder="1"/>
    <xf numFmtId="0" fontId="17" fillId="0" borderId="88" xfId="20" applyFont="1" applyBorder="1"/>
    <xf numFmtId="0" fontId="17" fillId="0" borderId="151" xfId="20" applyFont="1" applyBorder="1" applyAlignment="1">
      <alignment vertical="top" wrapText="1"/>
    </xf>
    <xf numFmtId="0" fontId="20" fillId="0" borderId="151" xfId="20" applyFont="1" applyBorder="1" applyAlignment="1">
      <alignment vertical="top" wrapText="1"/>
    </xf>
    <xf numFmtId="0" fontId="34" fillId="0" borderId="1" xfId="17" applyFont="1" applyBorder="1" applyAlignment="1" applyProtection="1">
      <alignment horizontal="center" vertical="center" wrapText="1"/>
      <protection locked="0"/>
    </xf>
    <xf numFmtId="0" fontId="34" fillId="0" borderId="34" xfId="17" applyFont="1" applyBorder="1" applyAlignment="1" applyProtection="1">
      <alignment horizontal="center" vertical="center" wrapText="1"/>
      <protection locked="0"/>
    </xf>
    <xf numFmtId="0" fontId="6" fillId="0" borderId="83" xfId="18" applyFont="1" applyBorder="1" applyAlignment="1" applyProtection="1">
      <alignment vertical="top" wrapText="1"/>
      <protection hidden="1"/>
    </xf>
    <xf numFmtId="0" fontId="21" fillId="23" borderId="13" xfId="0" applyFont="1" applyFill="1" applyBorder="1" applyAlignment="1">
      <alignment horizontal="center" vertical="center"/>
    </xf>
    <xf numFmtId="0" fontId="14" fillId="3" borderId="0" xfId="0" applyFont="1" applyFill="1"/>
    <xf numFmtId="169" fontId="17" fillId="24" borderId="152" xfId="0" applyNumberFormat="1" applyFont="1" applyFill="1" applyBorder="1" applyAlignment="1">
      <alignment horizontal="center" vertical="center"/>
    </xf>
    <xf numFmtId="169" fontId="17" fillId="24" borderId="28" xfId="0" applyNumberFormat="1" applyFont="1" applyFill="1" applyBorder="1" applyAlignment="1">
      <alignment horizontal="center" vertical="center"/>
    </xf>
    <xf numFmtId="0" fontId="17" fillId="24" borderId="28" xfId="0" applyFont="1" applyFill="1" applyBorder="1" applyAlignment="1">
      <alignment horizontal="center" vertical="center"/>
    </xf>
    <xf numFmtId="169" fontId="18" fillId="24" borderId="28" xfId="4" applyNumberFormat="1" applyFont="1" applyFill="1" applyBorder="1" applyAlignment="1">
      <alignment horizontal="center" vertical="center"/>
    </xf>
    <xf numFmtId="173" fontId="18" fillId="24" borderId="29" xfId="4" applyNumberFormat="1" applyFont="1" applyFill="1" applyBorder="1" applyAlignment="1">
      <alignment horizontal="center" vertical="center"/>
    </xf>
    <xf numFmtId="165" fontId="6" fillId="5" borderId="1" xfId="1" applyNumberFormat="1" applyFont="1" applyFill="1" applyBorder="1" applyAlignment="1" applyProtection="1">
      <alignment vertical="center" wrapText="1"/>
      <protection hidden="1"/>
    </xf>
    <xf numFmtId="0" fontId="87" fillId="0" borderId="0" xfId="0" applyFont="1" applyAlignment="1" applyProtection="1">
      <alignment horizontal="left" vertical="center" wrapText="1"/>
      <protection hidden="1"/>
    </xf>
    <xf numFmtId="0" fontId="87" fillId="0" borderId="149" xfId="0" applyFont="1" applyBorder="1" applyAlignment="1" applyProtection="1">
      <alignment horizontal="left" vertical="center" wrapText="1"/>
      <protection hidden="1"/>
    </xf>
    <xf numFmtId="0" fontId="46" fillId="5" borderId="14" xfId="0" applyFont="1" applyFill="1" applyBorder="1" applyAlignment="1">
      <alignment vertical="center"/>
    </xf>
    <xf numFmtId="0" fontId="34" fillId="14" borderId="5" xfId="0" applyFont="1" applyFill="1" applyBorder="1" applyAlignment="1">
      <alignment vertical="center" wrapText="1"/>
    </xf>
    <xf numFmtId="0" fontId="66" fillId="14" borderId="10" xfId="0" applyFont="1" applyFill="1" applyBorder="1" applyAlignment="1">
      <alignment horizontal="center" vertical="center"/>
    </xf>
    <xf numFmtId="0" fontId="37" fillId="14" borderId="7" xfId="0" applyFont="1" applyFill="1" applyBorder="1" applyAlignment="1">
      <alignment vertical="center"/>
    </xf>
    <xf numFmtId="166" fontId="6" fillId="0" borderId="12" xfId="0" applyNumberFormat="1" applyFont="1" applyBorder="1" applyAlignment="1" applyProtection="1">
      <alignment horizontal="center" vertical="center" wrapText="1"/>
      <protection locked="0"/>
    </xf>
    <xf numFmtId="166" fontId="51" fillId="5" borderId="0" xfId="0" applyNumberFormat="1" applyFont="1" applyFill="1" applyAlignment="1">
      <alignment horizontal="center"/>
    </xf>
    <xf numFmtId="0" fontId="6" fillId="0" borderId="13" xfId="0" applyFont="1" applyBorder="1" applyAlignment="1">
      <alignment horizontal="center" vertical="center"/>
    </xf>
    <xf numFmtId="0" fontId="37" fillId="14" borderId="13" xfId="0" applyFont="1" applyFill="1" applyBorder="1" applyAlignment="1">
      <alignment horizontal="center" vertical="center"/>
    </xf>
    <xf numFmtId="0" fontId="17" fillId="0" borderId="16" xfId="0" applyFont="1" applyBorder="1" applyAlignment="1">
      <alignment horizontal="center"/>
    </xf>
    <xf numFmtId="166" fontId="17" fillId="0" borderId="2" xfId="0" applyNumberFormat="1" applyFont="1" applyBorder="1" applyAlignment="1">
      <alignment horizontal="center"/>
    </xf>
    <xf numFmtId="0" fontId="17" fillId="0" borderId="2" xfId="0" applyFont="1" applyBorder="1" applyAlignment="1">
      <alignment horizontal="left" wrapText="1"/>
    </xf>
    <xf numFmtId="1" fontId="17" fillId="0" borderId="2" xfId="0" applyNumberFormat="1" applyFont="1" applyBorder="1" applyAlignment="1">
      <alignment horizontal="center"/>
    </xf>
    <xf numFmtId="0" fontId="17" fillId="0" borderId="2" xfId="0" applyFont="1" applyBorder="1" applyAlignment="1">
      <alignment horizontal="left"/>
    </xf>
    <xf numFmtId="5" fontId="17" fillId="0" borderId="2" xfId="1" applyNumberFormat="1" applyFont="1" applyBorder="1" applyProtection="1"/>
    <xf numFmtId="164" fontId="17" fillId="0" borderId="2" xfId="0" applyNumberFormat="1" applyFont="1" applyBorder="1"/>
    <xf numFmtId="0" fontId="17" fillId="0" borderId="2" xfId="0" applyFont="1" applyBorder="1"/>
    <xf numFmtId="0" fontId="17" fillId="0" borderId="2" xfId="0" applyFont="1" applyBorder="1" applyAlignment="1">
      <alignment horizontal="center"/>
    </xf>
    <xf numFmtId="0" fontId="17" fillId="0" borderId="3" xfId="0" applyFont="1" applyBorder="1"/>
    <xf numFmtId="166" fontId="47" fillId="5" borderId="15" xfId="0" applyNumberFormat="1" applyFont="1" applyFill="1" applyBorder="1" applyAlignment="1">
      <alignment horizontal="left" vertical="center"/>
    </xf>
    <xf numFmtId="0" fontId="28" fillId="5" borderId="0" xfId="0" applyFont="1" applyFill="1" applyAlignment="1" applyProtection="1">
      <alignment vertical="center"/>
      <protection hidden="1"/>
    </xf>
    <xf numFmtId="166" fontId="49" fillId="5" borderId="0" xfId="0" applyNumberFormat="1" applyFont="1" applyFill="1" applyAlignment="1">
      <alignment horizontal="left"/>
    </xf>
    <xf numFmtId="166" fontId="46" fillId="5" borderId="0" xfId="0" applyNumberFormat="1" applyFont="1" applyFill="1" applyAlignment="1">
      <alignment horizontal="left"/>
    </xf>
    <xf numFmtId="0" fontId="28" fillId="5" borderId="0" xfId="0" applyFont="1" applyFill="1" applyAlignment="1">
      <alignment horizontal="left"/>
    </xf>
    <xf numFmtId="164" fontId="28" fillId="5" borderId="0" xfId="0" applyNumberFormat="1" applyFont="1" applyFill="1"/>
    <xf numFmtId="0" fontId="48" fillId="5" borderId="0" xfId="0" applyFont="1" applyFill="1" applyAlignment="1">
      <alignment horizontal="center" vertical="center"/>
    </xf>
    <xf numFmtId="0" fontId="6" fillId="0" borderId="0" xfId="0" applyFont="1" applyAlignment="1">
      <alignment vertical="center" wrapText="1"/>
    </xf>
    <xf numFmtId="0" fontId="48" fillId="5" borderId="0" xfId="0" applyFont="1" applyFill="1" applyAlignment="1">
      <alignment horizontal="left" vertical="center" wrapText="1"/>
    </xf>
    <xf numFmtId="0" fontId="28" fillId="5" borderId="0" xfId="0" applyFont="1" applyFill="1"/>
    <xf numFmtId="166" fontId="47" fillId="5" borderId="15" xfId="0" applyNumberFormat="1" applyFont="1" applyFill="1" applyBorder="1" applyAlignment="1">
      <alignment vertical="center"/>
    </xf>
    <xf numFmtId="14" fontId="28" fillId="5" borderId="0" xfId="0" applyNumberFormat="1" applyFont="1" applyFill="1" applyAlignment="1" applyProtection="1">
      <alignment vertical="center"/>
      <protection hidden="1"/>
    </xf>
    <xf numFmtId="166" fontId="46" fillId="5" borderId="0" xfId="0" applyNumberFormat="1" applyFont="1" applyFill="1"/>
    <xf numFmtId="0" fontId="28" fillId="5" borderId="0" xfId="0" applyFont="1" applyFill="1" applyAlignment="1">
      <alignment vertical="center"/>
    </xf>
    <xf numFmtId="0" fontId="28" fillId="5" borderId="0" xfId="0" applyFont="1" applyFill="1" applyAlignment="1">
      <alignment horizontal="left" vertical="center"/>
    </xf>
    <xf numFmtId="166" fontId="49" fillId="5" borderId="0" xfId="0" applyNumberFormat="1" applyFont="1" applyFill="1"/>
    <xf numFmtId="0" fontId="47" fillId="5" borderId="15" xfId="0" applyFont="1" applyFill="1" applyBorder="1" applyAlignment="1">
      <alignment horizontal="left" vertical="center"/>
    </xf>
    <xf numFmtId="0" fontId="51" fillId="5" borderId="15" xfId="0" applyFont="1" applyFill="1" applyBorder="1" applyAlignment="1">
      <alignment horizontal="center"/>
    </xf>
    <xf numFmtId="166" fontId="49" fillId="5" borderId="15" xfId="0" applyNumberFormat="1" applyFont="1" applyFill="1" applyBorder="1" applyAlignment="1">
      <alignment horizontal="left"/>
    </xf>
    <xf numFmtId="0" fontId="36" fillId="0" borderId="0" xfId="0" applyFont="1" applyAlignment="1" applyProtection="1">
      <alignment wrapText="1"/>
      <protection hidden="1"/>
    </xf>
    <xf numFmtId="0" fontId="36" fillId="0" borderId="4" xfId="0" applyFont="1" applyBorder="1" applyAlignment="1" applyProtection="1">
      <alignment wrapText="1"/>
      <protection hidden="1"/>
    </xf>
    <xf numFmtId="0" fontId="35" fillId="0" borderId="5" xfId="0" applyFont="1" applyBorder="1"/>
    <xf numFmtId="0" fontId="90" fillId="16" borderId="154" xfId="0" applyFont="1" applyFill="1" applyBorder="1" applyAlignment="1" applyProtection="1">
      <alignment horizontal="left" vertical="center" wrapText="1"/>
      <protection hidden="1"/>
    </xf>
    <xf numFmtId="43" fontId="17" fillId="0" borderId="39" xfId="1" applyFont="1" applyFill="1" applyBorder="1" applyAlignment="1" applyProtection="1">
      <alignment horizontal="right" vertical="center" wrapText="1" indent="1"/>
      <protection hidden="1"/>
    </xf>
    <xf numFmtId="0" fontId="17" fillId="0" borderId="156" xfId="0" applyFont="1" applyBorder="1" applyAlignment="1">
      <alignment vertical="center"/>
    </xf>
    <xf numFmtId="43" fontId="17" fillId="0" borderId="41" xfId="1" applyFont="1" applyFill="1" applyBorder="1" applyAlignment="1" applyProtection="1">
      <alignment horizontal="right" vertical="center" wrapText="1" indent="1"/>
      <protection hidden="1"/>
    </xf>
    <xf numFmtId="0" fontId="17" fillId="0" borderId="153" xfId="0" applyFont="1" applyBorder="1" applyAlignment="1">
      <alignment vertical="center"/>
    </xf>
    <xf numFmtId="43" fontId="17" fillId="0" borderId="159" xfId="1" applyFont="1" applyFill="1" applyBorder="1" applyAlignment="1" applyProtection="1">
      <alignment horizontal="right" vertical="center" wrapText="1" indent="1"/>
      <protection hidden="1"/>
    </xf>
    <xf numFmtId="0" fontId="17" fillId="0" borderId="160" xfId="0" applyFont="1" applyBorder="1" applyAlignment="1">
      <alignment vertical="center"/>
    </xf>
    <xf numFmtId="0" fontId="90" fillId="16" borderId="154" xfId="0" applyFont="1" applyFill="1" applyBorder="1" applyAlignment="1" applyProtection="1">
      <alignment horizontal="center" vertical="center"/>
      <protection hidden="1"/>
    </xf>
    <xf numFmtId="0" fontId="90" fillId="16" borderId="155" xfId="0" applyFont="1" applyFill="1" applyBorder="1" applyAlignment="1" applyProtection="1">
      <alignment horizontal="center" vertical="center" wrapText="1"/>
      <protection hidden="1"/>
    </xf>
    <xf numFmtId="0" fontId="90" fillId="16" borderId="154" xfId="0" applyFont="1" applyFill="1" applyBorder="1" applyAlignment="1" applyProtection="1">
      <alignment horizontal="center" vertical="center" wrapText="1"/>
      <protection hidden="1"/>
    </xf>
    <xf numFmtId="0" fontId="17" fillId="0" borderId="10" xfId="0" applyFont="1" applyBorder="1"/>
    <xf numFmtId="1" fontId="34" fillId="14" borderId="35" xfId="0" applyNumberFormat="1" applyFont="1" applyFill="1" applyBorder="1" applyAlignment="1">
      <alignment horizontal="center" vertical="center" wrapText="1"/>
    </xf>
    <xf numFmtId="166" fontId="34" fillId="14" borderId="35" xfId="0" applyNumberFormat="1" applyFont="1" applyFill="1" applyBorder="1" applyAlignment="1">
      <alignment horizontal="center" vertical="center" wrapText="1"/>
    </xf>
    <xf numFmtId="0" fontId="34" fillId="14" borderId="111" xfId="0" applyFont="1" applyFill="1" applyBorder="1" applyAlignment="1">
      <alignment horizontal="center" vertical="center" wrapText="1"/>
    </xf>
    <xf numFmtId="170" fontId="17" fillId="0" borderId="0" xfId="0" applyNumberFormat="1" applyFont="1" applyAlignment="1">
      <alignment vertical="center"/>
    </xf>
    <xf numFmtId="43" fontId="17" fillId="0" borderId="0" xfId="0" applyNumberFormat="1" applyFont="1" applyAlignment="1">
      <alignment vertical="center"/>
    </xf>
    <xf numFmtId="0" fontId="90" fillId="16" borderId="162" xfId="0" applyFont="1" applyFill="1" applyBorder="1" applyAlignment="1" applyProtection="1">
      <alignment horizontal="center" vertical="center" wrapText="1"/>
      <protection hidden="1"/>
    </xf>
    <xf numFmtId="170" fontId="17" fillId="0" borderId="163" xfId="0" applyNumberFormat="1" applyFont="1" applyBorder="1" applyAlignment="1">
      <alignment vertical="center"/>
    </xf>
    <xf numFmtId="43" fontId="17" fillId="0" borderId="164" xfId="0" applyNumberFormat="1" applyFont="1" applyBorder="1" applyAlignment="1">
      <alignment vertical="center"/>
    </xf>
    <xf numFmtId="43" fontId="17" fillId="0" borderId="165" xfId="0" applyNumberFormat="1" applyFont="1" applyBorder="1" applyAlignment="1">
      <alignment vertical="center"/>
    </xf>
    <xf numFmtId="0" fontId="90" fillId="16" borderId="157" xfId="0" applyFont="1" applyFill="1" applyBorder="1" applyAlignment="1" applyProtection="1">
      <alignment horizontal="center" vertical="center" wrapText="1"/>
      <protection hidden="1"/>
    </xf>
    <xf numFmtId="174" fontId="17" fillId="0" borderId="158" xfId="0" applyNumberFormat="1" applyFont="1" applyBorder="1" applyAlignment="1">
      <alignment vertical="center"/>
    </xf>
    <xf numFmtId="174" fontId="17" fillId="0" borderId="161" xfId="0" applyNumberFormat="1" applyFont="1" applyBorder="1" applyAlignment="1">
      <alignment vertical="center"/>
    </xf>
    <xf numFmtId="0" fontId="26" fillId="25" borderId="1" xfId="0" applyFont="1" applyFill="1" applyBorder="1" applyAlignment="1" applyProtection="1">
      <alignment vertical="top"/>
      <protection hidden="1"/>
    </xf>
    <xf numFmtId="0" fontId="26" fillId="25" borderId="1" xfId="0" applyFont="1" applyFill="1" applyBorder="1" applyProtection="1">
      <protection hidden="1"/>
    </xf>
    <xf numFmtId="0" fontId="34" fillId="14" borderId="6" xfId="0" applyFont="1" applyFill="1" applyBorder="1" applyAlignment="1">
      <alignment horizontal="left" vertical="center"/>
    </xf>
    <xf numFmtId="0" fontId="77" fillId="0" borderId="0" xfId="0" applyFont="1" applyAlignment="1" applyProtection="1">
      <alignment vertical="top" wrapText="1"/>
      <protection hidden="1"/>
    </xf>
    <xf numFmtId="167" fontId="6" fillId="15" borderId="42" xfId="1" applyNumberFormat="1" applyFont="1" applyFill="1" applyBorder="1" applyAlignment="1" applyProtection="1">
      <alignment horizontal="right" vertical="center" wrapText="1" indent="1"/>
      <protection hidden="1"/>
    </xf>
    <xf numFmtId="49" fontId="38" fillId="0" borderId="53" xfId="8" applyNumberFormat="1" applyFont="1" applyBorder="1" applyAlignment="1" applyProtection="1">
      <alignment horizontal="left" vertical="top" wrapText="1"/>
      <protection locked="0"/>
    </xf>
    <xf numFmtId="49" fontId="40" fillId="0" borderId="54" xfId="8" applyNumberFormat="1" applyFont="1" applyBorder="1" applyAlignment="1" applyProtection="1">
      <alignment horizontal="center" vertical="center" wrapText="1"/>
      <protection locked="0"/>
    </xf>
    <xf numFmtId="49" fontId="38" fillId="0" borderId="19" xfId="8" applyNumberFormat="1" applyFont="1" applyBorder="1" applyAlignment="1" applyProtection="1">
      <alignment horizontal="left" vertical="top" wrapText="1"/>
      <protection locked="0"/>
    </xf>
    <xf numFmtId="49" fontId="38" fillId="0" borderId="22" xfId="8" applyNumberFormat="1" applyFont="1" applyBorder="1" applyAlignment="1" applyProtection="1">
      <alignment horizontal="left" vertical="top" wrapText="1"/>
      <protection locked="0"/>
    </xf>
    <xf numFmtId="0" fontId="34" fillId="14" borderId="13" xfId="0" applyFont="1" applyFill="1" applyBorder="1" applyAlignment="1" applyProtection="1">
      <alignment horizontal="center" vertical="center" wrapText="1"/>
      <protection hidden="1"/>
    </xf>
    <xf numFmtId="0" fontId="53" fillId="15" borderId="168" xfId="0" applyFont="1" applyFill="1" applyBorder="1" applyAlignment="1" applyProtection="1">
      <alignment horizontal="center" vertical="center" wrapText="1"/>
      <protection hidden="1"/>
    </xf>
    <xf numFmtId="0" fontId="53" fillId="15" borderId="169" xfId="0" applyFont="1" applyFill="1" applyBorder="1" applyAlignment="1" applyProtection="1">
      <alignment horizontal="center" vertical="center" wrapText="1"/>
      <protection hidden="1"/>
    </xf>
    <xf numFmtId="0" fontId="92" fillId="0" borderId="20" xfId="0" applyFont="1" applyBorder="1" applyAlignment="1">
      <alignment horizontal="left" vertical="top" wrapText="1"/>
    </xf>
    <xf numFmtId="49" fontId="92" fillId="0" borderId="25" xfId="0" applyNumberFormat="1" applyFont="1" applyBorder="1" applyAlignment="1">
      <alignment horizontal="center" vertical="top" wrapText="1"/>
    </xf>
    <xf numFmtId="0" fontId="92" fillId="0" borderId="20" xfId="0" applyFont="1" applyBorder="1" applyAlignment="1">
      <alignment horizontal="center" vertical="top" wrapText="1"/>
    </xf>
    <xf numFmtId="0" fontId="92" fillId="0" borderId="26" xfId="0" applyFont="1" applyBorder="1" applyAlignment="1">
      <alignment horizontal="left" vertical="top" wrapText="1"/>
    </xf>
    <xf numFmtId="0" fontId="79" fillId="5" borderId="0" xfId="0" applyFont="1" applyFill="1" applyAlignment="1">
      <alignment horizontal="left" vertical="center"/>
    </xf>
    <xf numFmtId="0" fontId="95" fillId="5" borderId="149" xfId="0" applyFont="1" applyFill="1" applyBorder="1"/>
    <xf numFmtId="44" fontId="98" fillId="5" borderId="0" xfId="1" applyNumberFormat="1" applyFont="1" applyFill="1" applyBorder="1" applyAlignment="1" applyProtection="1">
      <alignment horizontal="right" wrapText="1"/>
      <protection hidden="1"/>
    </xf>
    <xf numFmtId="1" fontId="99" fillId="5" borderId="0" xfId="1" applyNumberFormat="1" applyFont="1" applyFill="1" applyBorder="1" applyAlignment="1" applyProtection="1">
      <alignment horizontal="center" vertical="center" wrapText="1"/>
      <protection locked="0" hidden="1"/>
    </xf>
    <xf numFmtId="44" fontId="98" fillId="5" borderId="0" xfId="1" applyNumberFormat="1" applyFont="1" applyFill="1" applyBorder="1" applyAlignment="1" applyProtection="1">
      <alignment horizontal="center" vertical="center" wrapText="1"/>
      <protection hidden="1"/>
    </xf>
    <xf numFmtId="44" fontId="99" fillId="5" borderId="0" xfId="1" applyNumberFormat="1" applyFont="1" applyFill="1" applyBorder="1" applyAlignment="1" applyProtection="1">
      <alignment horizontal="center" vertical="center" wrapText="1"/>
      <protection hidden="1"/>
    </xf>
    <xf numFmtId="0" fontId="99" fillId="5" borderId="1" xfId="1" applyNumberFormat="1" applyFont="1" applyFill="1" applyBorder="1" applyAlignment="1" applyProtection="1">
      <alignment horizontal="center" vertical="center" wrapText="1"/>
      <protection locked="0" hidden="1"/>
    </xf>
    <xf numFmtId="0" fontId="98" fillId="5" borderId="0" xfId="1" applyNumberFormat="1" applyFont="1" applyFill="1" applyBorder="1" applyAlignment="1" applyProtection="1">
      <alignment horizontal="center" vertical="center" wrapText="1"/>
      <protection hidden="1"/>
    </xf>
    <xf numFmtId="0" fontId="106" fillId="14" borderId="27" xfId="0" applyFont="1" applyFill="1" applyBorder="1" applyAlignment="1" applyProtection="1">
      <alignment vertical="center" wrapText="1"/>
      <protection hidden="1"/>
    </xf>
    <xf numFmtId="0" fontId="106" fillId="14" borderId="176" xfId="0" applyFont="1" applyFill="1" applyBorder="1" applyAlignment="1" applyProtection="1">
      <alignment vertical="center" wrapText="1"/>
      <protection hidden="1"/>
    </xf>
    <xf numFmtId="0" fontId="106" fillId="5" borderId="47" xfId="0" applyFont="1" applyFill="1" applyBorder="1" applyAlignment="1" applyProtection="1">
      <alignment vertical="center" wrapText="1"/>
      <protection hidden="1"/>
    </xf>
    <xf numFmtId="44" fontId="106" fillId="5" borderId="47" xfId="0" applyNumberFormat="1" applyFont="1" applyFill="1" applyBorder="1" applyAlignment="1" applyProtection="1">
      <alignment horizontal="right" vertical="center"/>
      <protection hidden="1"/>
    </xf>
    <xf numFmtId="44" fontId="106" fillId="5" borderId="0" xfId="1" applyNumberFormat="1" applyFont="1" applyFill="1" applyBorder="1" applyAlignment="1" applyProtection="1">
      <alignment horizontal="center" vertical="center" wrapText="1"/>
      <protection hidden="1"/>
    </xf>
    <xf numFmtId="2" fontId="106" fillId="5" borderId="0" xfId="1" applyNumberFormat="1" applyFont="1" applyFill="1" applyBorder="1" applyAlignment="1" applyProtection="1">
      <alignment horizontal="center" vertical="center" wrapText="1"/>
      <protection hidden="1"/>
    </xf>
    <xf numFmtId="0" fontId="106" fillId="5" borderId="0" xfId="1" applyNumberFormat="1" applyFont="1" applyFill="1" applyBorder="1" applyAlignment="1" applyProtection="1">
      <alignment horizontal="center" vertical="center" wrapText="1"/>
      <protection hidden="1"/>
    </xf>
    <xf numFmtId="44" fontId="112" fillId="26" borderId="1" xfId="0" applyNumberFormat="1" applyFont="1" applyFill="1" applyBorder="1" applyProtection="1">
      <protection locked="0"/>
    </xf>
    <xf numFmtId="14" fontId="112" fillId="26" borderId="30" xfId="0" applyNumberFormat="1" applyFont="1" applyFill="1" applyBorder="1" applyAlignment="1" applyProtection="1">
      <alignment horizontal="right"/>
      <protection hidden="1"/>
    </xf>
    <xf numFmtId="14" fontId="112" fillId="26" borderId="1" xfId="0" applyNumberFormat="1" applyFont="1" applyFill="1" applyBorder="1" applyProtection="1">
      <protection hidden="1"/>
    </xf>
    <xf numFmtId="0" fontId="113" fillId="26" borderId="1" xfId="0" applyFont="1" applyFill="1" applyBorder="1" applyAlignment="1" applyProtection="1">
      <alignment horizontal="right"/>
      <protection hidden="1"/>
    </xf>
    <xf numFmtId="44" fontId="112" fillId="26" borderId="1" xfId="0" applyNumberFormat="1" applyFont="1" applyFill="1" applyBorder="1" applyAlignment="1" applyProtection="1">
      <alignment horizontal="center"/>
      <protection hidden="1"/>
    </xf>
    <xf numFmtId="2" fontId="112" fillId="26" borderId="1" xfId="0" applyNumberFormat="1" applyFont="1" applyFill="1" applyBorder="1" applyAlignment="1" applyProtection="1">
      <alignment horizontal="center"/>
      <protection hidden="1"/>
    </xf>
    <xf numFmtId="1" fontId="112" fillId="26" borderId="1" xfId="0" applyNumberFormat="1" applyFont="1" applyFill="1" applyBorder="1" applyAlignment="1" applyProtection="1">
      <alignment horizontal="center"/>
      <protection hidden="1"/>
    </xf>
    <xf numFmtId="44" fontId="112" fillId="26" borderId="1" xfId="0" applyNumberFormat="1" applyFont="1" applyFill="1" applyBorder="1" applyProtection="1">
      <protection hidden="1"/>
    </xf>
    <xf numFmtId="44" fontId="112" fillId="26" borderId="1" xfId="0" applyNumberFormat="1" applyFont="1" applyFill="1" applyBorder="1" applyAlignment="1" applyProtection="1">
      <alignment horizontal="right"/>
      <protection hidden="1"/>
    </xf>
    <xf numFmtId="2" fontId="112" fillId="26" borderId="1" xfId="0" applyNumberFormat="1" applyFont="1" applyFill="1" applyBorder="1"/>
    <xf numFmtId="44" fontId="99" fillId="5" borderId="1" xfId="0" applyNumberFormat="1" applyFont="1" applyFill="1" applyBorder="1" applyProtection="1">
      <protection hidden="1"/>
    </xf>
    <xf numFmtId="2" fontId="99" fillId="5" borderId="1" xfId="0" applyNumberFormat="1" applyFont="1" applyFill="1" applyBorder="1" applyProtection="1">
      <protection hidden="1"/>
    </xf>
    <xf numFmtId="2" fontId="99" fillId="5" borderId="18" xfId="0" applyNumberFormat="1" applyFont="1" applyFill="1" applyBorder="1" applyProtection="1">
      <protection hidden="1"/>
    </xf>
    <xf numFmtId="0" fontId="114" fillId="5" borderId="18" xfId="0" applyFont="1" applyFill="1" applyBorder="1" applyProtection="1">
      <protection hidden="1"/>
    </xf>
    <xf numFmtId="0" fontId="114" fillId="5" borderId="18" xfId="0" applyFont="1" applyFill="1" applyBorder="1"/>
    <xf numFmtId="14" fontId="112" fillId="27" borderId="30" xfId="0" applyNumberFormat="1" applyFont="1" applyFill="1" applyBorder="1" applyProtection="1">
      <protection hidden="1"/>
    </xf>
    <xf numFmtId="14" fontId="112" fillId="27" borderId="1" xfId="0" applyNumberFormat="1" applyFont="1" applyFill="1" applyBorder="1" applyProtection="1">
      <protection hidden="1"/>
    </xf>
    <xf numFmtId="44" fontId="112" fillId="27" borderId="1" xfId="0" applyNumberFormat="1" applyFont="1" applyFill="1" applyBorder="1" applyAlignment="1" applyProtection="1">
      <alignment horizontal="center"/>
      <protection hidden="1"/>
    </xf>
    <xf numFmtId="2" fontId="114" fillId="5" borderId="1" xfId="0" applyNumberFormat="1" applyFont="1" applyFill="1" applyBorder="1"/>
    <xf numFmtId="14" fontId="112" fillId="26" borderId="30" xfId="0" applyNumberFormat="1" applyFont="1" applyFill="1" applyBorder="1" applyProtection="1">
      <protection hidden="1"/>
    </xf>
    <xf numFmtId="0" fontId="114" fillId="5" borderId="1" xfId="0" applyFont="1" applyFill="1" applyBorder="1"/>
    <xf numFmtId="0" fontId="95" fillId="5" borderId="0" xfId="0" applyFont="1" applyFill="1" applyAlignment="1">
      <alignment vertical="center"/>
    </xf>
    <xf numFmtId="0" fontId="76" fillId="5" borderId="0" xfId="0" applyFont="1" applyFill="1" applyAlignment="1">
      <alignment vertical="center"/>
    </xf>
    <xf numFmtId="0" fontId="95" fillId="5" borderId="0" xfId="0" applyFont="1" applyFill="1"/>
    <xf numFmtId="0" fontId="76" fillId="5" borderId="0" xfId="0" applyFont="1" applyFill="1"/>
    <xf numFmtId="0" fontId="76" fillId="5" borderId="63" xfId="0" applyFont="1" applyFill="1" applyBorder="1"/>
    <xf numFmtId="166" fontId="96" fillId="5" borderId="0" xfId="25" quotePrefix="1" applyNumberFormat="1" applyFont="1" applyFill="1" applyAlignment="1" applyProtection="1">
      <alignment vertical="center"/>
      <protection hidden="1"/>
    </xf>
    <xf numFmtId="166" fontId="96" fillId="5" borderId="0" xfId="25" quotePrefix="1" applyNumberFormat="1" applyFont="1" applyFill="1" applyAlignment="1" applyProtection="1">
      <alignment horizontal="left" vertical="center"/>
      <protection hidden="1"/>
    </xf>
    <xf numFmtId="0" fontId="97" fillId="5" borderId="0" xfId="25" applyFont="1" applyFill="1" applyAlignment="1" applyProtection="1">
      <alignment vertical="top" wrapText="1"/>
      <protection hidden="1"/>
    </xf>
    <xf numFmtId="0" fontId="94" fillId="5" borderId="0" xfId="0" applyFont="1" applyFill="1"/>
    <xf numFmtId="0" fontId="100" fillId="5" borderId="0" xfId="25" applyFont="1" applyFill="1" applyAlignment="1" applyProtection="1">
      <alignment horizontal="left" vertical="top" wrapText="1"/>
      <protection hidden="1"/>
    </xf>
    <xf numFmtId="0" fontId="101" fillId="5" borderId="0" xfId="25" applyFont="1" applyFill="1" applyAlignment="1" applyProtection="1">
      <alignment horizontal="right" wrapText="1"/>
      <protection hidden="1"/>
    </xf>
    <xf numFmtId="0" fontId="77" fillId="5" borderId="0" xfId="25" applyFont="1" applyFill="1" applyAlignment="1" applyProtection="1">
      <alignment horizontal="center" vertical="center"/>
      <protection locked="0" hidden="1"/>
    </xf>
    <xf numFmtId="0" fontId="102" fillId="5" borderId="0" xfId="25" applyFont="1" applyFill="1" applyAlignment="1" applyProtection="1">
      <alignment vertical="top" wrapText="1"/>
      <protection hidden="1"/>
    </xf>
    <xf numFmtId="8" fontId="103" fillId="5" borderId="0" xfId="0" applyNumberFormat="1" applyFont="1" applyFill="1" applyAlignment="1">
      <alignment horizontal="center" vertical="center"/>
    </xf>
    <xf numFmtId="0" fontId="97" fillId="5" borderId="0" xfId="25" applyFont="1" applyFill="1" applyAlignment="1" applyProtection="1">
      <alignment horizontal="left" vertical="top" wrapText="1"/>
      <protection hidden="1"/>
    </xf>
    <xf numFmtId="0" fontId="104" fillId="5" borderId="0" xfId="25" applyFont="1" applyFill="1" applyAlignment="1" applyProtection="1">
      <alignment vertical="center"/>
      <protection hidden="1"/>
    </xf>
    <xf numFmtId="0" fontId="94" fillId="5" borderId="0" xfId="0" applyFont="1" applyFill="1" applyAlignment="1">
      <alignment horizontal="right"/>
    </xf>
    <xf numFmtId="44" fontId="103" fillId="5" borderId="0" xfId="0" applyNumberFormat="1" applyFont="1" applyFill="1" applyAlignment="1">
      <alignment horizontal="center" vertical="center"/>
    </xf>
    <xf numFmtId="0" fontId="66" fillId="5" borderId="0" xfId="25" applyFont="1" applyFill="1" applyAlignment="1" applyProtection="1">
      <alignment vertical="center" wrapText="1"/>
      <protection hidden="1"/>
    </xf>
    <xf numFmtId="0" fontId="81" fillId="5" borderId="0" xfId="26" applyFont="1" applyFill="1" applyAlignment="1" applyProtection="1">
      <alignment vertical="top" wrapText="1"/>
      <protection hidden="1"/>
    </xf>
    <xf numFmtId="0" fontId="81" fillId="5" borderId="0" xfId="26" applyFont="1" applyFill="1" applyAlignment="1" applyProtection="1">
      <alignment horizontal="left" vertical="center" wrapText="1"/>
      <protection hidden="1"/>
    </xf>
    <xf numFmtId="0" fontId="81" fillId="5" borderId="0" xfId="26" applyFont="1" applyFill="1" applyAlignment="1" applyProtection="1">
      <alignment vertical="center" wrapText="1"/>
      <protection hidden="1"/>
    </xf>
    <xf numFmtId="0" fontId="105" fillId="5" borderId="0" xfId="25" applyFont="1" applyFill="1" applyAlignment="1" applyProtection="1">
      <alignment horizontal="center" vertical="center"/>
      <protection locked="0" hidden="1"/>
    </xf>
    <xf numFmtId="0" fontId="105" fillId="5" borderId="0" xfId="0" applyFont="1" applyFill="1"/>
    <xf numFmtId="0" fontId="105" fillId="5" borderId="0" xfId="26" applyFont="1" applyFill="1" applyAlignment="1" applyProtection="1">
      <alignment vertical="top" wrapText="1"/>
      <protection locked="0"/>
    </xf>
    <xf numFmtId="0" fontId="52" fillId="5" borderId="0" xfId="26" applyFont="1" applyFill="1" applyAlignment="1" applyProtection="1">
      <alignment vertical="center" wrapText="1"/>
      <protection hidden="1"/>
    </xf>
    <xf numFmtId="0" fontId="105" fillId="5" borderId="0" xfId="25" applyFont="1" applyFill="1" applyAlignment="1" applyProtection="1">
      <alignment horizontal="center" vertical="center"/>
      <protection hidden="1"/>
    </xf>
    <xf numFmtId="0" fontId="105" fillId="5" borderId="0" xfId="0" applyFont="1" applyFill="1" applyProtection="1">
      <protection hidden="1"/>
    </xf>
    <xf numFmtId="0" fontId="79" fillId="5" borderId="0" xfId="0" applyFont="1" applyFill="1" applyAlignment="1">
      <alignment horizontal="center" vertical="center"/>
    </xf>
    <xf numFmtId="0" fontId="52" fillId="5" borderId="0" xfId="0" applyFont="1" applyFill="1"/>
    <xf numFmtId="0" fontId="105" fillId="5" borderId="0" xfId="26" applyFont="1" applyFill="1" applyAlignment="1" applyProtection="1">
      <alignment vertical="center" wrapText="1"/>
      <protection hidden="1"/>
    </xf>
    <xf numFmtId="0" fontId="106" fillId="5" borderId="0" xfId="0" applyFont="1" applyFill="1" applyAlignment="1">
      <alignment vertical="center" wrapText="1"/>
    </xf>
    <xf numFmtId="44" fontId="106" fillId="5" borderId="0" xfId="0" applyNumberFormat="1" applyFont="1" applyFill="1" applyAlignment="1">
      <alignment horizontal="center" vertical="center"/>
    </xf>
    <xf numFmtId="0" fontId="105" fillId="5" borderId="0" xfId="0" applyFont="1" applyFill="1" applyAlignment="1">
      <alignment horizontal="left"/>
    </xf>
    <xf numFmtId="2" fontId="105" fillId="5" borderId="0" xfId="0" applyNumberFormat="1" applyFont="1" applyFill="1" applyAlignment="1">
      <alignment horizontal="left"/>
    </xf>
    <xf numFmtId="0" fontId="52" fillId="5" borderId="0" xfId="0" applyFont="1" applyFill="1" applyAlignment="1">
      <alignment horizontal="left"/>
    </xf>
    <xf numFmtId="0" fontId="103" fillId="5" borderId="0" xfId="0" applyFont="1" applyFill="1" applyAlignment="1">
      <alignment vertical="center" wrapText="1"/>
    </xf>
    <xf numFmtId="0" fontId="52" fillId="5" borderId="0" xfId="26" applyFont="1" applyFill="1" applyAlignment="1" applyProtection="1">
      <alignment horizontal="center" vertical="center"/>
      <protection hidden="1"/>
    </xf>
    <xf numFmtId="0" fontId="106" fillId="5" borderId="0" xfId="0" applyFont="1" applyFill="1" applyAlignment="1" applyProtection="1">
      <alignment vertical="center" wrapText="1"/>
      <protection hidden="1"/>
    </xf>
    <xf numFmtId="0" fontId="52" fillId="5" borderId="0" xfId="26" applyFont="1" applyFill="1" applyAlignment="1" applyProtection="1">
      <alignment horizontal="right" vertical="center" wrapText="1"/>
      <protection hidden="1"/>
    </xf>
    <xf numFmtId="171" fontId="47" fillId="5" borderId="0" xfId="0" applyNumberFormat="1" applyFont="1" applyFill="1" applyAlignment="1">
      <alignment horizontal="center" vertical="center"/>
    </xf>
    <xf numFmtId="0" fontId="106" fillId="5" borderId="0" xfId="0" applyFont="1" applyFill="1" applyAlignment="1">
      <alignment vertical="center"/>
    </xf>
    <xf numFmtId="0" fontId="52" fillId="5" borderId="0" xfId="26" applyFont="1" applyFill="1" applyAlignment="1" applyProtection="1">
      <alignment horizontal="left" vertical="center" wrapText="1"/>
      <protection hidden="1"/>
    </xf>
    <xf numFmtId="0" fontId="103" fillId="5" borderId="0" xfId="0" applyFont="1" applyFill="1" applyAlignment="1">
      <alignment vertical="center"/>
    </xf>
    <xf numFmtId="0" fontId="34" fillId="5" borderId="0" xfId="0" applyFont="1" applyFill="1" applyAlignment="1">
      <alignment horizontal="left" vertical="center"/>
    </xf>
    <xf numFmtId="0" fontId="93" fillId="5" borderId="0" xfId="0" applyFont="1" applyFill="1" applyAlignment="1">
      <alignment horizontal="center" vertical="center" wrapText="1"/>
    </xf>
    <xf numFmtId="0" fontId="66" fillId="5" borderId="0" xfId="0" applyFont="1" applyFill="1" applyAlignment="1">
      <alignment vertical="center" wrapText="1"/>
    </xf>
    <xf numFmtId="0" fontId="108" fillId="5" borderId="0" xfId="0" applyFont="1" applyFill="1" applyAlignment="1">
      <alignment vertical="center" wrapText="1"/>
    </xf>
    <xf numFmtId="0" fontId="109" fillId="5" borderId="0" xfId="0" applyFont="1" applyFill="1" applyAlignment="1">
      <alignment vertical="center" wrapText="1"/>
    </xf>
    <xf numFmtId="10" fontId="103" fillId="5" borderId="0" xfId="0" applyNumberFormat="1" applyFont="1" applyFill="1" applyAlignment="1">
      <alignment horizontal="right" vertical="center"/>
    </xf>
    <xf numFmtId="14" fontId="106" fillId="5" borderId="0" xfId="0" applyNumberFormat="1" applyFont="1" applyFill="1" applyAlignment="1">
      <alignment horizontal="right" vertical="center"/>
    </xf>
    <xf numFmtId="14" fontId="103" fillId="5" borderId="0" xfId="0" applyNumberFormat="1" applyFont="1" applyFill="1" applyAlignment="1">
      <alignment horizontal="right" vertical="center"/>
    </xf>
    <xf numFmtId="166" fontId="115" fillId="5" borderId="0" xfId="25" quotePrefix="1" applyNumberFormat="1" applyFont="1" applyFill="1" applyAlignment="1" applyProtection="1">
      <alignment horizontal="left" vertical="center"/>
      <protection hidden="1"/>
    </xf>
    <xf numFmtId="1" fontId="116" fillId="5" borderId="0" xfId="1" applyNumberFormat="1" applyFont="1" applyFill="1" applyBorder="1" applyAlignment="1" applyProtection="1">
      <alignment horizontal="center" vertical="center" wrapText="1"/>
      <protection hidden="1"/>
    </xf>
    <xf numFmtId="0" fontId="100" fillId="5" borderId="0" xfId="25" applyFont="1" applyFill="1" applyAlignment="1" applyProtection="1">
      <alignment vertical="top" wrapText="1"/>
      <protection hidden="1"/>
    </xf>
    <xf numFmtId="0" fontId="95" fillId="5" borderId="179" xfId="0" applyFont="1" applyFill="1" applyBorder="1"/>
    <xf numFmtId="0" fontId="22" fillId="28" borderId="0" xfId="8" applyFont="1" applyFill="1" applyAlignment="1" applyProtection="1">
      <alignment vertical="center"/>
      <protection hidden="1"/>
    </xf>
    <xf numFmtId="0" fontId="27" fillId="28" borderId="0" xfId="8" applyFont="1" applyFill="1" applyAlignment="1" applyProtection="1">
      <alignment vertical="center"/>
      <protection hidden="1"/>
    </xf>
    <xf numFmtId="0" fontId="22" fillId="28" borderId="0" xfId="8" applyFont="1" applyFill="1" applyProtection="1">
      <protection hidden="1"/>
    </xf>
    <xf numFmtId="166" fontId="6" fillId="0" borderId="0" xfId="8" applyNumberFormat="1" applyFont="1" applyAlignment="1" applyProtection="1">
      <alignment horizontal="center"/>
      <protection hidden="1"/>
    </xf>
    <xf numFmtId="0" fontId="38" fillId="0" borderId="0" xfId="8" applyFont="1" applyAlignment="1" applyProtection="1">
      <alignment vertical="center"/>
      <protection hidden="1"/>
    </xf>
    <xf numFmtId="0" fontId="40" fillId="0" borderId="0" xfId="8" applyFont="1" applyAlignment="1" applyProtection="1">
      <alignment vertical="center"/>
      <protection hidden="1"/>
    </xf>
    <xf numFmtId="0" fontId="57" fillId="0" borderId="0" xfId="8" applyFont="1" applyAlignment="1" applyProtection="1">
      <alignment horizontal="left" vertical="center" wrapText="1"/>
      <protection hidden="1"/>
    </xf>
    <xf numFmtId="0" fontId="36" fillId="0" borderId="0" xfId="8" applyFont="1" applyAlignment="1" applyProtection="1">
      <alignment vertical="center"/>
      <protection hidden="1"/>
    </xf>
    <xf numFmtId="172" fontId="39" fillId="0" borderId="0" xfId="8" applyNumberFormat="1" applyFont="1" applyAlignment="1" applyProtection="1">
      <alignment horizontal="left" vertical="center"/>
      <protection locked="0"/>
    </xf>
    <xf numFmtId="0" fontId="58" fillId="0" borderId="0" xfId="8" applyFont="1" applyAlignment="1" applyProtection="1">
      <alignment horizontal="right"/>
      <protection hidden="1"/>
    </xf>
    <xf numFmtId="0" fontId="40" fillId="0" borderId="0" xfId="0" applyFont="1" applyAlignment="1" applyProtection="1">
      <alignment vertical="center" wrapText="1"/>
      <protection hidden="1"/>
    </xf>
    <xf numFmtId="0" fontId="6" fillId="0" borderId="0" xfId="8" applyFont="1" applyAlignment="1" applyProtection="1">
      <alignment vertical="center"/>
      <protection hidden="1"/>
    </xf>
    <xf numFmtId="0" fontId="40" fillId="0" borderId="0" xfId="0" applyFont="1" applyAlignment="1" applyProtection="1">
      <alignment horizontal="right" vertical="center" wrapText="1"/>
      <protection hidden="1"/>
    </xf>
    <xf numFmtId="0" fontId="6" fillId="0" borderId="0" xfId="0" applyFont="1" applyAlignment="1" applyProtection="1">
      <alignment horizontal="left" vertical="center" wrapText="1"/>
      <protection hidden="1"/>
    </xf>
    <xf numFmtId="171" fontId="6" fillId="0" borderId="0" xfId="0" applyNumberFormat="1" applyFont="1" applyAlignment="1" applyProtection="1">
      <alignment horizontal="right" vertical="center" wrapText="1"/>
      <protection hidden="1"/>
    </xf>
    <xf numFmtId="171" fontId="40" fillId="0" borderId="0" xfId="0" applyNumberFormat="1" applyFont="1" applyAlignment="1" applyProtection="1">
      <alignment horizontal="right" vertical="center" wrapText="1"/>
      <protection hidden="1"/>
    </xf>
    <xf numFmtId="171" fontId="6" fillId="0" borderId="0" xfId="0" applyNumberFormat="1" applyFont="1" applyAlignment="1" applyProtection="1">
      <alignment horizontal="left" vertical="center" wrapText="1"/>
      <protection hidden="1"/>
    </xf>
    <xf numFmtId="0" fontId="6" fillId="0" borderId="0" xfId="8" applyFont="1" applyAlignment="1" applyProtection="1">
      <alignment horizontal="left" vertical="center"/>
      <protection hidden="1"/>
    </xf>
    <xf numFmtId="0" fontId="38" fillId="0" borderId="0" xfId="8" applyFont="1" applyAlignment="1" applyProtection="1">
      <alignment horizontal="right" vertical="center"/>
      <protection hidden="1"/>
    </xf>
    <xf numFmtId="171" fontId="6" fillId="0" borderId="0" xfId="0" applyNumberFormat="1" applyFont="1" applyAlignment="1">
      <alignment horizontal="left" vertical="center" wrapText="1"/>
    </xf>
    <xf numFmtId="171" fontId="38" fillId="0" borderId="0" xfId="0" applyNumberFormat="1" applyFont="1" applyAlignment="1">
      <alignment horizontal="right" vertical="center" wrapText="1"/>
    </xf>
    <xf numFmtId="49" fontId="44" fillId="0" borderId="0" xfId="8" applyNumberFormat="1" applyFont="1" applyAlignment="1" applyProtection="1">
      <alignment horizontal="left" vertical="center" wrapText="1"/>
      <protection hidden="1"/>
    </xf>
    <xf numFmtId="49" fontId="38" fillId="0" borderId="0" xfId="8" applyNumberFormat="1" applyFont="1" applyAlignment="1">
      <alignment horizontal="left" vertical="top" wrapText="1"/>
    </xf>
    <xf numFmtId="1" fontId="62" fillId="0" borderId="0" xfId="8" applyNumberFormat="1" applyFont="1" applyAlignment="1" applyProtection="1">
      <alignment vertical="center"/>
      <protection hidden="1"/>
    </xf>
    <xf numFmtId="0" fontId="6" fillId="0" borderId="0" xfId="8" applyFont="1" applyAlignment="1" applyProtection="1">
      <alignment horizontal="center" vertical="center"/>
      <protection hidden="1"/>
    </xf>
    <xf numFmtId="0" fontId="27" fillId="5" borderId="0" xfId="8" applyFont="1" applyFill="1" applyAlignment="1" applyProtection="1">
      <alignment vertical="center"/>
      <protection hidden="1"/>
    </xf>
    <xf numFmtId="0" fontId="117" fillId="0" borderId="0" xfId="8" applyFont="1" applyAlignment="1" applyProtection="1">
      <alignment vertical="center"/>
      <protection hidden="1"/>
    </xf>
    <xf numFmtId="0" fontId="86" fillId="0" borderId="0" xfId="8" applyFont="1" applyAlignment="1" applyProtection="1">
      <alignment vertical="center"/>
      <protection hidden="1"/>
    </xf>
    <xf numFmtId="0" fontId="118" fillId="0" borderId="0" xfId="8" applyFont="1" applyAlignment="1" applyProtection="1">
      <alignment vertical="center"/>
      <protection hidden="1"/>
    </xf>
    <xf numFmtId="0" fontId="118" fillId="0" borderId="0" xfId="0" applyFont="1" applyAlignment="1" applyProtection="1">
      <alignment horizontal="left" vertical="center" wrapText="1"/>
      <protection hidden="1"/>
    </xf>
    <xf numFmtId="49" fontId="119" fillId="0" borderId="0" xfId="8" applyNumberFormat="1" applyFont="1" applyAlignment="1" applyProtection="1">
      <alignment horizontal="left" vertical="center" wrapText="1"/>
      <protection hidden="1"/>
    </xf>
    <xf numFmtId="0" fontId="117" fillId="0" borderId="0" xfId="0" applyFont="1" applyAlignment="1" applyProtection="1">
      <alignment horizontal="right" vertical="center" wrapText="1"/>
      <protection hidden="1"/>
    </xf>
    <xf numFmtId="0" fontId="86" fillId="0" borderId="0" xfId="8" applyFont="1" applyAlignment="1" applyProtection="1">
      <alignment horizontal="right" vertical="center"/>
      <protection hidden="1"/>
    </xf>
    <xf numFmtId="171" fontId="86" fillId="0" borderId="0" xfId="0" applyNumberFormat="1" applyFont="1" applyAlignment="1">
      <alignment horizontal="right" vertical="center" wrapText="1"/>
    </xf>
    <xf numFmtId="0" fontId="118" fillId="0" borderId="0" xfId="8" applyFont="1" applyAlignment="1" applyProtection="1">
      <alignment horizontal="right" vertical="center"/>
      <protection hidden="1"/>
    </xf>
    <xf numFmtId="0" fontId="117" fillId="0" borderId="0" xfId="8" applyFont="1" applyProtection="1">
      <protection hidden="1"/>
    </xf>
    <xf numFmtId="49" fontId="86" fillId="0" borderId="0" xfId="8" applyNumberFormat="1" applyFont="1" applyAlignment="1">
      <alignment horizontal="left" vertical="top" wrapText="1"/>
    </xf>
    <xf numFmtId="0" fontId="86" fillId="0" borderId="0" xfId="8" applyFont="1" applyAlignment="1" applyProtection="1">
      <alignment horizontal="left" vertical="center" wrapText="1"/>
      <protection hidden="1"/>
    </xf>
    <xf numFmtId="0" fontId="86" fillId="0" borderId="0" xfId="8" applyFont="1" applyProtection="1">
      <protection hidden="1"/>
    </xf>
    <xf numFmtId="1" fontId="86" fillId="0" borderId="0" xfId="8" applyNumberFormat="1" applyFont="1" applyAlignment="1" applyProtection="1">
      <alignment vertical="center"/>
      <protection hidden="1"/>
    </xf>
    <xf numFmtId="0" fontId="121" fillId="0" borderId="0" xfId="2" applyFont="1" applyBorder="1" applyAlignment="1" applyProtection="1">
      <protection locked="0" hidden="1"/>
    </xf>
    <xf numFmtId="0" fontId="118" fillId="0" borderId="0" xfId="0" applyFont="1"/>
    <xf numFmtId="0" fontId="100" fillId="0" borderId="0" xfId="8" applyFont="1" applyAlignment="1" applyProtection="1">
      <alignment vertical="center"/>
      <protection hidden="1"/>
    </xf>
    <xf numFmtId="0" fontId="100" fillId="0" borderId="0" xfId="8" applyFont="1" applyProtection="1">
      <protection hidden="1"/>
    </xf>
    <xf numFmtId="0" fontId="34" fillId="14" borderId="115" xfId="10" applyFont="1" applyFill="1" applyBorder="1" applyAlignment="1" applyProtection="1">
      <alignment horizontal="center" vertical="center" wrapText="1"/>
      <protection hidden="1"/>
    </xf>
    <xf numFmtId="0" fontId="34" fillId="14" borderId="66" xfId="10" applyFont="1" applyFill="1" applyBorder="1" applyAlignment="1" applyProtection="1">
      <alignment horizontal="center" vertical="center" wrapText="1"/>
      <protection hidden="1"/>
    </xf>
    <xf numFmtId="0" fontId="34" fillId="14" borderId="185" xfId="10" applyFont="1" applyFill="1" applyBorder="1" applyAlignment="1" applyProtection="1">
      <alignment horizontal="center" vertical="center" wrapText="1"/>
      <protection hidden="1"/>
    </xf>
    <xf numFmtId="0" fontId="34" fillId="14" borderId="183" xfId="10" applyFont="1" applyFill="1" applyBorder="1" applyAlignment="1" applyProtection="1">
      <alignment horizontal="center" vertical="center" wrapText="1"/>
      <protection hidden="1"/>
    </xf>
    <xf numFmtId="49" fontId="40" fillId="0" borderId="1" xfId="8" applyNumberFormat="1" applyFont="1" applyBorder="1" applyAlignment="1" applyProtection="1">
      <alignment horizontal="center" vertical="center" wrapText="1"/>
      <protection locked="0"/>
    </xf>
    <xf numFmtId="49" fontId="40" fillId="0" borderId="23" xfId="8" applyNumberFormat="1" applyFont="1" applyBorder="1" applyAlignment="1" applyProtection="1">
      <alignment horizontal="center" vertical="center" wrapText="1"/>
      <protection locked="0"/>
    </xf>
    <xf numFmtId="0" fontId="34" fillId="14" borderId="67" xfId="10" applyFont="1" applyFill="1" applyBorder="1" applyAlignment="1" applyProtection="1">
      <alignment horizontal="center" vertical="center" wrapText="1"/>
      <protection hidden="1"/>
    </xf>
    <xf numFmtId="0" fontId="34" fillId="14" borderId="68" xfId="10" applyFont="1" applyFill="1" applyBorder="1" applyAlignment="1" applyProtection="1">
      <alignment horizontal="center" vertical="center" wrapText="1"/>
      <protection hidden="1"/>
    </xf>
    <xf numFmtId="14" fontId="38" fillId="14" borderId="65" xfId="10" applyNumberFormat="1" applyFont="1" applyFill="1" applyBorder="1" applyAlignment="1" applyProtection="1">
      <alignment horizontal="center" vertical="center"/>
      <protection locked="0"/>
    </xf>
    <xf numFmtId="1" fontId="38" fillId="14" borderId="26" xfId="10" applyNumberFormat="1" applyFont="1" applyFill="1" applyBorder="1" applyAlignment="1" applyProtection="1">
      <alignment horizontal="center" vertical="center"/>
      <protection locked="0"/>
    </xf>
    <xf numFmtId="0" fontId="6" fillId="29" borderId="184" xfId="10" applyFont="1" applyFill="1" applyBorder="1" applyAlignment="1" applyProtection="1">
      <alignment vertical="center"/>
      <protection hidden="1"/>
    </xf>
    <xf numFmtId="0" fontId="6" fillId="29" borderId="32" xfId="10" applyFont="1" applyFill="1" applyBorder="1" applyAlignment="1" applyProtection="1">
      <alignment vertical="center"/>
      <protection hidden="1"/>
    </xf>
    <xf numFmtId="0" fontId="6" fillId="29" borderId="33" xfId="10" applyFont="1" applyFill="1" applyBorder="1" applyAlignment="1" applyProtection="1">
      <alignment vertical="center"/>
      <protection hidden="1"/>
    </xf>
    <xf numFmtId="0" fontId="54" fillId="29" borderId="187" xfId="10" applyFont="1" applyFill="1" applyBorder="1" applyAlignment="1" applyProtection="1">
      <alignment horizontal="center" vertical="center"/>
      <protection hidden="1"/>
    </xf>
    <xf numFmtId="0" fontId="6" fillId="29" borderId="188" xfId="10" applyFont="1" applyFill="1" applyBorder="1" applyAlignment="1" applyProtection="1">
      <alignment vertical="center"/>
      <protection hidden="1"/>
    </xf>
    <xf numFmtId="0" fontId="54" fillId="29" borderId="189" xfId="10" applyFont="1" applyFill="1" applyBorder="1" applyAlignment="1" applyProtection="1">
      <alignment horizontal="center" vertical="center"/>
      <protection hidden="1"/>
    </xf>
    <xf numFmtId="0" fontId="6" fillId="29" borderId="191" xfId="10" applyFont="1" applyFill="1" applyBorder="1" applyAlignment="1" applyProtection="1">
      <alignment vertical="center"/>
      <protection hidden="1"/>
    </xf>
    <xf numFmtId="0" fontId="6" fillId="29" borderId="194" xfId="10" applyFont="1" applyFill="1" applyBorder="1" applyAlignment="1" applyProtection="1">
      <alignment vertical="center"/>
      <protection hidden="1"/>
    </xf>
    <xf numFmtId="0" fontId="61" fillId="14" borderId="115" xfId="10" applyFont="1" applyFill="1" applyBorder="1" applyAlignment="1" applyProtection="1">
      <alignment horizontal="center" vertical="center" wrapText="1"/>
      <protection hidden="1"/>
    </xf>
    <xf numFmtId="0" fontId="38" fillId="14" borderId="67" xfId="10" applyFont="1" applyFill="1" applyBorder="1" applyAlignment="1" applyProtection="1">
      <alignment vertical="center"/>
      <protection hidden="1"/>
    </xf>
    <xf numFmtId="0" fontId="54" fillId="29" borderId="195" xfId="10" applyFont="1" applyFill="1" applyBorder="1" applyAlignment="1" applyProtection="1">
      <alignment horizontal="center" vertical="center" wrapText="1"/>
      <protection hidden="1"/>
    </xf>
    <xf numFmtId="0" fontId="6" fillId="29" borderId="196" xfId="10" applyFont="1" applyFill="1" applyBorder="1" applyAlignment="1" applyProtection="1">
      <alignment vertical="center"/>
      <protection hidden="1"/>
    </xf>
    <xf numFmtId="166" fontId="17" fillId="14" borderId="0" xfId="8" applyNumberFormat="1" applyFont="1" applyFill="1" applyAlignment="1" applyProtection="1">
      <alignment horizontal="center"/>
      <protection hidden="1"/>
    </xf>
    <xf numFmtId="0" fontId="6" fillId="28" borderId="0" xfId="0" applyFont="1" applyFill="1" applyAlignment="1">
      <alignment horizontal="center"/>
    </xf>
    <xf numFmtId="166" fontId="6" fillId="28" borderId="0" xfId="0" applyNumberFormat="1" applyFont="1" applyFill="1" applyAlignment="1">
      <alignment horizontal="center"/>
    </xf>
    <xf numFmtId="0" fontId="6" fillId="28" borderId="0" xfId="0" applyFont="1" applyFill="1" applyAlignment="1">
      <alignment horizontal="left" wrapText="1"/>
    </xf>
    <xf numFmtId="1" fontId="6" fillId="28" borderId="0" xfId="0" applyNumberFormat="1" applyFont="1" applyFill="1" applyAlignment="1">
      <alignment horizontal="center"/>
    </xf>
    <xf numFmtId="0" fontId="6" fillId="28" borderId="0" xfId="0" applyFont="1" applyFill="1" applyAlignment="1">
      <alignment horizontal="left"/>
    </xf>
    <xf numFmtId="5" fontId="6" fillId="28" borderId="0" xfId="1" applyNumberFormat="1" applyFont="1" applyFill="1"/>
    <xf numFmtId="164" fontId="6" fillId="28" borderId="0" xfId="0" applyNumberFormat="1" applyFont="1" applyFill="1"/>
    <xf numFmtId="0" fontId="6" fillId="28" borderId="0" xfId="0" applyFont="1" applyFill="1"/>
    <xf numFmtId="0" fontId="17" fillId="28" borderId="0" xfId="0" applyFont="1" applyFill="1"/>
    <xf numFmtId="0" fontId="17" fillId="28" borderId="0" xfId="0" applyFont="1" applyFill="1" applyAlignment="1">
      <alignment horizontal="center"/>
    </xf>
    <xf numFmtId="166" fontId="17" fillId="28" borderId="0" xfId="0" applyNumberFormat="1" applyFont="1" applyFill="1" applyAlignment="1">
      <alignment horizontal="center"/>
    </xf>
    <xf numFmtId="0" fontId="17" fillId="28" borderId="0" xfId="0" applyFont="1" applyFill="1" applyAlignment="1">
      <alignment horizontal="left" wrapText="1"/>
    </xf>
    <xf numFmtId="1" fontId="17" fillId="28" borderId="0" xfId="0" applyNumberFormat="1" applyFont="1" applyFill="1" applyAlignment="1">
      <alignment horizontal="center"/>
    </xf>
    <xf numFmtId="0" fontId="17" fillId="28" borderId="0" xfId="0" applyFont="1" applyFill="1" applyAlignment="1">
      <alignment horizontal="left"/>
    </xf>
    <xf numFmtId="5" fontId="17" fillId="28" borderId="0" xfId="1" applyNumberFormat="1" applyFont="1" applyFill="1"/>
    <xf numFmtId="164" fontId="17" fillId="28" borderId="0" xfId="0" applyNumberFormat="1" applyFont="1" applyFill="1"/>
    <xf numFmtId="0" fontId="17" fillId="28" borderId="153" xfId="0" applyFont="1" applyFill="1" applyBorder="1"/>
    <xf numFmtId="169" fontId="89" fillId="28" borderId="153" xfId="0" applyNumberFormat="1" applyFont="1" applyFill="1" applyBorder="1" applyAlignment="1">
      <alignment horizontal="right" vertical="center"/>
    </xf>
    <xf numFmtId="0" fontId="17" fillId="28" borderId="0" xfId="0" applyFont="1" applyFill="1" applyAlignment="1">
      <alignment vertical="center"/>
    </xf>
    <xf numFmtId="0" fontId="54" fillId="0" borderId="2" xfId="0" applyFont="1" applyBorder="1" applyAlignment="1">
      <alignment horizontal="left" vertical="top" wrapText="1"/>
    </xf>
    <xf numFmtId="171" fontId="78" fillId="29" borderId="171" xfId="0" applyNumberFormat="1" applyFont="1" applyFill="1" applyBorder="1" applyAlignment="1" applyProtection="1">
      <alignment horizontal="center" vertical="center"/>
      <protection hidden="1"/>
    </xf>
    <xf numFmtId="0" fontId="110" fillId="30" borderId="65" xfId="0" applyFont="1" applyFill="1" applyBorder="1" applyAlignment="1" applyProtection="1">
      <alignment horizontal="center" vertical="center" wrapText="1"/>
      <protection hidden="1"/>
    </xf>
    <xf numFmtId="0" fontId="110" fillId="30" borderId="20" xfId="0" applyFont="1" applyFill="1" applyBorder="1" applyAlignment="1" applyProtection="1">
      <alignment horizontal="center" vertical="center" wrapText="1"/>
      <protection hidden="1"/>
    </xf>
    <xf numFmtId="0" fontId="111" fillId="14" borderId="20" xfId="0" applyFont="1" applyFill="1" applyBorder="1" applyAlignment="1" applyProtection="1">
      <alignment horizontal="center" vertical="center" wrapText="1"/>
      <protection hidden="1"/>
    </xf>
    <xf numFmtId="0" fontId="110" fillId="14" borderId="20" xfId="0" applyFont="1" applyFill="1" applyBorder="1" applyAlignment="1" applyProtection="1">
      <alignment horizontal="center" vertical="center" wrapText="1"/>
      <protection hidden="1"/>
    </xf>
    <xf numFmtId="0" fontId="110" fillId="14" borderId="20" xfId="0" applyFont="1" applyFill="1" applyBorder="1" applyAlignment="1">
      <alignment horizontal="center" vertical="center" wrapText="1"/>
    </xf>
    <xf numFmtId="0" fontId="111" fillId="14" borderId="27" xfId="0" applyFont="1" applyFill="1" applyBorder="1" applyAlignment="1" applyProtection="1">
      <alignment horizontal="center" vertical="center" wrapText="1"/>
      <protection hidden="1"/>
    </xf>
    <xf numFmtId="0" fontId="110" fillId="30" borderId="27" xfId="0" applyFont="1" applyFill="1" applyBorder="1" applyAlignment="1" applyProtection="1">
      <alignment horizontal="center" vertical="center" wrapText="1"/>
      <protection hidden="1"/>
    </xf>
    <xf numFmtId="0" fontId="105" fillId="14" borderId="1" xfId="0" applyFont="1" applyFill="1" applyBorder="1" applyAlignment="1">
      <alignment wrapText="1"/>
    </xf>
    <xf numFmtId="0" fontId="81" fillId="5" borderId="0" xfId="0" applyFont="1" applyFill="1"/>
    <xf numFmtId="0" fontId="76" fillId="28" borderId="0" xfId="0" applyFont="1" applyFill="1"/>
    <xf numFmtId="0" fontId="76" fillId="28" borderId="0" xfId="0" applyFont="1" applyFill="1" applyAlignment="1">
      <alignment vertical="center"/>
    </xf>
    <xf numFmtId="0" fontId="86" fillId="0" borderId="179" xfId="8" applyFont="1" applyBorder="1" applyAlignment="1" applyProtection="1">
      <alignment horizontal="left" vertical="center"/>
      <protection hidden="1"/>
    </xf>
    <xf numFmtId="0" fontId="38" fillId="0" borderId="179" xfId="8" applyFont="1" applyBorder="1" applyAlignment="1" applyProtection="1">
      <alignment vertical="center"/>
      <protection hidden="1"/>
    </xf>
    <xf numFmtId="171" fontId="38" fillId="0" borderId="1" xfId="0" applyNumberFormat="1" applyFont="1" applyBorder="1" applyAlignment="1" applyProtection="1">
      <alignment horizontal="right" vertical="center" wrapText="1"/>
      <protection locked="0"/>
    </xf>
    <xf numFmtId="171" fontId="6" fillId="29" borderId="1" xfId="0" applyNumberFormat="1" applyFont="1" applyFill="1" applyBorder="1" applyAlignment="1">
      <alignment horizontal="right" vertical="center" wrapText="1"/>
    </xf>
    <xf numFmtId="166" fontId="96" fillId="14" borderId="0" xfId="25" quotePrefix="1" applyNumberFormat="1" applyFont="1" applyFill="1" applyAlignment="1" applyProtection="1">
      <alignment horizontal="left" vertical="center"/>
      <protection hidden="1"/>
    </xf>
    <xf numFmtId="0" fontId="106" fillId="14" borderId="177" xfId="0" applyFont="1" applyFill="1" applyBorder="1" applyAlignment="1" applyProtection="1">
      <alignment vertical="center" wrapText="1"/>
      <protection hidden="1"/>
    </xf>
    <xf numFmtId="166" fontId="96" fillId="14" borderId="0" xfId="25" quotePrefix="1" applyNumberFormat="1" applyFont="1" applyFill="1" applyAlignment="1" applyProtection="1">
      <alignment vertical="center"/>
      <protection hidden="1"/>
    </xf>
    <xf numFmtId="171" fontId="47" fillId="29" borderId="20" xfId="0" applyNumberFormat="1" applyFont="1" applyFill="1" applyBorder="1" applyAlignment="1" applyProtection="1">
      <alignment horizontal="right" vertical="center"/>
      <protection hidden="1"/>
    </xf>
    <xf numFmtId="171" fontId="47" fillId="29" borderId="1" xfId="0" applyNumberFormat="1" applyFont="1" applyFill="1" applyBorder="1" applyAlignment="1" applyProtection="1">
      <alignment horizontal="right" vertical="center"/>
      <protection hidden="1"/>
    </xf>
    <xf numFmtId="10" fontId="78" fillId="29" borderId="1" xfId="0" applyNumberFormat="1" applyFont="1" applyFill="1" applyBorder="1" applyAlignment="1" applyProtection="1">
      <alignment horizontal="right" vertical="center"/>
      <protection hidden="1"/>
    </xf>
    <xf numFmtId="14" fontId="78" fillId="29" borderId="1" xfId="0" applyNumberFormat="1" applyFont="1" applyFill="1" applyBorder="1" applyAlignment="1" applyProtection="1">
      <alignment horizontal="right" vertical="center"/>
      <protection hidden="1"/>
    </xf>
    <xf numFmtId="14" fontId="47" fillId="29" borderId="64" xfId="0" applyNumberFormat="1" applyFont="1" applyFill="1" applyBorder="1" applyAlignment="1" applyProtection="1">
      <alignment horizontal="right" vertical="center"/>
      <protection hidden="1"/>
    </xf>
    <xf numFmtId="14" fontId="47" fillId="29" borderId="175" xfId="0" applyNumberFormat="1" applyFont="1" applyFill="1" applyBorder="1" applyAlignment="1" applyProtection="1">
      <alignment horizontal="right" vertical="center"/>
      <protection hidden="1"/>
    </xf>
    <xf numFmtId="0" fontId="47" fillId="29" borderId="1" xfId="0" applyFont="1" applyFill="1" applyBorder="1" applyAlignment="1" applyProtection="1">
      <alignment horizontal="right" vertical="center" wrapText="1"/>
      <protection hidden="1"/>
    </xf>
    <xf numFmtId="171" fontId="107" fillId="29" borderId="1" xfId="0" applyNumberFormat="1" applyFont="1" applyFill="1" applyBorder="1" applyAlignment="1" applyProtection="1">
      <alignment horizontal="right" vertical="center" wrapText="1"/>
      <protection hidden="1"/>
    </xf>
    <xf numFmtId="171" fontId="47" fillId="29" borderId="174" xfId="0" applyNumberFormat="1" applyFont="1" applyFill="1" applyBorder="1" applyAlignment="1" applyProtection="1">
      <alignment horizontal="right" vertical="center"/>
      <protection hidden="1"/>
    </xf>
    <xf numFmtId="171" fontId="107" fillId="29" borderId="174" xfId="0" applyNumberFormat="1" applyFont="1" applyFill="1" applyBorder="1" applyAlignment="1" applyProtection="1">
      <alignment horizontal="right" vertical="center"/>
      <protection hidden="1"/>
    </xf>
    <xf numFmtId="2" fontId="81" fillId="5" borderId="0" xfId="25" applyNumberFormat="1" applyFont="1" applyFill="1" applyAlignment="1" applyProtection="1">
      <alignment horizontal="center" vertical="center"/>
      <protection locked="0" hidden="1"/>
    </xf>
    <xf numFmtId="0" fontId="81" fillId="5" borderId="0" xfId="25" applyFont="1" applyFill="1" applyAlignment="1" applyProtection="1">
      <alignment horizontal="center" vertical="center"/>
      <protection locked="0" hidden="1"/>
    </xf>
    <xf numFmtId="0" fontId="81" fillId="5" borderId="0" xfId="0" applyFont="1" applyFill="1" applyProtection="1">
      <protection hidden="1"/>
    </xf>
    <xf numFmtId="0" fontId="81" fillId="5" borderId="0" xfId="0" applyFont="1" applyFill="1" applyAlignment="1" applyProtection="1">
      <alignment horizontal="left"/>
      <protection hidden="1"/>
    </xf>
    <xf numFmtId="2" fontId="81" fillId="5" borderId="0" xfId="0" applyNumberFormat="1" applyFont="1" applyFill="1" applyAlignment="1" applyProtection="1">
      <alignment horizontal="left"/>
      <protection hidden="1"/>
    </xf>
    <xf numFmtId="0" fontId="81" fillId="5" borderId="0" xfId="0" applyFont="1" applyFill="1" applyAlignment="1">
      <alignment horizontal="left"/>
    </xf>
    <xf numFmtId="0" fontId="81" fillId="5" borderId="0" xfId="25" applyFont="1" applyFill="1" applyAlignment="1" applyProtection="1">
      <alignment horizontal="center" vertical="center"/>
      <protection hidden="1"/>
    </xf>
    <xf numFmtId="0" fontId="123" fillId="5" borderId="0" xfId="0" applyFont="1" applyFill="1" applyAlignment="1" applyProtection="1">
      <alignment horizontal="center" vertical="center"/>
      <protection hidden="1"/>
    </xf>
    <xf numFmtId="44" fontId="123" fillId="5" borderId="0" xfId="0" applyNumberFormat="1" applyFont="1" applyFill="1" applyAlignment="1" applyProtection="1">
      <alignment horizontal="center" vertical="center" wrapText="1"/>
      <protection hidden="1"/>
    </xf>
    <xf numFmtId="0" fontId="123" fillId="5" borderId="0" xfId="0" applyFont="1" applyFill="1" applyAlignment="1" applyProtection="1">
      <alignment horizontal="center" vertical="center" wrapText="1"/>
      <protection hidden="1"/>
    </xf>
    <xf numFmtId="2" fontId="81" fillId="5" borderId="0" xfId="25" applyNumberFormat="1" applyFont="1" applyFill="1" applyAlignment="1" applyProtection="1">
      <alignment horizontal="center" vertical="center"/>
      <protection hidden="1"/>
    </xf>
    <xf numFmtId="166" fontId="86" fillId="5" borderId="0" xfId="25" quotePrefix="1" applyNumberFormat="1" applyFont="1" applyFill="1" applyAlignment="1" applyProtection="1">
      <alignment vertical="center"/>
      <protection hidden="1"/>
    </xf>
    <xf numFmtId="14" fontId="123" fillId="5" borderId="0" xfId="0" applyNumberFormat="1" applyFont="1" applyFill="1" applyAlignment="1" applyProtection="1">
      <alignment horizontal="center" vertical="center"/>
      <protection hidden="1"/>
    </xf>
    <xf numFmtId="44" fontId="122" fillId="5" borderId="0" xfId="0" applyNumberFormat="1" applyFont="1" applyFill="1" applyAlignment="1" applyProtection="1">
      <alignment horizontal="center" vertical="center" wrapText="1"/>
      <protection hidden="1"/>
    </xf>
    <xf numFmtId="44" fontId="123" fillId="5" borderId="0" xfId="0" applyNumberFormat="1" applyFont="1" applyFill="1" applyAlignment="1">
      <alignment horizontal="center" vertical="center" wrapText="1"/>
    </xf>
    <xf numFmtId="0" fontId="123" fillId="5" borderId="0" xfId="26" applyFont="1" applyFill="1" applyAlignment="1" applyProtection="1">
      <alignment vertical="center" wrapText="1"/>
      <protection hidden="1"/>
    </xf>
    <xf numFmtId="0" fontId="123" fillId="5" borderId="0" xfId="0" applyFont="1" applyFill="1" applyAlignment="1" applyProtection="1">
      <alignment horizontal="left" vertical="center" wrapText="1"/>
      <protection hidden="1"/>
    </xf>
    <xf numFmtId="0" fontId="123" fillId="5" borderId="0" xfId="0" applyFont="1" applyFill="1" applyAlignment="1" applyProtection="1">
      <alignment vertical="center" wrapText="1"/>
      <protection hidden="1"/>
    </xf>
    <xf numFmtId="0" fontId="122" fillId="5" borderId="0" xfId="0" applyFont="1" applyFill="1" applyAlignment="1" applyProtection="1">
      <alignment vertical="center"/>
      <protection hidden="1"/>
    </xf>
    <xf numFmtId="0" fontId="123" fillId="5" borderId="0" xfId="0" applyFont="1" applyFill="1" applyAlignment="1" applyProtection="1">
      <alignment vertical="center"/>
      <protection hidden="1"/>
    </xf>
    <xf numFmtId="0" fontId="123" fillId="5" borderId="0" xfId="0" applyFont="1" applyFill="1" applyAlignment="1">
      <alignment vertical="center"/>
    </xf>
    <xf numFmtId="14" fontId="123" fillId="5" borderId="0" xfId="0" applyNumberFormat="1" applyFont="1" applyFill="1" applyAlignment="1">
      <alignment vertical="center" wrapText="1"/>
    </xf>
    <xf numFmtId="14" fontId="81" fillId="5" borderId="0" xfId="0" applyNumberFormat="1" applyFont="1" applyFill="1" applyAlignment="1">
      <alignment horizontal="left"/>
    </xf>
    <xf numFmtId="44" fontId="123" fillId="5" borderId="0" xfId="0" applyNumberFormat="1" applyFont="1" applyFill="1" applyAlignment="1" applyProtection="1">
      <alignment horizontal="right" vertical="center"/>
      <protection hidden="1"/>
    </xf>
    <xf numFmtId="175" fontId="39" fillId="0" borderId="1" xfId="8" applyNumberFormat="1" applyFont="1" applyBorder="1" applyAlignment="1" applyProtection="1">
      <alignment horizontal="left" vertical="center"/>
      <protection locked="0"/>
    </xf>
    <xf numFmtId="14" fontId="81" fillId="5" borderId="0" xfId="25" applyNumberFormat="1" applyFont="1" applyFill="1" applyAlignment="1" applyProtection="1">
      <alignment horizontal="center" vertical="center"/>
      <protection hidden="1"/>
    </xf>
    <xf numFmtId="171" fontId="107" fillId="5" borderId="0" xfId="0" applyNumberFormat="1" applyFont="1" applyFill="1" applyAlignment="1" applyProtection="1">
      <alignment horizontal="right" vertical="center" wrapText="1"/>
      <protection hidden="1"/>
    </xf>
    <xf numFmtId="0" fontId="122" fillId="5" borderId="0" xfId="25" applyFont="1" applyFill="1" applyAlignment="1" applyProtection="1">
      <alignment horizontal="center" vertical="center" wrapText="1"/>
      <protection hidden="1"/>
    </xf>
    <xf numFmtId="171" fontId="99" fillId="5" borderId="1" xfId="27" applyNumberFormat="1" applyFont="1" applyFill="1" applyBorder="1" applyAlignment="1" applyProtection="1">
      <alignment horizontal="center" vertical="center" wrapText="1"/>
      <protection locked="0" hidden="1"/>
    </xf>
    <xf numFmtId="14" fontId="76" fillId="28" borderId="0" xfId="0" applyNumberFormat="1" applyFont="1" applyFill="1"/>
    <xf numFmtId="14" fontId="76" fillId="25" borderId="0" xfId="0" applyNumberFormat="1" applyFont="1" applyFill="1"/>
    <xf numFmtId="171" fontId="107" fillId="29" borderId="1" xfId="25" applyNumberFormat="1" applyFont="1" applyFill="1" applyBorder="1" applyAlignment="1" applyProtection="1">
      <alignment horizontal="center" vertical="center" wrapText="1"/>
      <protection hidden="1"/>
    </xf>
    <xf numFmtId="14" fontId="123" fillId="5" borderId="0" xfId="0" applyNumberFormat="1" applyFont="1" applyFill="1" applyAlignment="1" applyProtection="1">
      <alignment horizontal="left" vertical="center" wrapText="1"/>
      <protection hidden="1"/>
    </xf>
    <xf numFmtId="171" fontId="76" fillId="28" borderId="0" xfId="0" applyNumberFormat="1" applyFont="1" applyFill="1"/>
    <xf numFmtId="166" fontId="96" fillId="5" borderId="0" xfId="25" applyNumberFormat="1" applyFont="1" applyFill="1" applyAlignment="1" applyProtection="1">
      <alignment horizontal="left" vertical="center"/>
      <protection hidden="1"/>
    </xf>
    <xf numFmtId="44" fontId="98" fillId="5" borderId="0" xfId="1" applyNumberFormat="1" applyFont="1" applyFill="1" applyAlignment="1" applyProtection="1">
      <alignment horizontal="center" vertical="center" wrapText="1"/>
      <protection hidden="1"/>
    </xf>
    <xf numFmtId="0" fontId="100" fillId="5" borderId="0" xfId="25" applyFont="1" applyFill="1" applyAlignment="1" applyProtection="1">
      <alignment horizontal="left" vertical="top"/>
      <protection hidden="1"/>
    </xf>
    <xf numFmtId="0" fontId="86" fillId="5" borderId="0" xfId="25" applyFont="1" applyFill="1" applyAlignment="1" applyProtection="1">
      <alignment horizontal="left" vertical="top"/>
      <protection hidden="1"/>
    </xf>
    <xf numFmtId="0" fontId="76" fillId="25" borderId="0" xfId="0" applyFont="1" applyFill="1"/>
    <xf numFmtId="0" fontId="122" fillId="5" borderId="0" xfId="25" applyFont="1" applyFill="1" applyAlignment="1" applyProtection="1">
      <alignment horizontal="left" wrapText="1"/>
      <protection hidden="1"/>
    </xf>
    <xf numFmtId="0" fontId="117" fillId="5" borderId="0" xfId="25" applyFont="1" applyFill="1" applyAlignment="1" applyProtection="1">
      <alignment horizontal="right" vertical="center" wrapText="1"/>
      <protection hidden="1"/>
    </xf>
    <xf numFmtId="0" fontId="125" fillId="5" borderId="0" xfId="0" applyFont="1" applyFill="1"/>
    <xf numFmtId="14" fontId="99" fillId="29" borderId="1" xfId="1" applyNumberFormat="1" applyFont="1" applyFill="1" applyBorder="1" applyAlignment="1" applyProtection="1">
      <alignment horizontal="center" vertical="center" wrapText="1"/>
      <protection hidden="1"/>
    </xf>
    <xf numFmtId="1" fontId="99" fillId="5" borderId="1" xfId="1" applyNumberFormat="1" applyFont="1" applyFill="1" applyBorder="1" applyAlignment="1" applyProtection="1">
      <alignment horizontal="center" vertical="center" wrapText="1"/>
      <protection locked="0" hidden="1"/>
    </xf>
    <xf numFmtId="44" fontId="122" fillId="5" borderId="0" xfId="0" applyNumberFormat="1" applyFont="1" applyFill="1" applyAlignment="1">
      <alignment vertical="center" wrapText="1"/>
    </xf>
    <xf numFmtId="44" fontId="122" fillId="5" borderId="0" xfId="0" applyNumberFormat="1" applyFont="1" applyFill="1" applyAlignment="1">
      <alignment horizontal="center" vertical="center" wrapText="1"/>
    </xf>
    <xf numFmtId="0" fontId="118" fillId="5" borderId="0" xfId="0" applyFont="1" applyFill="1" applyAlignment="1">
      <alignment horizontal="center" vertical="center"/>
    </xf>
    <xf numFmtId="2" fontId="120" fillId="5" borderId="0" xfId="0" applyNumberFormat="1" applyFont="1" applyFill="1" applyAlignment="1">
      <alignment horizontal="left" vertical="center"/>
    </xf>
    <xf numFmtId="0" fontId="122" fillId="5" borderId="0" xfId="0" applyFont="1" applyFill="1" applyAlignment="1">
      <alignment vertical="center"/>
    </xf>
    <xf numFmtId="0" fontId="126" fillId="5" borderId="0" xfId="0" applyFont="1" applyFill="1" applyAlignment="1">
      <alignment vertical="center" wrapText="1"/>
    </xf>
    <xf numFmtId="8" fontId="81" fillId="5" borderId="0" xfId="26" applyNumberFormat="1" applyFont="1" applyFill="1" applyAlignment="1" applyProtection="1">
      <alignment vertical="center" wrapText="1"/>
      <protection hidden="1"/>
    </xf>
    <xf numFmtId="171" fontId="81" fillId="5" borderId="0" xfId="26" applyNumberFormat="1" applyFont="1" applyFill="1" applyAlignment="1" applyProtection="1">
      <alignment vertical="center" wrapText="1"/>
      <protection hidden="1"/>
    </xf>
    <xf numFmtId="0" fontId="1" fillId="3" borderId="0" xfId="0" applyFont="1" applyFill="1"/>
    <xf numFmtId="0" fontId="1" fillId="5" borderId="83" xfId="0" applyFont="1" applyFill="1" applyBorder="1"/>
    <xf numFmtId="0" fontId="1" fillId="3" borderId="0" xfId="0" applyFont="1" applyFill="1" applyAlignment="1">
      <alignment vertical="top" wrapText="1"/>
    </xf>
    <xf numFmtId="0" fontId="1" fillId="5" borderId="0" xfId="0" applyFont="1" applyFill="1" applyAlignment="1">
      <alignment horizontal="left" vertical="top" wrapText="1"/>
    </xf>
    <xf numFmtId="0" fontId="1" fillId="5" borderId="84" xfId="0" applyFont="1" applyFill="1" applyBorder="1" applyAlignment="1">
      <alignment horizontal="left" vertical="top" wrapText="1"/>
    </xf>
    <xf numFmtId="0" fontId="1" fillId="5" borderId="0" xfId="0" applyFont="1" applyFill="1"/>
    <xf numFmtId="0" fontId="1" fillId="5" borderId="84" xfId="0" applyFont="1" applyFill="1" applyBorder="1"/>
    <xf numFmtId="0" fontId="1" fillId="0" borderId="0" xfId="8" applyFont="1" applyAlignment="1" applyProtection="1">
      <alignment vertical="center"/>
      <protection hidden="1"/>
    </xf>
    <xf numFmtId="0" fontId="1" fillId="28" borderId="0" xfId="8" applyFont="1" applyFill="1" applyAlignment="1" applyProtection="1">
      <alignment vertical="center"/>
      <protection hidden="1"/>
    </xf>
    <xf numFmtId="0" fontId="1" fillId="0" borderId="0" xfId="8" applyFont="1" applyAlignment="1" applyProtection="1">
      <alignment horizontal="center" vertical="center"/>
      <protection hidden="1"/>
    </xf>
    <xf numFmtId="0" fontId="1" fillId="28" borderId="0" xfId="8" applyFont="1" applyFill="1" applyAlignment="1" applyProtection="1">
      <alignment horizontal="center" vertical="center"/>
      <protection hidden="1"/>
    </xf>
    <xf numFmtId="0" fontId="1" fillId="0" borderId="0" xfId="8" applyFont="1" applyProtection="1">
      <protection hidden="1"/>
    </xf>
    <xf numFmtId="0" fontId="1" fillId="5" borderId="0" xfId="8" applyFont="1" applyFill="1" applyAlignment="1" applyProtection="1">
      <alignment vertical="center"/>
      <protection hidden="1"/>
    </xf>
    <xf numFmtId="1" fontId="78" fillId="29" borderId="171" xfId="0" applyNumberFormat="1" applyFont="1" applyFill="1" applyBorder="1" applyAlignment="1" applyProtection="1">
      <alignment horizontal="center" vertical="center"/>
      <protection hidden="1"/>
    </xf>
    <xf numFmtId="0" fontId="1" fillId="0" borderId="0" xfId="18" applyFont="1" applyAlignment="1" applyProtection="1">
      <alignment vertical="center"/>
      <protection hidden="1"/>
    </xf>
    <xf numFmtId="0" fontId="1" fillId="0" borderId="81" xfId="18" applyFont="1" applyBorder="1" applyAlignment="1" applyProtection="1">
      <alignment vertical="center"/>
      <protection hidden="1"/>
    </xf>
    <xf numFmtId="0" fontId="1" fillId="0" borderId="82" xfId="18" applyFont="1" applyBorder="1" applyAlignment="1" applyProtection="1">
      <alignment vertical="center"/>
      <protection hidden="1"/>
    </xf>
    <xf numFmtId="0" fontId="1" fillId="0" borderId="84" xfId="18" applyFont="1" applyBorder="1" applyAlignment="1" applyProtection="1">
      <alignment vertical="center"/>
      <protection hidden="1"/>
    </xf>
    <xf numFmtId="0" fontId="1" fillId="5" borderId="0" xfId="18" applyFont="1" applyFill="1" applyAlignment="1" applyProtection="1">
      <alignment vertical="center"/>
      <protection hidden="1"/>
    </xf>
    <xf numFmtId="0" fontId="1" fillId="5" borderId="84" xfId="18" applyFont="1" applyFill="1" applyBorder="1" applyAlignment="1" applyProtection="1">
      <alignment vertical="center"/>
      <protection hidden="1"/>
    </xf>
    <xf numFmtId="0" fontId="1" fillId="0" borderId="0" xfId="18" applyFont="1" applyAlignment="1" applyProtection="1">
      <alignment vertical="center" wrapText="1"/>
      <protection hidden="1"/>
    </xf>
    <xf numFmtId="0" fontId="1" fillId="0" borderId="0" xfId="18" applyFont="1" applyAlignment="1" applyProtection="1">
      <alignment vertical="top"/>
      <protection hidden="1"/>
    </xf>
    <xf numFmtId="0" fontId="1" fillId="0" borderId="84" xfId="18" applyFont="1" applyBorder="1" applyAlignment="1" applyProtection="1">
      <alignment vertical="top"/>
      <protection hidden="1"/>
    </xf>
    <xf numFmtId="0" fontId="1" fillId="0" borderId="48" xfId="18" applyFont="1" applyBorder="1" applyAlignment="1" applyProtection="1">
      <alignment vertical="center"/>
      <protection hidden="1"/>
    </xf>
    <xf numFmtId="0" fontId="1" fillId="0" borderId="0" xfId="18" applyFont="1" applyAlignment="1" applyProtection="1">
      <alignment horizontal="left" vertical="top"/>
      <protection hidden="1"/>
    </xf>
    <xf numFmtId="0" fontId="1" fillId="0" borderId="84" xfId="18" applyFont="1" applyBorder="1" applyAlignment="1" applyProtection="1">
      <alignment horizontal="left" vertical="top"/>
      <protection hidden="1"/>
    </xf>
    <xf numFmtId="0" fontId="1" fillId="14" borderId="101" xfId="18" applyFont="1" applyFill="1" applyBorder="1" applyAlignment="1" applyProtection="1">
      <alignment vertical="center"/>
      <protection hidden="1"/>
    </xf>
    <xf numFmtId="0" fontId="1" fillId="14" borderId="102" xfId="18" applyFont="1" applyFill="1" applyBorder="1" applyAlignment="1" applyProtection="1">
      <alignment vertical="center"/>
      <protection hidden="1"/>
    </xf>
    <xf numFmtId="0" fontId="1" fillId="22" borderId="88" xfId="20" applyFont="1" applyFill="1" applyBorder="1" applyAlignment="1">
      <alignment vertical="center"/>
    </xf>
    <xf numFmtId="0" fontId="1" fillId="0" borderId="151" xfId="20" applyFont="1" applyBorder="1" applyAlignment="1">
      <alignment vertical="center"/>
    </xf>
    <xf numFmtId="0" fontId="1" fillId="0" borderId="80" xfId="0" applyFont="1" applyBorder="1" applyAlignment="1">
      <alignment horizontal="center"/>
    </xf>
    <xf numFmtId="0" fontId="1" fillId="0" borderId="81" xfId="0" applyFont="1" applyBorder="1" applyAlignment="1">
      <alignment horizontal="center"/>
    </xf>
    <xf numFmtId="0" fontId="1" fillId="0" borderId="82" xfId="0" applyFont="1" applyBorder="1" applyAlignment="1">
      <alignment horizontal="center"/>
    </xf>
    <xf numFmtId="0" fontId="6" fillId="5" borderId="0" xfId="0" applyFont="1" applyFill="1" applyAlignment="1">
      <alignment horizontal="left" vertical="top" wrapText="1"/>
    </xf>
    <xf numFmtId="0" fontId="6" fillId="5" borderId="84" xfId="0" applyFont="1" applyFill="1" applyBorder="1" applyAlignment="1">
      <alignment horizontal="left" vertical="top" wrapText="1"/>
    </xf>
    <xf numFmtId="0" fontId="43" fillId="5" borderId="0" xfId="2" applyFont="1" applyFill="1" applyBorder="1" applyAlignment="1" applyProtection="1">
      <alignment horizontal="left" vertical="top" wrapText="1"/>
      <protection locked="0"/>
    </xf>
    <xf numFmtId="0" fontId="45" fillId="5" borderId="0" xfId="0" applyFont="1" applyFill="1" applyAlignment="1">
      <alignment horizontal="left" vertical="top" wrapText="1"/>
    </xf>
    <xf numFmtId="0" fontId="45" fillId="5" borderId="84" xfId="0" applyFont="1" applyFill="1" applyBorder="1" applyAlignment="1">
      <alignment horizontal="left" vertical="top" wrapText="1"/>
    </xf>
    <xf numFmtId="0" fontId="43" fillId="5" borderId="0" xfId="2" applyFont="1" applyFill="1" applyBorder="1" applyAlignment="1" applyProtection="1">
      <alignment horizontal="left" vertical="top" wrapText="1"/>
    </xf>
    <xf numFmtId="0" fontId="79" fillId="5" borderId="0" xfId="0" applyFont="1" applyFill="1" applyAlignment="1">
      <alignment horizontal="left" vertical="center"/>
    </xf>
    <xf numFmtId="0" fontId="35" fillId="5" borderId="0" xfId="0" applyFont="1" applyFill="1" applyAlignment="1">
      <alignment horizontal="left" vertical="center"/>
    </xf>
    <xf numFmtId="0" fontId="1" fillId="14" borderId="85" xfId="0" applyFont="1" applyFill="1" applyBorder="1" applyAlignment="1">
      <alignment horizontal="center"/>
    </xf>
    <xf numFmtId="0" fontId="1" fillId="14" borderId="86" xfId="0" applyFont="1" applyFill="1" applyBorder="1" applyAlignment="1">
      <alignment horizontal="center"/>
    </xf>
    <xf numFmtId="0" fontId="1" fillId="14" borderId="87" xfId="0" applyFont="1" applyFill="1" applyBorder="1" applyAlignment="1">
      <alignment horizontal="center"/>
    </xf>
    <xf numFmtId="0" fontId="46" fillId="5" borderId="0" xfId="0" applyFont="1" applyFill="1" applyAlignment="1">
      <alignment horizontal="left" vertical="top"/>
    </xf>
    <xf numFmtId="0" fontId="1" fillId="5" borderId="16"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15" xfId="0" applyFont="1" applyFill="1" applyBorder="1" applyAlignment="1">
      <alignment horizontal="left" vertical="top" wrapText="1"/>
    </xf>
    <xf numFmtId="0" fontId="1" fillId="5" borderId="0" xfId="0" applyFont="1" applyFill="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6" fillId="14" borderId="0" xfId="0" applyFont="1" applyFill="1" applyAlignment="1">
      <alignment horizontal="center"/>
    </xf>
    <xf numFmtId="0" fontId="6" fillId="15" borderId="15" xfId="0" applyFont="1" applyFill="1" applyBorder="1" applyAlignment="1">
      <alignment horizontal="left" vertical="top" wrapText="1"/>
    </xf>
    <xf numFmtId="0" fontId="6" fillId="15" borderId="0" xfId="0" applyFont="1" applyFill="1" applyAlignment="1">
      <alignment horizontal="left" vertical="top" wrapText="1"/>
    </xf>
    <xf numFmtId="0" fontId="6" fillId="15" borderId="84" xfId="0" applyFont="1" applyFill="1" applyBorder="1" applyAlignment="1">
      <alignment horizontal="left" vertical="top" wrapText="1"/>
    </xf>
    <xf numFmtId="0" fontId="34" fillId="14" borderId="37" xfId="0" applyFont="1" applyFill="1" applyBorder="1" applyAlignment="1">
      <alignment horizontal="center" vertical="center" wrapText="1"/>
    </xf>
    <xf numFmtId="0" fontId="34" fillId="14" borderId="12" xfId="0" applyFont="1" applyFill="1" applyBorder="1" applyAlignment="1">
      <alignment horizontal="center" vertical="center" wrapText="1"/>
    </xf>
    <xf numFmtId="0" fontId="34" fillId="14" borderId="17" xfId="0" applyFont="1" applyFill="1" applyBorder="1" applyAlignment="1">
      <alignment horizontal="center" vertical="center" wrapText="1"/>
    </xf>
    <xf numFmtId="0" fontId="28" fillId="5" borderId="104" xfId="0" applyFont="1" applyFill="1" applyBorder="1" applyAlignment="1" applyProtection="1">
      <alignment horizontal="left" vertical="center"/>
      <protection locked="0"/>
    </xf>
    <xf numFmtId="0" fontId="28" fillId="5" borderId="105" xfId="0" applyFont="1" applyFill="1" applyBorder="1" applyAlignment="1" applyProtection="1">
      <alignment horizontal="left" vertical="center"/>
      <protection locked="0"/>
    </xf>
    <xf numFmtId="0" fontId="6" fillId="0" borderId="69"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166" fontId="34" fillId="14" borderId="103" xfId="0" applyNumberFormat="1" applyFont="1" applyFill="1" applyBorder="1" applyAlignment="1">
      <alignment horizontal="left" vertical="center"/>
    </xf>
    <xf numFmtId="166" fontId="34" fillId="14" borderId="104" xfId="0" applyNumberFormat="1" applyFont="1" applyFill="1" applyBorder="1" applyAlignment="1">
      <alignment horizontal="left" vertical="center"/>
    </xf>
    <xf numFmtId="0" fontId="35" fillId="0" borderId="6" xfId="0" applyFont="1" applyBorder="1" applyAlignment="1">
      <alignment horizontal="center"/>
    </xf>
    <xf numFmtId="0" fontId="35" fillId="0" borderId="7" xfId="0" applyFont="1" applyBorder="1" applyAlignment="1">
      <alignment horizontal="center"/>
    </xf>
    <xf numFmtId="0" fontId="28" fillId="5" borderId="0" xfId="0" applyFont="1" applyFill="1" applyAlignment="1">
      <alignment horizontal="center"/>
    </xf>
    <xf numFmtId="0" fontId="28" fillId="5" borderId="4" xfId="0" applyFont="1" applyFill="1" applyBorder="1" applyAlignment="1">
      <alignment horizontal="center"/>
    </xf>
    <xf numFmtId="1" fontId="6" fillId="0" borderId="37" xfId="0" applyNumberFormat="1" applyFont="1" applyBorder="1" applyAlignment="1" applyProtection="1">
      <alignment horizontal="left" vertical="center" wrapText="1"/>
      <protection locked="0"/>
    </xf>
    <xf numFmtId="1" fontId="6" fillId="0" borderId="12" xfId="0" applyNumberFormat="1" applyFont="1" applyBorder="1" applyAlignment="1" applyProtection="1">
      <alignment horizontal="left" vertical="center" wrapText="1"/>
      <protection locked="0"/>
    </xf>
    <xf numFmtId="1" fontId="6" fillId="0" borderId="17" xfId="0" applyNumberFormat="1" applyFont="1" applyBorder="1" applyAlignment="1" applyProtection="1">
      <alignment horizontal="left" vertical="center" wrapText="1"/>
      <protection locked="0"/>
    </xf>
    <xf numFmtId="0" fontId="36" fillId="15" borderId="14" xfId="0" applyFont="1" applyFill="1" applyBorder="1" applyAlignment="1" applyProtection="1">
      <alignment horizontal="center" vertical="center" wrapText="1"/>
      <protection hidden="1"/>
    </xf>
    <xf numFmtId="0" fontId="36" fillId="15" borderId="17" xfId="0" applyFont="1" applyFill="1" applyBorder="1" applyAlignment="1" applyProtection="1">
      <alignment horizontal="center" vertical="center" wrapText="1"/>
      <protection hidden="1"/>
    </xf>
    <xf numFmtId="0" fontId="34" fillId="14" borderId="14" xfId="0" applyFont="1" applyFill="1" applyBorder="1" applyAlignment="1">
      <alignment horizontal="center" vertical="center" wrapText="1"/>
    </xf>
    <xf numFmtId="0" fontId="40" fillId="15" borderId="166" xfId="0" applyFont="1" applyFill="1" applyBorder="1" applyAlignment="1">
      <alignment horizontal="left" vertical="center" wrapText="1"/>
    </xf>
    <xf numFmtId="0" fontId="40" fillId="15" borderId="81" xfId="0" applyFont="1" applyFill="1" applyBorder="1" applyAlignment="1">
      <alignment horizontal="left" vertical="center" wrapText="1"/>
    </xf>
    <xf numFmtId="0" fontId="40" fillId="15" borderId="82" xfId="0" applyFont="1" applyFill="1" applyBorder="1" applyAlignment="1">
      <alignment horizontal="left" vertical="center" wrapText="1"/>
    </xf>
    <xf numFmtId="0" fontId="54" fillId="15" borderId="5" xfId="0" applyFont="1" applyFill="1" applyBorder="1" applyAlignment="1">
      <alignment horizontal="left" vertical="top" wrapText="1"/>
    </xf>
    <xf numFmtId="0" fontId="54" fillId="15" borderId="6" xfId="0" applyFont="1" applyFill="1" applyBorder="1" applyAlignment="1">
      <alignment horizontal="left" vertical="top" wrapText="1"/>
    </xf>
    <xf numFmtId="0" fontId="54" fillId="15" borderId="7" xfId="0" applyFont="1" applyFill="1" applyBorder="1" applyAlignment="1">
      <alignment horizontal="left" vertical="top" wrapText="1"/>
    </xf>
    <xf numFmtId="164" fontId="52" fillId="5" borderId="47" xfId="0" applyNumberFormat="1" applyFont="1" applyFill="1" applyBorder="1" applyAlignment="1">
      <alignment horizontal="center" vertical="center" wrapText="1"/>
    </xf>
    <xf numFmtId="164" fontId="52" fillId="5" borderId="0" xfId="0" applyNumberFormat="1" applyFont="1" applyFill="1" applyAlignment="1">
      <alignment horizontal="center" vertical="center" wrapText="1"/>
    </xf>
    <xf numFmtId="14" fontId="28" fillId="5" borderId="109" xfId="0" applyNumberFormat="1" applyFont="1" applyFill="1" applyBorder="1" applyAlignment="1" applyProtection="1">
      <alignment horizontal="left" vertical="center"/>
      <protection locked="0"/>
    </xf>
    <xf numFmtId="14" fontId="28" fillId="5" borderId="110" xfId="0" applyNumberFormat="1" applyFont="1" applyFill="1" applyBorder="1" applyAlignment="1" applyProtection="1">
      <alignment horizontal="left" vertical="center"/>
      <protection locked="0"/>
    </xf>
    <xf numFmtId="0" fontId="51" fillId="5" borderId="0" xfId="0" applyFont="1" applyFill="1" applyAlignment="1">
      <alignment horizontal="center" vertical="center"/>
    </xf>
    <xf numFmtId="166" fontId="34" fillId="14" borderId="108" xfId="0" applyNumberFormat="1" applyFont="1" applyFill="1" applyBorder="1" applyAlignment="1">
      <alignment horizontal="left" vertical="center"/>
    </xf>
    <xf numFmtId="166" fontId="34" fillId="14" borderId="109" xfId="0" applyNumberFormat="1" applyFont="1" applyFill="1" applyBorder="1" applyAlignment="1">
      <alignment horizontal="left" vertical="center"/>
    </xf>
    <xf numFmtId="0" fontId="34" fillId="14" borderId="38" xfId="0" applyFont="1" applyFill="1" applyBorder="1" applyAlignment="1">
      <alignment horizontal="center" vertical="center" wrapText="1"/>
    </xf>
    <xf numFmtId="49" fontId="38" fillId="0" borderId="1" xfId="8" applyNumberFormat="1" applyFont="1" applyBorder="1" applyAlignment="1" applyProtection="1">
      <alignment horizontal="left" vertical="center" wrapText="1"/>
      <protection locked="0"/>
    </xf>
    <xf numFmtId="0" fontId="56" fillId="0" borderId="0" xfId="8" applyFont="1" applyAlignment="1" applyProtection="1">
      <alignment horizontal="left" vertical="center" wrapText="1"/>
      <protection hidden="1"/>
    </xf>
    <xf numFmtId="49" fontId="39" fillId="0" borderId="18" xfId="8" applyNumberFormat="1" applyFont="1" applyBorder="1" applyAlignment="1" applyProtection="1">
      <alignment horizontal="left" vertical="center" wrapText="1"/>
      <protection locked="0"/>
    </xf>
    <xf numFmtId="49" fontId="39" fillId="0" borderId="34" xfId="8" applyNumberFormat="1" applyFont="1" applyBorder="1" applyAlignment="1" applyProtection="1">
      <alignment horizontal="left" vertical="center" wrapText="1"/>
      <protection locked="0"/>
    </xf>
    <xf numFmtId="49" fontId="39" fillId="0" borderId="30" xfId="8" applyNumberFormat="1" applyFont="1" applyBorder="1" applyAlignment="1" applyProtection="1">
      <alignment horizontal="left" vertical="center" wrapText="1"/>
      <protection locked="0"/>
    </xf>
    <xf numFmtId="0" fontId="39" fillId="29" borderId="18" xfId="8" applyFont="1" applyFill="1" applyBorder="1" applyAlignment="1">
      <alignment horizontal="left" vertical="center" wrapText="1"/>
    </xf>
    <xf numFmtId="0" fontId="39" fillId="29" borderId="34" xfId="8" applyFont="1" applyFill="1" applyBorder="1" applyAlignment="1">
      <alignment horizontal="left" vertical="center" wrapText="1"/>
    </xf>
    <xf numFmtId="0" fontId="39" fillId="29" borderId="30" xfId="8" applyFont="1" applyFill="1" applyBorder="1" applyAlignment="1">
      <alignment horizontal="left" vertical="center" wrapText="1"/>
    </xf>
    <xf numFmtId="49" fontId="38" fillId="0" borderId="64" xfId="8" applyNumberFormat="1" applyFont="1" applyBorder="1" applyAlignment="1" applyProtection="1">
      <alignment horizontal="left" vertical="center" wrapText="1"/>
      <protection locked="0"/>
    </xf>
    <xf numFmtId="0" fontId="118" fillId="0" borderId="0" xfId="0" applyFont="1" applyAlignment="1" applyProtection="1">
      <alignment horizontal="left" vertical="center" wrapText="1"/>
      <protection hidden="1"/>
    </xf>
    <xf numFmtId="49" fontId="38" fillId="0" borderId="1" xfId="8" applyNumberFormat="1" applyFont="1" applyBorder="1" applyAlignment="1" applyProtection="1">
      <alignment vertical="center" wrapText="1"/>
      <protection locked="0"/>
    </xf>
    <xf numFmtId="0" fontId="118" fillId="0" borderId="0" xfId="8" applyFont="1" applyAlignment="1" applyProtection="1">
      <alignment horizontal="left" vertical="center" wrapText="1"/>
      <protection hidden="1"/>
    </xf>
    <xf numFmtId="49" fontId="45" fillId="0" borderId="1" xfId="2" applyNumberFormat="1" applyFont="1" applyBorder="1" applyAlignment="1">
      <alignment horizontal="left" vertical="center" wrapText="1"/>
      <protection locked="0"/>
    </xf>
    <xf numFmtId="49" fontId="44" fillId="0" borderId="1" xfId="8" applyNumberFormat="1" applyFont="1" applyBorder="1" applyAlignment="1" applyProtection="1">
      <alignment horizontal="left" vertical="center" wrapText="1"/>
      <protection locked="0"/>
    </xf>
    <xf numFmtId="49" fontId="118" fillId="0" borderId="0" xfId="8" applyNumberFormat="1" applyFont="1" applyAlignment="1">
      <alignment horizontal="left" vertical="top" wrapText="1"/>
    </xf>
    <xf numFmtId="49" fontId="38" fillId="0" borderId="1" xfId="8" applyNumberFormat="1" applyFont="1" applyBorder="1" applyAlignment="1" applyProtection="1">
      <alignment horizontal="left" vertical="top" wrapText="1"/>
      <protection locked="0"/>
    </xf>
    <xf numFmtId="0" fontId="118" fillId="0" borderId="0" xfId="8" applyFont="1" applyAlignment="1" applyProtection="1">
      <alignment horizontal="left" vertical="top" wrapText="1"/>
      <protection hidden="1"/>
    </xf>
    <xf numFmtId="49" fontId="38" fillId="0" borderId="23" xfId="8" applyNumberFormat="1" applyFont="1" applyBorder="1" applyAlignment="1" applyProtection="1">
      <alignment horizontal="left" vertical="top" wrapText="1"/>
      <protection locked="0"/>
    </xf>
    <xf numFmtId="49" fontId="38" fillId="0" borderId="24" xfId="8" applyNumberFormat="1" applyFont="1" applyBorder="1" applyAlignment="1" applyProtection="1">
      <alignment horizontal="left" vertical="top" wrapText="1"/>
      <protection locked="0"/>
    </xf>
    <xf numFmtId="49" fontId="38" fillId="0" borderId="18" xfId="8" applyNumberFormat="1" applyFont="1" applyBorder="1" applyAlignment="1" applyProtection="1">
      <alignment horizontal="left" vertical="top" wrapText="1"/>
      <protection locked="0"/>
    </xf>
    <xf numFmtId="49" fontId="38" fillId="0" borderId="34" xfId="8" applyNumberFormat="1" applyFont="1" applyBorder="1" applyAlignment="1" applyProtection="1">
      <alignment horizontal="left" vertical="top" wrapText="1"/>
      <protection locked="0"/>
    </xf>
    <xf numFmtId="49" fontId="38" fillId="0" borderId="30" xfId="8" applyNumberFormat="1" applyFont="1" applyBorder="1" applyAlignment="1" applyProtection="1">
      <alignment horizontal="left" vertical="top" wrapText="1"/>
      <protection locked="0"/>
    </xf>
    <xf numFmtId="0" fontId="34" fillId="14" borderId="183" xfId="10" applyFont="1" applyFill="1" applyBorder="1" applyAlignment="1" applyProtection="1">
      <alignment horizontal="center" vertical="center" wrapText="1"/>
      <protection hidden="1"/>
    </xf>
    <xf numFmtId="0" fontId="34" fillId="14" borderId="186" xfId="10" applyFont="1" applyFill="1" applyBorder="1" applyAlignment="1" applyProtection="1">
      <alignment horizontal="center" vertical="center" wrapText="1"/>
      <protection hidden="1"/>
    </xf>
    <xf numFmtId="49" fontId="38" fillId="0" borderId="21" xfId="8" applyNumberFormat="1" applyFont="1" applyBorder="1" applyAlignment="1" applyProtection="1">
      <alignment horizontal="left" vertical="top" wrapText="1"/>
      <protection locked="0"/>
    </xf>
    <xf numFmtId="49" fontId="38" fillId="0" borderId="54" xfId="8" applyNumberFormat="1" applyFont="1" applyBorder="1" applyAlignment="1" applyProtection="1">
      <alignment horizontal="left" vertical="top" wrapText="1"/>
      <protection locked="0"/>
    </xf>
    <xf numFmtId="49" fontId="38" fillId="0" borderId="55" xfId="8" applyNumberFormat="1" applyFont="1" applyBorder="1" applyAlignment="1" applyProtection="1">
      <alignment horizontal="left" vertical="top" wrapText="1"/>
      <protection locked="0"/>
    </xf>
    <xf numFmtId="0" fontId="6" fillId="0" borderId="0" xfId="8" applyFont="1" applyAlignment="1" applyProtection="1">
      <alignment horizontal="right" vertical="top" wrapText="1"/>
      <protection hidden="1"/>
    </xf>
    <xf numFmtId="49" fontId="38" fillId="0" borderId="180" xfId="8" applyNumberFormat="1" applyFont="1" applyBorder="1" applyAlignment="1" applyProtection="1">
      <alignment horizontal="left" vertical="top" wrapText="1"/>
      <protection locked="0"/>
    </xf>
    <xf numFmtId="49" fontId="38" fillId="0" borderId="181" xfId="8" applyNumberFormat="1" applyFont="1" applyBorder="1" applyAlignment="1" applyProtection="1">
      <alignment horizontal="left" vertical="top" wrapText="1"/>
      <protection locked="0"/>
    </xf>
    <xf numFmtId="49" fontId="38" fillId="0" borderId="182" xfId="8" applyNumberFormat="1" applyFont="1" applyBorder="1" applyAlignment="1" applyProtection="1">
      <alignment horizontal="left" vertical="top" wrapText="1"/>
      <protection locked="0"/>
    </xf>
    <xf numFmtId="0" fontId="54" fillId="29" borderId="198" xfId="10" applyFont="1" applyFill="1" applyBorder="1" applyAlignment="1" applyProtection="1">
      <alignment horizontal="center" vertical="center" wrapText="1"/>
      <protection hidden="1"/>
    </xf>
    <xf numFmtId="0" fontId="54" fillId="29" borderId="199" xfId="10" applyFont="1" applyFill="1" applyBorder="1" applyAlignment="1" applyProtection="1">
      <alignment horizontal="center" vertical="center" wrapText="1"/>
      <protection hidden="1"/>
    </xf>
    <xf numFmtId="0" fontId="54" fillId="29" borderId="197" xfId="10" applyFont="1" applyFill="1" applyBorder="1" applyAlignment="1" applyProtection="1">
      <alignment horizontal="center" vertical="center" wrapText="1"/>
      <protection hidden="1"/>
    </xf>
    <xf numFmtId="0" fontId="54" fillId="29" borderId="190" xfId="10" applyFont="1" applyFill="1" applyBorder="1" applyAlignment="1" applyProtection="1">
      <alignment horizontal="center" vertical="center"/>
      <protection hidden="1"/>
    </xf>
    <xf numFmtId="0" fontId="54" fillId="29" borderId="192" xfId="10" applyFont="1" applyFill="1" applyBorder="1" applyAlignment="1" applyProtection="1">
      <alignment horizontal="center" vertical="center"/>
      <protection hidden="1"/>
    </xf>
    <xf numFmtId="0" fontId="54" fillId="29" borderId="193" xfId="10" applyFont="1" applyFill="1" applyBorder="1" applyAlignment="1" applyProtection="1">
      <alignment horizontal="center" vertical="center"/>
      <protection hidden="1"/>
    </xf>
    <xf numFmtId="0" fontId="118" fillId="0" borderId="0" xfId="8" applyFont="1" applyProtection="1">
      <protection hidden="1"/>
    </xf>
    <xf numFmtId="0" fontId="118" fillId="0" borderId="0" xfId="8" applyFont="1" applyAlignment="1" applyProtection="1">
      <alignment horizontal="left" wrapText="1"/>
      <protection hidden="1"/>
    </xf>
    <xf numFmtId="0" fontId="87" fillId="5" borderId="0" xfId="0" applyFont="1" applyFill="1" applyAlignment="1">
      <alignment horizontal="left" vertical="center"/>
    </xf>
    <xf numFmtId="49" fontId="60" fillId="0" borderId="18" xfId="8" applyNumberFormat="1" applyFont="1" applyBorder="1" applyAlignment="1" applyProtection="1">
      <alignment horizontal="left" vertical="top" wrapText="1"/>
      <protection locked="0"/>
    </xf>
    <xf numFmtId="49" fontId="60" fillId="0" borderId="34" xfId="8" applyNumberFormat="1" applyFont="1" applyBorder="1" applyAlignment="1" applyProtection="1">
      <alignment horizontal="left" vertical="top" wrapText="1"/>
      <protection locked="0"/>
    </xf>
    <xf numFmtId="49" fontId="60" fillId="0" borderId="30" xfId="8" applyNumberFormat="1" applyFont="1" applyBorder="1" applyAlignment="1" applyProtection="1">
      <alignment horizontal="left" vertical="top" wrapText="1"/>
      <protection locked="0"/>
    </xf>
    <xf numFmtId="0" fontId="38" fillId="0" borderId="18" xfId="8" applyFont="1" applyBorder="1" applyAlignment="1" applyProtection="1">
      <alignment horizontal="left" vertical="top" wrapText="1"/>
      <protection locked="0" hidden="1"/>
    </xf>
    <xf numFmtId="0" fontId="38" fillId="0" borderId="34" xfId="8" applyFont="1" applyBorder="1" applyAlignment="1" applyProtection="1">
      <alignment horizontal="left" vertical="top"/>
      <protection locked="0" hidden="1"/>
    </xf>
    <xf numFmtId="0" fontId="38" fillId="0" borderId="30" xfId="8" applyFont="1" applyBorder="1" applyAlignment="1" applyProtection="1">
      <alignment horizontal="left" vertical="top"/>
      <protection locked="0" hidden="1"/>
    </xf>
    <xf numFmtId="0" fontId="118" fillId="0" borderId="0" xfId="8" applyFont="1" applyAlignment="1" applyProtection="1">
      <alignment horizontal="left" vertical="top"/>
      <protection hidden="1"/>
    </xf>
    <xf numFmtId="0" fontId="100" fillId="0" borderId="0" xfId="8" applyFont="1" applyAlignment="1" applyProtection="1">
      <alignment horizontal="left" wrapText="1"/>
      <protection hidden="1"/>
    </xf>
    <xf numFmtId="0" fontId="59" fillId="0" borderId="0" xfId="0" applyFont="1" applyAlignment="1" applyProtection="1">
      <alignment horizontal="center" vertical="center" wrapText="1"/>
      <protection hidden="1"/>
    </xf>
    <xf numFmtId="0" fontId="100" fillId="0" borderId="0" xfId="0" applyFont="1" applyAlignment="1" applyProtection="1">
      <alignment horizontal="left" vertical="center" wrapText="1"/>
      <protection hidden="1"/>
    </xf>
    <xf numFmtId="0" fontId="120" fillId="0" borderId="0" xfId="0" applyFont="1" applyAlignment="1" applyProtection="1">
      <alignment horizontal="left" vertical="center" wrapText="1"/>
      <protection hidden="1"/>
    </xf>
    <xf numFmtId="0" fontId="81" fillId="5" borderId="0" xfId="25" applyFont="1" applyFill="1" applyAlignment="1" applyProtection="1">
      <alignment horizontal="left" vertical="center" wrapText="1"/>
      <protection hidden="1"/>
    </xf>
    <xf numFmtId="0" fontId="86" fillId="0" borderId="0" xfId="25" applyFont="1" applyAlignment="1" applyProtection="1">
      <alignment horizontal="left" vertical="top" wrapText="1"/>
      <protection hidden="1"/>
    </xf>
    <xf numFmtId="0" fontId="122" fillId="29" borderId="64" xfId="25" applyFont="1" applyFill="1" applyBorder="1" applyAlignment="1" applyProtection="1">
      <alignment horizontal="center" vertical="center" wrapText="1"/>
      <protection hidden="1"/>
    </xf>
    <xf numFmtId="0" fontId="122" fillId="29" borderId="172" xfId="25" applyFont="1" applyFill="1" applyBorder="1" applyAlignment="1" applyProtection="1">
      <alignment horizontal="center" vertical="center" wrapText="1"/>
      <protection hidden="1"/>
    </xf>
    <xf numFmtId="0" fontId="122" fillId="29" borderId="20" xfId="25" applyFont="1" applyFill="1" applyBorder="1" applyAlignment="1" applyProtection="1">
      <alignment horizontal="center" vertical="center" wrapText="1"/>
      <protection hidden="1"/>
    </xf>
    <xf numFmtId="0" fontId="100" fillId="5" borderId="0" xfId="25" applyFont="1" applyFill="1" applyAlignment="1" applyProtection="1">
      <alignment horizontal="left" vertical="top" wrapText="1"/>
      <protection hidden="1"/>
    </xf>
    <xf numFmtId="0" fontId="81" fillId="0" borderId="0" xfId="26" applyFont="1" applyAlignment="1" applyProtection="1">
      <alignment horizontal="left" vertical="top" wrapText="1"/>
      <protection hidden="1"/>
    </xf>
    <xf numFmtId="0" fontId="77" fillId="5" borderId="47" xfId="26" applyFont="1" applyFill="1" applyBorder="1" applyAlignment="1" applyProtection="1">
      <alignment horizontal="left" vertical="top" wrapText="1"/>
      <protection locked="0"/>
    </xf>
    <xf numFmtId="0" fontId="77" fillId="5" borderId="178" xfId="26" applyFont="1" applyFill="1" applyBorder="1" applyAlignment="1" applyProtection="1">
      <alignment horizontal="left" vertical="top" wrapText="1"/>
      <protection locked="0"/>
    </xf>
    <xf numFmtId="0" fontId="77" fillId="5" borderId="0" xfId="26" applyFont="1" applyFill="1" applyAlignment="1" applyProtection="1">
      <alignment horizontal="left" vertical="top" wrapText="1"/>
      <protection locked="0"/>
    </xf>
    <xf numFmtId="0" fontId="77" fillId="5" borderId="63" xfId="26" applyFont="1" applyFill="1" applyBorder="1" applyAlignment="1" applyProtection="1">
      <alignment horizontal="left" vertical="top" wrapText="1"/>
      <protection locked="0"/>
    </xf>
    <xf numFmtId="0" fontId="77" fillId="5" borderId="48" xfId="26" applyFont="1" applyFill="1" applyBorder="1" applyAlignment="1" applyProtection="1">
      <alignment horizontal="left" vertical="top" wrapText="1"/>
      <protection locked="0"/>
    </xf>
    <xf numFmtId="0" fontId="77" fillId="5" borderId="65" xfId="26" applyFont="1" applyFill="1" applyBorder="1" applyAlignment="1" applyProtection="1">
      <alignment horizontal="left" vertical="top" wrapText="1"/>
      <protection locked="0"/>
    </xf>
    <xf numFmtId="0" fontId="86" fillId="5" borderId="0" xfId="25" applyFont="1" applyFill="1" applyAlignment="1" applyProtection="1">
      <alignment horizontal="left" vertical="top" wrapText="1"/>
      <protection hidden="1"/>
    </xf>
    <xf numFmtId="166" fontId="96" fillId="14" borderId="0" xfId="25" quotePrefix="1" applyNumberFormat="1" applyFont="1" applyFill="1" applyAlignment="1" applyProtection="1">
      <alignment horizontal="left" vertical="center"/>
      <protection hidden="1"/>
    </xf>
    <xf numFmtId="0" fontId="34" fillId="5" borderId="0" xfId="0" applyFont="1" applyFill="1" applyAlignment="1">
      <alignment horizontal="center" vertical="center"/>
    </xf>
    <xf numFmtId="0" fontId="83" fillId="14" borderId="18" xfId="0" applyFont="1" applyFill="1" applyBorder="1" applyAlignment="1" applyProtection="1">
      <alignment horizontal="center" vertical="center"/>
      <protection hidden="1"/>
    </xf>
    <xf numFmtId="0" fontId="83" fillId="14" borderId="30" xfId="0" applyFont="1" applyFill="1" applyBorder="1" applyAlignment="1" applyProtection="1">
      <alignment horizontal="center" vertical="center"/>
      <protection hidden="1"/>
    </xf>
    <xf numFmtId="0" fontId="83" fillId="14" borderId="173" xfId="0" applyFont="1" applyFill="1" applyBorder="1" applyAlignment="1" applyProtection="1">
      <alignment horizontal="center" vertical="center" wrapText="1"/>
      <protection hidden="1"/>
    </xf>
    <xf numFmtId="0" fontId="83" fillId="14" borderId="174" xfId="0" applyFont="1" applyFill="1" applyBorder="1" applyAlignment="1" applyProtection="1">
      <alignment horizontal="center" vertical="center" wrapText="1"/>
      <protection hidden="1"/>
    </xf>
    <xf numFmtId="0" fontId="83" fillId="14" borderId="1" xfId="0" applyFont="1" applyFill="1" applyBorder="1" applyAlignment="1" applyProtection="1">
      <alignment horizontal="center" vertical="center" wrapText="1"/>
      <protection hidden="1"/>
    </xf>
    <xf numFmtId="0" fontId="28" fillId="5" borderId="167" xfId="4" applyFont="1" applyFill="1" applyBorder="1" applyAlignment="1">
      <alignment horizontal="left" vertical="top" wrapText="1"/>
    </xf>
    <xf numFmtId="0" fontId="28" fillId="5" borderId="86" xfId="4" applyFont="1" applyFill="1" applyBorder="1" applyAlignment="1">
      <alignment horizontal="left" vertical="top" wrapText="1"/>
    </xf>
    <xf numFmtId="0" fontId="28" fillId="5" borderId="170" xfId="4" applyFont="1" applyFill="1" applyBorder="1" applyAlignment="1">
      <alignment horizontal="left" vertical="top" wrapText="1"/>
    </xf>
    <xf numFmtId="0" fontId="87" fillId="0" borderId="0" xfId="0" applyFont="1" applyAlignment="1" applyProtection="1">
      <alignment horizontal="left" vertical="center" wrapText="1"/>
      <protection hidden="1"/>
    </xf>
    <xf numFmtId="0" fontId="87" fillId="0" borderId="149" xfId="0" applyFont="1" applyBorder="1" applyAlignment="1" applyProtection="1">
      <alignment horizontal="left" vertical="center" wrapText="1"/>
      <protection hidden="1"/>
    </xf>
    <xf numFmtId="0" fontId="86" fillId="0" borderId="148" xfId="0" applyFont="1" applyBorder="1" applyAlignment="1" applyProtection="1">
      <alignment horizontal="left" wrapText="1"/>
      <protection hidden="1"/>
    </xf>
    <xf numFmtId="0" fontId="77" fillId="0" borderId="0" xfId="0" applyFont="1" applyAlignment="1" applyProtection="1">
      <alignment horizontal="left" vertical="top" wrapText="1"/>
      <protection hidden="1"/>
    </xf>
    <xf numFmtId="0" fontId="83" fillId="14" borderId="0" xfId="0" applyFont="1" applyFill="1" applyAlignment="1" applyProtection="1">
      <alignment horizontal="left" vertical="center" wrapText="1"/>
      <protection hidden="1"/>
    </xf>
    <xf numFmtId="172" fontId="6" fillId="0" borderId="18" xfId="18" applyNumberFormat="1" applyFont="1" applyBorder="1" applyAlignment="1" applyProtection="1">
      <alignment horizontal="center" vertical="center" wrapText="1"/>
      <protection locked="0"/>
    </xf>
    <xf numFmtId="172" fontId="6" fillId="0" borderId="30" xfId="18" applyNumberFormat="1" applyFont="1" applyBorder="1" applyAlignment="1" applyProtection="1">
      <alignment horizontal="center" vertical="center" wrapText="1"/>
      <protection locked="0"/>
    </xf>
    <xf numFmtId="0" fontId="28" fillId="5" borderId="1" xfId="17" applyFont="1" applyFill="1" applyBorder="1" applyAlignment="1" applyProtection="1">
      <alignment horizontal="left" vertical="center" wrapText="1"/>
      <protection hidden="1"/>
    </xf>
    <xf numFmtId="0" fontId="28" fillId="5" borderId="93" xfId="17" applyFont="1" applyFill="1" applyBorder="1" applyAlignment="1" applyProtection="1">
      <alignment horizontal="left" vertical="center" wrapText="1"/>
      <protection hidden="1"/>
    </xf>
    <xf numFmtId="49" fontId="76" fillId="0" borderId="97" xfId="18" applyNumberFormat="1" applyFont="1" applyBorder="1" applyAlignment="1" applyProtection="1">
      <alignment horizontal="left" vertical="top" wrapText="1"/>
      <protection locked="0"/>
    </xf>
    <xf numFmtId="49" fontId="76" fillId="0" borderId="1" xfId="18" applyNumberFormat="1" applyFont="1" applyBorder="1" applyAlignment="1" applyProtection="1">
      <alignment horizontal="left" vertical="top" wrapText="1"/>
      <protection locked="0"/>
    </xf>
    <xf numFmtId="49" fontId="76" fillId="0" borderId="93" xfId="18" applyNumberFormat="1" applyFont="1" applyBorder="1" applyAlignment="1" applyProtection="1">
      <alignment horizontal="left" vertical="top" wrapText="1"/>
      <protection locked="0"/>
    </xf>
    <xf numFmtId="49" fontId="6" fillId="0" borderId="97" xfId="18" applyNumberFormat="1" applyFont="1" applyBorder="1" applyAlignment="1" applyProtection="1">
      <alignment horizontal="left" vertical="top" wrapText="1"/>
      <protection locked="0"/>
    </xf>
    <xf numFmtId="49" fontId="6" fillId="0" borderId="1" xfId="18" applyNumberFormat="1" applyFont="1" applyBorder="1" applyAlignment="1" applyProtection="1">
      <alignment horizontal="left" vertical="top" wrapText="1"/>
      <protection locked="0"/>
    </xf>
    <xf numFmtId="49" fontId="6" fillId="0" borderId="93" xfId="18" applyNumberFormat="1" applyFont="1" applyBorder="1" applyAlignment="1" applyProtection="1">
      <alignment horizontal="left" vertical="top" wrapText="1"/>
      <protection locked="0"/>
    </xf>
    <xf numFmtId="49" fontId="6" fillId="0" borderId="97" xfId="18" applyNumberFormat="1" applyFont="1" applyBorder="1" applyAlignment="1" applyProtection="1">
      <alignment horizontal="left" vertical="top" wrapText="1"/>
      <protection hidden="1"/>
    </xf>
    <xf numFmtId="49" fontId="6" fillId="0" borderId="1" xfId="18" applyNumberFormat="1" applyFont="1" applyBorder="1" applyAlignment="1" applyProtection="1">
      <alignment horizontal="left" vertical="top" wrapText="1"/>
      <protection hidden="1"/>
    </xf>
    <xf numFmtId="49" fontId="6" fillId="0" borderId="93" xfId="18" applyNumberFormat="1" applyFont="1" applyBorder="1" applyAlignment="1" applyProtection="1">
      <alignment horizontal="left" vertical="top" wrapText="1"/>
      <protection hidden="1"/>
    </xf>
    <xf numFmtId="49" fontId="6" fillId="0" borderId="18" xfId="18" applyNumberFormat="1" applyFont="1" applyBorder="1" applyAlignment="1" applyProtection="1">
      <alignment horizontal="center" vertical="center" wrapText="1"/>
      <protection locked="0"/>
    </xf>
    <xf numFmtId="49" fontId="6" fillId="0" borderId="30" xfId="18" applyNumberFormat="1" applyFont="1" applyBorder="1" applyAlignment="1" applyProtection="1">
      <alignment horizontal="center" vertical="center" wrapText="1"/>
      <protection locked="0"/>
    </xf>
    <xf numFmtId="0" fontId="1" fillId="0" borderId="18" xfId="18" applyFont="1" applyBorder="1" applyAlignment="1" applyProtection="1">
      <alignment horizontal="left" vertical="top"/>
      <protection locked="0"/>
    </xf>
    <xf numFmtId="0" fontId="1" fillId="0" borderId="34" xfId="18" applyFont="1" applyBorder="1" applyAlignment="1" applyProtection="1">
      <alignment horizontal="left" vertical="top"/>
      <protection locked="0"/>
    </xf>
    <xf numFmtId="0" fontId="1" fillId="0" borderId="92" xfId="18" applyFont="1" applyBorder="1" applyAlignment="1" applyProtection="1">
      <alignment horizontal="left" vertical="top"/>
      <protection locked="0"/>
    </xf>
    <xf numFmtId="2" fontId="6" fillId="0" borderId="1" xfId="18" applyNumberFormat="1" applyFont="1" applyBorder="1" applyAlignment="1" applyProtection="1">
      <alignment horizontal="center" vertical="center" wrapText="1"/>
      <protection locked="0"/>
    </xf>
    <xf numFmtId="49" fontId="6" fillId="0" borderId="34" xfId="18" applyNumberFormat="1" applyFont="1" applyBorder="1" applyAlignment="1" applyProtection="1">
      <alignment horizontal="center" vertical="center" wrapText="1"/>
      <protection locked="0"/>
    </xf>
    <xf numFmtId="0" fontId="48" fillId="0" borderId="97" xfId="17" applyFont="1" applyBorder="1" applyAlignment="1" applyProtection="1">
      <alignment horizontal="left" vertical="top" wrapText="1"/>
      <protection hidden="1"/>
    </xf>
    <xf numFmtId="0" fontId="36" fillId="0" borderId="1" xfId="18" applyFont="1" applyBorder="1" applyAlignment="1" applyProtection="1">
      <alignment horizontal="center" vertical="center"/>
      <protection locked="0"/>
    </xf>
    <xf numFmtId="0" fontId="1" fillId="0" borderId="61" xfId="18" applyFont="1" applyBorder="1" applyAlignment="1" applyProtection="1">
      <alignment horizontal="left" vertical="top"/>
      <protection locked="0"/>
    </xf>
    <xf numFmtId="0" fontId="1" fillId="0" borderId="47" xfId="18" applyFont="1" applyBorder="1" applyAlignment="1" applyProtection="1">
      <alignment horizontal="left" vertical="top"/>
      <protection locked="0"/>
    </xf>
    <xf numFmtId="0" fontId="1" fillId="0" borderId="94" xfId="18" applyFont="1" applyBorder="1" applyAlignment="1" applyProtection="1">
      <alignment horizontal="left" vertical="top"/>
      <protection locked="0"/>
    </xf>
    <xf numFmtId="0" fontId="1" fillId="0" borderId="27" xfId="18" applyFont="1" applyBorder="1" applyAlignment="1" applyProtection="1">
      <alignment horizontal="left" vertical="top"/>
      <protection locked="0"/>
    </xf>
    <xf numFmtId="0" fontId="1" fillId="0" borderId="48" xfId="18" applyFont="1" applyBorder="1" applyAlignment="1" applyProtection="1">
      <alignment horizontal="left" vertical="top"/>
      <protection locked="0"/>
    </xf>
    <xf numFmtId="0" fontId="1" fillId="0" borderId="95" xfId="18" applyFont="1" applyBorder="1" applyAlignment="1" applyProtection="1">
      <alignment horizontal="left" vertical="top"/>
      <protection locked="0"/>
    </xf>
    <xf numFmtId="0" fontId="6" fillId="0" borderId="0" xfId="18" applyFont="1" applyAlignment="1" applyProtection="1">
      <alignment vertical="center" wrapText="1"/>
      <protection hidden="1"/>
    </xf>
    <xf numFmtId="0" fontId="72" fillId="0" borderId="98" xfId="17" applyFont="1" applyBorder="1" applyAlignment="1" applyProtection="1">
      <alignment horizontal="center" vertical="top" wrapText="1"/>
      <protection hidden="1"/>
    </xf>
    <xf numFmtId="0" fontId="72" fillId="0" borderId="34" xfId="17" applyFont="1" applyBorder="1" applyAlignment="1" applyProtection="1">
      <alignment horizontal="center" vertical="top" wrapText="1"/>
      <protection hidden="1"/>
    </xf>
    <xf numFmtId="0" fontId="72" fillId="0" borderId="92" xfId="17" applyFont="1" applyBorder="1" applyAlignment="1" applyProtection="1">
      <alignment horizontal="center" vertical="top" wrapText="1"/>
      <protection hidden="1"/>
    </xf>
    <xf numFmtId="0" fontId="28" fillId="0" borderId="18" xfId="17" applyFont="1" applyBorder="1" applyAlignment="1" applyProtection="1">
      <alignment horizontal="left" vertical="top" wrapText="1"/>
      <protection locked="0"/>
    </xf>
    <xf numFmtId="0" fontId="28" fillId="0" borderId="34" xfId="17" applyFont="1" applyBorder="1" applyAlignment="1" applyProtection="1">
      <alignment horizontal="left" vertical="top" wrapText="1"/>
      <protection locked="0"/>
    </xf>
    <xf numFmtId="0" fontId="28" fillId="0" borderId="92" xfId="17" applyFont="1" applyBorder="1" applyAlignment="1" applyProtection="1">
      <alignment horizontal="left" vertical="top" wrapText="1"/>
      <protection locked="0"/>
    </xf>
    <xf numFmtId="0" fontId="48" fillId="0" borderId="99" xfId="17" applyFont="1" applyBorder="1" applyAlignment="1" applyProtection="1">
      <alignment horizontal="left" vertical="top" wrapText="1"/>
      <protection hidden="1"/>
    </xf>
    <xf numFmtId="0" fontId="36" fillId="0" borderId="20" xfId="18" applyFont="1" applyBorder="1" applyAlignment="1" applyProtection="1">
      <alignment horizontal="center" vertical="center"/>
      <protection locked="0"/>
    </xf>
    <xf numFmtId="0" fontId="1" fillId="0" borderId="62" xfId="18" applyFont="1" applyBorder="1" applyAlignment="1" applyProtection="1">
      <alignment horizontal="left" vertical="top"/>
      <protection locked="0"/>
    </xf>
    <xf numFmtId="0" fontId="1" fillId="0" borderId="0" xfId="18" applyFont="1" applyAlignment="1" applyProtection="1">
      <alignment horizontal="left" vertical="top"/>
      <protection locked="0"/>
    </xf>
    <xf numFmtId="0" fontId="1" fillId="0" borderId="84" xfId="18" applyFont="1" applyBorder="1" applyAlignment="1" applyProtection="1">
      <alignment horizontal="left" vertical="top"/>
      <protection locked="0"/>
    </xf>
    <xf numFmtId="0" fontId="6" fillId="0" borderId="0" xfId="18" applyFont="1" applyAlignment="1" applyProtection="1">
      <alignment horizontal="left" vertical="center"/>
      <protection hidden="1"/>
    </xf>
    <xf numFmtId="0" fontId="72" fillId="0" borderId="96" xfId="12" applyFont="1" applyBorder="1" applyAlignment="1" applyProtection="1">
      <alignment horizontal="center" vertical="center" wrapText="1"/>
      <protection hidden="1"/>
    </xf>
    <xf numFmtId="0" fontId="72" fillId="0" borderId="48" xfId="12" applyFont="1" applyBorder="1" applyAlignment="1" applyProtection="1">
      <alignment horizontal="center" vertical="center" wrapText="1"/>
      <protection hidden="1"/>
    </xf>
    <xf numFmtId="0" fontId="72" fillId="0" borderId="95" xfId="12" applyFont="1" applyBorder="1" applyAlignment="1" applyProtection="1">
      <alignment horizontal="center" vertical="center" wrapText="1"/>
      <protection hidden="1"/>
    </xf>
    <xf numFmtId="0" fontId="28" fillId="0" borderId="98" xfId="17" applyFont="1" applyBorder="1" applyAlignment="1" applyProtection="1">
      <alignment horizontal="center" vertical="top" wrapText="1"/>
      <protection hidden="1"/>
    </xf>
    <xf numFmtId="0" fontId="28" fillId="0" borderId="34" xfId="17" applyFont="1" applyBorder="1" applyAlignment="1" applyProtection="1">
      <alignment horizontal="center" vertical="top" wrapText="1"/>
      <protection hidden="1"/>
    </xf>
    <xf numFmtId="0" fontId="28" fillId="0" borderId="92" xfId="17" applyFont="1" applyBorder="1" applyAlignment="1" applyProtection="1">
      <alignment horizontal="center" vertical="top" wrapText="1"/>
      <protection hidden="1"/>
    </xf>
    <xf numFmtId="0" fontId="28" fillId="0" borderId="27" xfId="17" applyFont="1" applyBorder="1" applyAlignment="1" applyProtection="1">
      <alignment horizontal="left" vertical="top" wrapText="1"/>
      <protection locked="0"/>
    </xf>
    <xf numFmtId="0" fontId="28" fillId="0" borderId="48" xfId="17" applyFont="1" applyBorder="1" applyAlignment="1" applyProtection="1">
      <alignment horizontal="left" vertical="top" wrapText="1"/>
      <protection locked="0"/>
    </xf>
    <xf numFmtId="0" fontId="28" fillId="0" borderId="95" xfId="17" applyFont="1" applyBorder="1" applyAlignment="1" applyProtection="1">
      <alignment horizontal="left" vertical="top" wrapText="1"/>
      <protection locked="0"/>
    </xf>
    <xf numFmtId="0" fontId="28" fillId="0" borderId="83" xfId="17" applyFont="1" applyBorder="1" applyAlignment="1" applyProtection="1">
      <alignment horizontal="left" vertical="center" wrapText="1"/>
      <protection hidden="1"/>
    </xf>
    <xf numFmtId="0" fontId="28" fillId="0" borderId="63" xfId="17" applyFont="1" applyBorder="1" applyAlignment="1" applyProtection="1">
      <alignment horizontal="left" vertical="center" wrapText="1"/>
      <protection hidden="1"/>
    </xf>
    <xf numFmtId="0" fontId="18" fillId="0" borderId="96" xfId="17" applyFont="1" applyBorder="1" applyAlignment="1" applyProtection="1">
      <alignment horizontal="center" vertical="center" wrapText="1"/>
      <protection hidden="1"/>
    </xf>
    <xf numFmtId="0" fontId="18" fillId="0" borderId="48" xfId="17" applyFont="1" applyBorder="1" applyAlignment="1" applyProtection="1">
      <alignment horizontal="center" vertical="center" wrapText="1"/>
      <protection hidden="1"/>
    </xf>
    <xf numFmtId="0" fontId="18" fillId="0" borderId="95" xfId="17" applyFont="1" applyBorder="1" applyAlignment="1" applyProtection="1">
      <alignment horizontal="center" vertical="center" wrapText="1"/>
      <protection hidden="1"/>
    </xf>
    <xf numFmtId="0" fontId="28" fillId="0" borderId="1" xfId="17" applyFont="1" applyBorder="1" applyAlignment="1" applyProtection="1">
      <alignment horizontal="left" vertical="top" wrapText="1"/>
      <protection locked="0"/>
    </xf>
    <xf numFmtId="0" fontId="28" fillId="0" borderId="93" xfId="17" applyFont="1" applyBorder="1" applyAlignment="1" applyProtection="1">
      <alignment horizontal="left" vertical="top" wrapText="1"/>
      <protection locked="0"/>
    </xf>
    <xf numFmtId="0" fontId="6" fillId="0" borderId="0" xfId="18" applyFont="1" applyAlignment="1" applyProtection="1">
      <alignment horizontal="left" vertical="top" wrapText="1"/>
      <protection hidden="1"/>
    </xf>
    <xf numFmtId="0" fontId="6" fillId="0" borderId="83" xfId="18" applyFont="1" applyBorder="1" applyAlignment="1" applyProtection="1">
      <alignment horizontal="left" vertical="center" wrapText="1"/>
      <protection hidden="1"/>
    </xf>
    <xf numFmtId="0" fontId="39" fillId="0" borderId="83" xfId="18" applyFont="1" applyBorder="1" applyAlignment="1" applyProtection="1">
      <alignment horizontal="left" vertical="center" wrapText="1"/>
      <protection hidden="1"/>
    </xf>
    <xf numFmtId="0" fontId="39" fillId="0" borderId="0" xfId="18" applyFont="1" applyAlignment="1" applyProtection="1">
      <alignment horizontal="left" vertical="center" wrapText="1"/>
      <protection hidden="1"/>
    </xf>
    <xf numFmtId="0" fontId="39" fillId="0" borderId="84" xfId="18" applyFont="1" applyBorder="1" applyAlignment="1" applyProtection="1">
      <alignment horizontal="left" vertical="center" wrapText="1"/>
      <protection hidden="1"/>
    </xf>
    <xf numFmtId="0" fontId="38" fillId="0" borderId="1" xfId="18" applyFont="1" applyBorder="1" applyAlignment="1" applyProtection="1">
      <alignment horizontal="left" vertical="center" wrapText="1"/>
      <protection hidden="1"/>
    </xf>
    <xf numFmtId="0" fontId="38" fillId="0" borderId="93" xfId="18" applyFont="1" applyBorder="1" applyAlignment="1" applyProtection="1">
      <alignment horizontal="left" vertical="center" wrapText="1"/>
      <protection hidden="1"/>
    </xf>
    <xf numFmtId="0" fontId="6" fillId="0" borderId="83" xfId="18" applyFont="1" applyBorder="1" applyAlignment="1" applyProtection="1">
      <alignment horizontal="left" vertical="top" wrapText="1"/>
      <protection hidden="1"/>
    </xf>
    <xf numFmtId="0" fontId="37" fillId="16" borderId="62" xfId="17" applyFont="1" applyFill="1" applyBorder="1" applyAlignment="1" applyProtection="1">
      <alignment horizontal="left" vertical="top" wrapText="1"/>
      <protection hidden="1"/>
    </xf>
    <xf numFmtId="0" fontId="37" fillId="16" borderId="0" xfId="17" applyFont="1" applyFill="1" applyAlignment="1" applyProtection="1">
      <alignment horizontal="left" vertical="top" wrapText="1"/>
      <protection hidden="1"/>
    </xf>
    <xf numFmtId="0" fontId="37" fillId="16" borderId="63" xfId="17" applyFont="1" applyFill="1" applyBorder="1" applyAlignment="1" applyProtection="1">
      <alignment horizontal="left" vertical="top" wrapText="1"/>
      <protection hidden="1"/>
    </xf>
    <xf numFmtId="0" fontId="6" fillId="5" borderId="15"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19" fillId="14" borderId="14" xfId="2" applyFont="1" applyFill="1" applyBorder="1" applyAlignment="1" applyProtection="1">
      <alignment horizontal="center" vertical="center"/>
    </xf>
    <xf numFmtId="0" fontId="19" fillId="14" borderId="12" xfId="2" applyFont="1" applyFill="1" applyBorder="1" applyAlignment="1" applyProtection="1">
      <alignment horizontal="center" vertical="center"/>
    </xf>
    <xf numFmtId="0" fontId="19" fillId="14" borderId="17" xfId="2" applyFont="1" applyFill="1" applyBorder="1" applyAlignment="1" applyProtection="1">
      <alignment horizontal="center" vertical="center"/>
    </xf>
    <xf numFmtId="0" fontId="6" fillId="5" borderId="15" xfId="0" applyFont="1" applyFill="1" applyBorder="1" applyAlignment="1">
      <alignment horizontal="center" vertical="center" wrapText="1"/>
    </xf>
    <xf numFmtId="0" fontId="6" fillId="5" borderId="63"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4"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60" xfId="0" applyFont="1" applyFill="1" applyBorder="1" applyAlignment="1">
      <alignment horizontal="center" vertical="center" wrapText="1"/>
    </xf>
  </cellXfs>
  <cellStyles count="28">
    <cellStyle name="Comma" xfId="1" builtinId="3"/>
    <cellStyle name="Comma 2" xfId="16" xr:uid="{198090A5-DB3D-4717-AFBE-53328CBC628A}"/>
    <cellStyle name="Currency" xfId="27" builtinId="4"/>
    <cellStyle name="Hyperlink" xfId="2" builtinId="8"/>
    <cellStyle name="Hyperlink 2" xfId="14" xr:uid="{B608BFAC-8FA7-4597-AFD4-5670769BA40C}"/>
    <cellStyle name="Hyperlink 2 2" xfId="22" xr:uid="{BF3BD3BE-588B-446B-9B90-A4391CC246CE}"/>
    <cellStyle name="Hyperlink 3" xfId="24" xr:uid="{D96049BE-9099-4EBE-B9D5-8737D823FACF}"/>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3 2 3" xfId="23" xr:uid="{2E7A42D6-9970-4869-8610-4F5BD7657486}"/>
    <cellStyle name="Normal 4" xfId="8" xr:uid="{3004391E-675B-4EBB-9A84-B2A10F374D8B}"/>
    <cellStyle name="Normal 4 2" xfId="21" xr:uid="{BD205D35-BEFF-4DC4-8A24-43D3F6E1A0FA}"/>
    <cellStyle name="Normal 4 8 2 2 2" xfId="26" xr:uid="{8D52D294-C024-46C7-86C9-7D7B9026CAC6}"/>
    <cellStyle name="Normal 4 9 2 2" xfId="25" xr:uid="{B9A3B12C-40AD-46F1-BE57-C606712DF965}"/>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129">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ill>
        <patternFill>
          <bgColor rgb="FFFF0000"/>
        </patternFill>
      </fill>
    </dxf>
    <dxf>
      <font>
        <color rgb="FF9C0006"/>
      </font>
      <fill>
        <patternFill>
          <bgColor rgb="FFFFC7CE"/>
        </patternFill>
      </fill>
    </dxf>
    <dxf>
      <fill>
        <patternFill>
          <bgColor rgb="FFEB4B4B"/>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val="0"/>
        <i val="0"/>
        <strike val="0"/>
        <color rgb="FFFF0000"/>
      </font>
      <fill>
        <patternFill>
          <bgColor theme="5" tint="0.79998168889431442"/>
        </patternFill>
      </fill>
    </dxf>
    <dxf>
      <font>
        <color rgb="FFFF0000"/>
      </font>
      <fill>
        <patternFill>
          <bgColor theme="5" tint="0.79998168889431442"/>
        </patternFill>
      </fill>
    </dxf>
    <dxf>
      <font>
        <color rgb="FFFF0000"/>
      </font>
      <fill>
        <patternFill>
          <fgColor theme="0"/>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color theme="0" tint="-0.34998626667073579"/>
      </font>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b/>
        <strike val="0"/>
        <outline val="0"/>
        <shadow val="0"/>
        <u val="none"/>
        <vertAlign val="baseline"/>
        <sz val="8"/>
        <name val="Verdana"/>
        <family val="2"/>
        <scheme val="none"/>
      </font>
      <fill>
        <patternFill patternType="solid">
          <bgColor theme="0"/>
        </patternFill>
      </fill>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8"/>
        <color theme="1"/>
        <name val="Verdana"/>
        <family val="2"/>
        <scheme val="none"/>
      </font>
      <numFmt numFmtId="2" formatCode="0.00"/>
      <fill>
        <patternFill patternType="solid">
          <fgColor indexed="64"/>
          <bgColor theme="0"/>
        </patternFill>
      </fill>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8"/>
        <color theme="1"/>
        <name val="Verdana"/>
        <family val="2"/>
        <scheme val="none"/>
      </font>
      <numFmt numFmtId="2" formatCode="0.00"/>
      <fill>
        <patternFill patternType="solid">
          <fgColor indexed="64"/>
          <bgColor theme="0"/>
        </patternFill>
      </fill>
      <border diagonalUp="0" diagonalDown="0">
        <left style="thin">
          <color indexed="64"/>
        </left>
        <right/>
        <top style="thin">
          <color indexed="64"/>
        </top>
        <bottom style="thin">
          <color indexed="64"/>
        </bottom>
      </border>
      <protection locked="1" hidden="1"/>
    </dxf>
    <dxf>
      <font>
        <strike val="0"/>
        <outline val="0"/>
        <shadow val="0"/>
        <u val="none"/>
        <vertAlign val="baseline"/>
        <sz val="8"/>
        <name val="Verdana"/>
        <family val="2"/>
        <scheme val="none"/>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fgColor rgb="FFA6A6A6"/>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1" formatCode="0"/>
      <fill>
        <patternFill patternType="solid">
          <fgColor rgb="FFA6A6A6"/>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2" formatCode="0.00"/>
      <fill>
        <patternFill patternType="solid">
          <fgColor rgb="FFA6A6A6"/>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2" formatCode="0.00"/>
      <fill>
        <patternFill patternType="solid">
          <fgColor rgb="FFD9D9D9"/>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auto="1"/>
        <name val="Verdana"/>
        <family val="2"/>
        <scheme val="none"/>
      </font>
      <fill>
        <patternFill patternType="solid">
          <fgColor rgb="FFA6A6A6"/>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auto="1"/>
        <name val="Verdana"/>
        <family val="2"/>
        <scheme val="none"/>
      </font>
      <numFmt numFmtId="0" formatCode="General"/>
      <fill>
        <patternFill patternType="solid">
          <fgColor rgb="FFD9D9D9"/>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19" formatCode="dd/mm/yyyy"/>
      <fill>
        <patternFill patternType="solid">
          <fgColor rgb="FFD9D9D9"/>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19" formatCode="dd/mm/yyyy"/>
      <fill>
        <patternFill patternType="solid">
          <fgColor rgb="FFD9D9D9"/>
          <bgColor theme="0"/>
        </patternFill>
      </fill>
      <border diagonalUp="0" diagonalDown="0">
        <left/>
        <right style="thin">
          <color indexed="64"/>
        </right>
        <top style="thin">
          <color indexed="64"/>
        </top>
        <bottom style="thin">
          <color indexed="64"/>
        </bottom>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Verdana"/>
        <family val="2"/>
        <scheme val="none"/>
      </font>
      <fill>
        <patternFill patternType="solid">
          <bgColor theme="0"/>
        </patternFill>
      </fill>
    </dxf>
    <dxf>
      <border>
        <bottom style="thin">
          <color indexed="64"/>
        </bottom>
      </border>
    </dxf>
    <dxf>
      <font>
        <strike val="0"/>
        <outline val="0"/>
        <shadow val="0"/>
        <u val="none"/>
        <vertAlign val="baseline"/>
        <sz val="8"/>
        <color theme="0"/>
        <name val="Verdana"/>
        <family val="2"/>
        <scheme val="none"/>
      </font>
      <fill>
        <patternFill patternType="solid">
          <bgColor rgb="FF2DAE7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D0F2E3"/>
      <color rgb="FF382573"/>
      <color rgb="FF2DAE76"/>
      <color rgb="FFACEACF"/>
      <color rgb="FFD0F2CF"/>
      <color rgb="FFE4DFEC"/>
      <color rgb="FFBDB0E6"/>
      <color rgb="FF00B050"/>
      <color rgb="FF9BBB59"/>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hyperlink" Target="#Guidance!A1"/></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1</xdr:col>
      <xdr:colOff>133351</xdr:colOff>
      <xdr:row>43</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2"/>
        <a:stretch>
          <a:fillRect/>
        </a:stretch>
      </xdr:blipFill>
      <xdr:spPr>
        <a:xfrm>
          <a:off x="457201" y="11214101"/>
          <a:ext cx="10210800" cy="835252"/>
        </a:xfrm>
        <a:prstGeom prst="rect">
          <a:avLst/>
        </a:prstGeom>
      </xdr:spPr>
    </xdr:pic>
    <xdr:clientData/>
  </xdr:oneCellAnchor>
  <xdr:oneCellAnchor>
    <xdr:from>
      <xdr:col>15</xdr:col>
      <xdr:colOff>87965</xdr:colOff>
      <xdr:row>51</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3"/>
        <a:stretch>
          <a:fillRect/>
        </a:stretch>
      </xdr:blipFill>
      <xdr:spPr>
        <a:xfrm>
          <a:off x="8413936" y="12074338"/>
          <a:ext cx="1626519" cy="765922"/>
        </a:xfrm>
        <a:prstGeom prst="rect">
          <a:avLst/>
        </a:prstGeom>
      </xdr:spPr>
    </xdr:pic>
    <xdr:clientData/>
  </xdr:oneCellAnchor>
  <xdr:twoCellAnchor editAs="oneCell">
    <xdr:from>
      <xdr:col>2</xdr:col>
      <xdr:colOff>7283</xdr:colOff>
      <xdr:row>12</xdr:row>
      <xdr:rowOff>19861</xdr:rowOff>
    </xdr:from>
    <xdr:to>
      <xdr:col>15</xdr:col>
      <xdr:colOff>74706</xdr:colOff>
      <xdr:row>15</xdr:row>
      <xdr:rowOff>33799</xdr:rowOff>
    </xdr:to>
    <xdr:pic>
      <xdr:nvPicPr>
        <xdr:cNvPr id="2" name="Picture 1">
          <a:extLst>
            <a:ext uri="{FF2B5EF4-FFF2-40B4-BE49-F238E27FC236}">
              <a16:creationId xmlns:a16="http://schemas.microsoft.com/office/drawing/2014/main" id="{3825E5DD-E695-90B9-3DB9-A74A8A723351}"/>
            </a:ext>
          </a:extLst>
        </xdr:cNvPr>
        <xdr:cNvPicPr>
          <a:picLocks noChangeAspect="1"/>
        </xdr:cNvPicPr>
      </xdr:nvPicPr>
      <xdr:blipFill>
        <a:blip xmlns:r="http://schemas.openxmlformats.org/officeDocument/2006/relationships" r:embed="rId4"/>
        <a:stretch>
          <a:fillRect/>
        </a:stretch>
      </xdr:blipFill>
      <xdr:spPr>
        <a:xfrm>
          <a:off x="500342" y="2978214"/>
          <a:ext cx="8419540" cy="873056"/>
        </a:xfrm>
        <a:prstGeom prst="rect">
          <a:avLst/>
        </a:prstGeom>
      </xdr:spPr>
    </xdr:pic>
    <xdr:clientData/>
  </xdr:twoCellAnchor>
  <xdr:twoCellAnchor editAs="oneCell">
    <xdr:from>
      <xdr:col>2</xdr:col>
      <xdr:colOff>22413</xdr:colOff>
      <xdr:row>18</xdr:row>
      <xdr:rowOff>22411</xdr:rowOff>
    </xdr:from>
    <xdr:to>
      <xdr:col>16</xdr:col>
      <xdr:colOff>433295</xdr:colOff>
      <xdr:row>21</xdr:row>
      <xdr:rowOff>34811</xdr:rowOff>
    </xdr:to>
    <xdr:pic>
      <xdr:nvPicPr>
        <xdr:cNvPr id="4" name="Picture 3">
          <a:extLst>
            <a:ext uri="{FF2B5EF4-FFF2-40B4-BE49-F238E27FC236}">
              <a16:creationId xmlns:a16="http://schemas.microsoft.com/office/drawing/2014/main" id="{3A8AC682-A6F6-7520-4308-144FEC4EEBBD}"/>
            </a:ext>
          </a:extLst>
        </xdr:cNvPr>
        <xdr:cNvPicPr>
          <a:picLocks noChangeAspect="1"/>
        </xdr:cNvPicPr>
      </xdr:nvPicPr>
      <xdr:blipFill>
        <a:blip xmlns:r="http://schemas.openxmlformats.org/officeDocument/2006/relationships" r:embed="rId5"/>
        <a:stretch>
          <a:fillRect/>
        </a:stretch>
      </xdr:blipFill>
      <xdr:spPr>
        <a:xfrm>
          <a:off x="515472" y="4332940"/>
          <a:ext cx="9405470" cy="938753"/>
        </a:xfrm>
        <a:prstGeom prst="rect">
          <a:avLst/>
        </a:prstGeom>
      </xdr:spPr>
    </xdr:pic>
    <xdr:clientData/>
  </xdr:twoCellAnchor>
  <xdr:twoCellAnchor editAs="oneCell">
    <xdr:from>
      <xdr:col>2</xdr:col>
      <xdr:colOff>26146</xdr:colOff>
      <xdr:row>23</xdr:row>
      <xdr:rowOff>40156</xdr:rowOff>
    </xdr:from>
    <xdr:to>
      <xdr:col>7</xdr:col>
      <xdr:colOff>14940</xdr:colOff>
      <xdr:row>27</xdr:row>
      <xdr:rowOff>96142</xdr:rowOff>
    </xdr:to>
    <xdr:pic>
      <xdr:nvPicPr>
        <xdr:cNvPr id="5" name="Picture 4">
          <a:extLst>
            <a:ext uri="{FF2B5EF4-FFF2-40B4-BE49-F238E27FC236}">
              <a16:creationId xmlns:a16="http://schemas.microsoft.com/office/drawing/2014/main" id="{FC893FE0-D2ED-87C8-30E8-6FDBB4ECD2C2}"/>
            </a:ext>
          </a:extLst>
        </xdr:cNvPr>
        <xdr:cNvPicPr>
          <a:picLocks noChangeAspect="1"/>
        </xdr:cNvPicPr>
      </xdr:nvPicPr>
      <xdr:blipFill>
        <a:blip xmlns:r="http://schemas.openxmlformats.org/officeDocument/2006/relationships" r:embed="rId6"/>
        <a:stretch>
          <a:fillRect/>
        </a:stretch>
      </xdr:blipFill>
      <xdr:spPr>
        <a:xfrm>
          <a:off x="519205" y="5665509"/>
          <a:ext cx="3201147" cy="997280"/>
        </a:xfrm>
        <a:prstGeom prst="rect">
          <a:avLst/>
        </a:prstGeom>
      </xdr:spPr>
    </xdr:pic>
    <xdr:clientData/>
  </xdr:twoCellAnchor>
  <xdr:twoCellAnchor editAs="oneCell">
    <xdr:from>
      <xdr:col>2</xdr:col>
      <xdr:colOff>22412</xdr:colOff>
      <xdr:row>29</xdr:row>
      <xdr:rowOff>134471</xdr:rowOff>
    </xdr:from>
    <xdr:to>
      <xdr:col>7</xdr:col>
      <xdr:colOff>351117</xdr:colOff>
      <xdr:row>33</xdr:row>
      <xdr:rowOff>176510</xdr:rowOff>
    </xdr:to>
    <xdr:pic>
      <xdr:nvPicPr>
        <xdr:cNvPr id="12" name="Picture 11">
          <a:extLst>
            <a:ext uri="{FF2B5EF4-FFF2-40B4-BE49-F238E27FC236}">
              <a16:creationId xmlns:a16="http://schemas.microsoft.com/office/drawing/2014/main" id="{5CFF1DB7-106F-BBAB-02B3-6BC9FF38DFF5}"/>
            </a:ext>
          </a:extLst>
        </xdr:cNvPr>
        <xdr:cNvPicPr>
          <a:picLocks noChangeAspect="1"/>
        </xdr:cNvPicPr>
      </xdr:nvPicPr>
      <xdr:blipFill>
        <a:blip xmlns:r="http://schemas.openxmlformats.org/officeDocument/2006/relationships" r:embed="rId7"/>
        <a:stretch>
          <a:fillRect/>
        </a:stretch>
      </xdr:blipFill>
      <xdr:spPr>
        <a:xfrm>
          <a:off x="515471" y="7141883"/>
          <a:ext cx="3541058" cy="818980"/>
        </a:xfrm>
        <a:prstGeom prst="rect">
          <a:avLst/>
        </a:prstGeom>
      </xdr:spPr>
    </xdr:pic>
    <xdr:clientData/>
  </xdr:twoCellAnchor>
  <xdr:twoCellAnchor editAs="oneCell">
    <xdr:from>
      <xdr:col>2</xdr:col>
      <xdr:colOff>0</xdr:colOff>
      <xdr:row>37</xdr:row>
      <xdr:rowOff>0</xdr:rowOff>
    </xdr:from>
    <xdr:to>
      <xdr:col>10</xdr:col>
      <xdr:colOff>429471</xdr:colOff>
      <xdr:row>41</xdr:row>
      <xdr:rowOff>61302</xdr:rowOff>
    </xdr:to>
    <xdr:pic>
      <xdr:nvPicPr>
        <xdr:cNvPr id="13" name="Picture 12">
          <a:extLst>
            <a:ext uri="{FF2B5EF4-FFF2-40B4-BE49-F238E27FC236}">
              <a16:creationId xmlns:a16="http://schemas.microsoft.com/office/drawing/2014/main" id="{7EFE2786-18D4-09A6-8522-64598498196E}"/>
            </a:ext>
          </a:extLst>
        </xdr:cNvPr>
        <xdr:cNvPicPr>
          <a:picLocks noChangeAspect="1"/>
        </xdr:cNvPicPr>
      </xdr:nvPicPr>
      <xdr:blipFill>
        <a:blip xmlns:r="http://schemas.openxmlformats.org/officeDocument/2006/relationships" r:embed="rId8"/>
        <a:stretch>
          <a:fillRect/>
        </a:stretch>
      </xdr:blipFill>
      <xdr:spPr>
        <a:xfrm>
          <a:off x="493059" y="8561294"/>
          <a:ext cx="5569236" cy="8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980016</xdr:colOff>
      <xdr:row>2</xdr:row>
      <xdr:rowOff>31749</xdr:rowOff>
    </xdr:from>
    <xdr:to>
      <xdr:col>21</xdr:col>
      <xdr:colOff>933377</xdr:colOff>
      <xdr:row>4</xdr:row>
      <xdr:rowOff>245835</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9807766" y="374649"/>
          <a:ext cx="2139666" cy="882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613834</xdr:colOff>
      <xdr:row>1</xdr:row>
      <xdr:rowOff>134056</xdr:rowOff>
    </xdr:from>
    <xdr:to>
      <xdr:col>8</xdr:col>
      <xdr:colOff>1327714</xdr:colOff>
      <xdr:row>6</xdr:row>
      <xdr:rowOff>225633</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21</xdr:col>
      <xdr:colOff>1319893</xdr:colOff>
      <xdr:row>1</xdr:row>
      <xdr:rowOff>56582</xdr:rowOff>
    </xdr:from>
    <xdr:ext cx="1689974" cy="837751"/>
    <xdr:pic>
      <xdr:nvPicPr>
        <xdr:cNvPr id="2" name="Picture 2">
          <a:hlinkClick xmlns:r="http://schemas.openxmlformats.org/officeDocument/2006/relationships" r:id="rId1"/>
          <a:extLst>
            <a:ext uri="{FF2B5EF4-FFF2-40B4-BE49-F238E27FC236}">
              <a16:creationId xmlns:a16="http://schemas.microsoft.com/office/drawing/2014/main" id="{3B819CB7-16D0-4B5D-8504-A43F24C5D727}"/>
            </a:ext>
          </a:extLst>
        </xdr:cNvPr>
        <xdr:cNvPicPr>
          <a:picLocks noChangeAspect="1"/>
        </xdr:cNvPicPr>
      </xdr:nvPicPr>
      <xdr:blipFill>
        <a:blip xmlns:r="http://schemas.openxmlformats.org/officeDocument/2006/relationships" r:embed="rId2"/>
        <a:stretch>
          <a:fillRect/>
        </a:stretch>
      </xdr:blipFill>
      <xdr:spPr>
        <a:xfrm>
          <a:off x="26370643" y="228032"/>
          <a:ext cx="1689974" cy="837751"/>
        </a:xfrm>
        <a:prstGeom prst="rect">
          <a:avLst/>
        </a:prstGeom>
      </xdr:spPr>
    </xdr:pic>
    <xdr:clientData/>
  </xdr:oneCellAnchor>
  <xdr:twoCellAnchor editAs="oneCell">
    <xdr:from>
      <xdr:col>27</xdr:col>
      <xdr:colOff>1551214</xdr:colOff>
      <xdr:row>1</xdr:row>
      <xdr:rowOff>54428</xdr:rowOff>
    </xdr:from>
    <xdr:to>
      <xdr:col>30</xdr:col>
      <xdr:colOff>206394</xdr:colOff>
      <xdr:row>5</xdr:row>
      <xdr:rowOff>302986</xdr:rowOff>
    </xdr:to>
    <xdr:pic>
      <xdr:nvPicPr>
        <xdr:cNvPr id="3" name="Picture 2">
          <a:extLst>
            <a:ext uri="{FF2B5EF4-FFF2-40B4-BE49-F238E27FC236}">
              <a16:creationId xmlns:a16="http://schemas.microsoft.com/office/drawing/2014/main" id="{D2B35078-F5AC-43D4-B91B-DDF541050C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265664" y="225878"/>
          <a:ext cx="979280" cy="864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alix365.sharepoint.com/Tec/Docs/C.%20Other%20scheme/Wales%20Scheme/1.%20Planning/Application%20Form%20Log/Wales%20FTC%20Application%20Form%20V0.2%20-%20Extended.xlsx" TargetMode="External"/><Relationship Id="rId1" Type="http://schemas.openxmlformats.org/officeDocument/2006/relationships/externalLinkPath" Target="/Tec/Docs/C.%20Other%20scheme/Wales%20Scheme/1.%20Planning/Application%20Form%20Log/Wales%20FTC%20Application%20Form%20V0.2%20-%20Extend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OtherProgrammes/Phase%203%20PSDS/2.%20Applications/4.%20NHS/Northampton%20General%20Hospital%20NHS%20Trust%20-%2030168/Application%20Form/phase-3-psds-application-form---northampt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ixfs01/shared/Documents%20and%20Settings/dobl1733/Local%20Settings/Temporary%20Internet%20Files/Content.Outlook/BV6CWOUN/SEELS%20Project%20Compliance%20Tool%20v22%20Fuel%20Conversion%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lixfs01/shared/SEELS/England/DfE/Academies/SEEF/3.%20SEEF%203%202018-19/Revised%20Application%20Documents%20Drafts/Application%20Form/Final%20Version/SEEF%20Application%20Form%202018-1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OnaSabotie\Downloads\Wales%20Application%20Form%20V4%20_3%20(1).xlsx" TargetMode="External"/><Relationship Id="rId1" Type="http://schemas.openxmlformats.org/officeDocument/2006/relationships/externalLinkPath" Target="/Users/OnaSabotie/Downloads/Wales%20Application%20Form%20V4%20_3%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mattc.SALIX/Downloads/Cost%20Saving%20Analysis%20Tool%20-%20V%201.1%20-%20Queens%20Park%20High.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ccstorage1/t&amp;e$/Technical%20Services%20-%20Nov09/13.%20Technology%20Specific%20Work/22.%20Swimming%20pool%20cover/Pool%20Heatloss%20-%20Version%2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alixfs01/shared/Users/CraigM/AppData/Local/Microsoft/Windows/Temporary%20Internet%20Files/Content.Outlook/1K4MSJRC/Multiple%20Fuel%20Compliance%20Tool%20Version%2027%20-%20SE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 Introduction"/>
      <sheetName val="Step 2a Building Project Design"/>
      <sheetName val="Step 2b EV Proposal"/>
      <sheetName val="Step 3a Site Details"/>
      <sheetName val="Step 3b Building Details"/>
      <sheetName val="Step 3c Heating System"/>
      <sheetName val="Step 4 Measure Details"/>
      <sheetName val="Step 5a Project Governance"/>
      <sheetName val="Step 5b Social Contribution"/>
      <sheetName val="Step 6 Loan Amortisation"/>
      <sheetName val="Draft LAT"/>
      <sheetName val="QC Check"/>
      <sheetName val="Assessment Form"/>
      <sheetName val="Extra look-up - Incomplete"/>
      <sheetName val="Eligible Technologies"/>
      <sheetName val="Scoring Criteria - Incomplete"/>
      <sheetName val="Backing Sheet - Buildings"/>
      <sheetName val="Terms of Use"/>
      <sheetName val="Revision History"/>
      <sheetName val="Data Outputs"/>
      <sheetName val="Boiler Age Data"/>
      <sheetName val="PETREAD - Incomp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Project_Compliance_Tool"/>
      <sheetName val="Project Data Input Sheet"/>
      <sheetName val="Project_Assessment_Criteria"/>
      <sheetName val="Persistence_Factor_Methodology"/>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List &amp; Con. Factors"/>
      <sheetName val="Step 1 Application Form"/>
      <sheetName val="Step 2 ECM 1"/>
      <sheetName val="ECM 2"/>
      <sheetName val="ECM 3"/>
      <sheetName val="ECM 4"/>
      <sheetName val="ECM 5"/>
      <sheetName val="Step 3 Business Case"/>
      <sheetName val="Step 4 Submission"/>
      <sheetName val="Terms and Conditions"/>
      <sheetName val="Revision History"/>
      <sheetName val="Backing shee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Notes"/>
      <sheetName val="Pre-application checks"/>
      <sheetName val="Programme details"/>
      <sheetName val="ECM 1"/>
      <sheetName val="ECM 2"/>
      <sheetName val="ECM 3"/>
      <sheetName val="ECM 4"/>
      <sheetName val="ECM 5"/>
      <sheetName val="ECM 6"/>
      <sheetName val="ECM 7"/>
      <sheetName val="ECM 8"/>
      <sheetName val="ECM 9"/>
      <sheetName val="ECM 10"/>
      <sheetName val="Technology List &amp; Con. Factors"/>
      <sheetName val="Persistence Factor Model"/>
      <sheetName val="Assessment Form"/>
      <sheetName val="Assessment Form (Pre-tender)"/>
      <sheetName val="Technologies Under Review"/>
      <sheetName val="Revision History"/>
      <sheetName val="Backing sheet"/>
      <sheetName val="Compliancy"/>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ashboard"/>
      <sheetName val="Terms and Conditions"/>
      <sheetName val="Revision History"/>
      <sheetName val="CO2"/>
    </sheetNames>
    <sheetDataSet>
      <sheetData sheetId="0" refreshError="1"/>
      <sheetData sheetId="1"/>
      <sheetData sheetId="2" refreshError="1"/>
      <sheetData sheetId="3" refreshError="1"/>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User Notes"/>
      <sheetName val="Project Compliance Tool"/>
      <sheetName val="Project 1 data input"/>
      <sheetName val="Project 2 data input"/>
      <sheetName val="Project 3 data input"/>
      <sheetName val="Project 4 data input"/>
      <sheetName val="Project 5 data input"/>
      <sheetName val="Extra look-up"/>
      <sheetName val="Additionality Criteria"/>
      <sheetName val="Assessment Criteria"/>
      <sheetName val="Q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5C6DE7-78E1-40FE-AB04-71F1A8FBFD48}" name="Table145242" displayName="Table145242" ref="C69:AB93" totalsRowShown="0" headerRowDxfId="128" dataDxfId="126" headerRowBorderDxfId="127" tableBorderDxfId="125" totalsRowBorderDxfId="124">
  <autoFilter ref="C69:AB93" xr:uid="{F389C94A-51B3-484B-8EF5-7DD131962147}"/>
  <tableColumns count="26">
    <tableColumn id="1" xr3:uid="{91F43F19-070C-44D7-AECF-5C15A3B8FD84}" name="Start of Year" dataDxfId="123"/>
    <tableColumn id="2" xr3:uid="{D6C4FC04-4235-4609-8767-DD13A45DE158}" name="End of Year" dataDxfId="122"/>
    <tableColumn id="3" xr3:uid="{40B8725F-12A8-43ED-BC90-3F75C9B9FC87}" name="Capital Repayment Payment Number" dataDxfId="121"/>
    <tableColumn id="19" xr3:uid="{48E5BBC1-4107-4FA0-974A-430CC29F823E}" name="Interest Repayment Number" dataDxfId="120"/>
    <tableColumn id="4" xr3:uid="{910F0E81-8AAC-490D-B48A-4A8156A2CEDE}" name="Payment Financial Year" dataDxfId="119"/>
    <tableColumn id="16" xr3:uid="{B91FFA86-A11C-477A-B4F6-C709E1DE9319}" name="Hide Column, First PY" dataDxfId="118">
      <calculatedColumnFormula>LEFT(Table145242[[#This Row],[Payment Financial Year]],4)</calculatedColumnFormula>
    </tableColumn>
    <tableColumn id="20" xr3:uid="{91186221-ED07-478B-8FDE-54E293BB1255}" name="Hide Column" dataDxfId="117">
      <calculatedColumnFormula>TRIM(Table145242[[#This Row],[Hide Column, First PY]])</calculatedColumnFormula>
    </tableColumn>
    <tableColumn id="17" xr3:uid="{9028ECBA-0D1F-483D-8EB7-3BBD7981952C}" name="Hide Column FY" dataDxfId="116">
      <calculatedColumnFormula>#REF!</calculatedColumnFormula>
    </tableColumn>
    <tableColumn id="5" xr3:uid="{2280F1E7-9E0C-4E7D-BC94-F9F2D20A4CC1}" name="Hide - Starting Loan Payment" dataDxfId="115"/>
    <tableColumn id="6" xr3:uid="{6554CE89-A6A4-4D5C-9679-3EBF54C28D7C}" name="Beginning Capital Balance" dataDxfId="114"/>
    <tableColumn id="7" xr3:uid="{A8F4241B-ED55-4D0C-926F-37A5E078F785}" name="Minimum required repayment value (per annum)" dataDxfId="113"/>
    <tableColumn id="22" xr3:uid="{64975D51-CFA8-4D20-AB58-3B98C12F5C93}" name="Interest Payment" dataDxfId="112">
      <calculatedColumnFormula>IF(Table145242[[#This Row],[Interest Repayment Number]]="1",#REF!,"N/A")</calculatedColumnFormula>
    </tableColumn>
    <tableColumn id="9" xr3:uid="{A463158D-4DEA-4D34-9F1D-9C27B958D7C2}" name="Capital Repayment" dataDxfId="111">
      <calculatedColumnFormula>IFERROR((Table145242[[#This Row],[Minimum required repayment value (per annum)]]-Table145242[[#This Row],[Interest Payment]]),0)</calculatedColumnFormula>
    </tableColumn>
    <tableColumn id="25" xr3:uid="{006DB695-6D28-4BF9-A5CC-E066CBA94F17}" name="Hide - " dataDxfId="110">
      <calculatedColumnFormula>TRIM(Table145242[[#This Row],[Capital Repayment]])</calculatedColumnFormula>
    </tableColumn>
    <tableColumn id="10" xr3:uid="{43624142-8AD4-4D79-B54A-F7D7C2B7F0DF}" name="Early Capital Repayment" dataDxfId="109"/>
    <tableColumn id="11" xr3:uid="{F7E716D9-AF17-41AF-A30A-9E4F851D3792}" name="Total Repayment (excludes interest payments)" dataDxfId="108">
      <calculatedColumnFormula>SUM(Table145242[[#This Row],[Capital Repayment]:[Early Capital Repayment]])</calculatedColumnFormula>
    </tableColumn>
    <tableColumn id="8" xr3:uid="{4085529A-7AE0-4C9E-BD32-E3F03E2C0E12}" name="Hide - All payments" dataDxfId="107">
      <calculatedColumnFormula>SUM(Table145242[[#This Row],[Interest Payment]:[Early Capital Repayment]])</calculatedColumnFormula>
    </tableColumn>
    <tableColumn id="12" xr3:uid="{3E07A880-79FC-4615-9BF8-AA1B16968530}" name="Ending Capital Balance" dataDxfId="106">
      <calculatedColumnFormula>IF(Table145242[[#This Row],[Total Repayment (excludes interest payments)]]=0,Table145242[[#This Row],[Beginning Capital Balance]],L70-R70)</calculatedColumnFormula>
    </tableColumn>
    <tableColumn id="13" xr3:uid="{83248607-B588-48D9-8BEE-433E71B95957}" name="Cumulative Capital Payments" dataDxfId="105">
      <calculatedColumnFormula>SUM($M$70:$M70)</calculatedColumnFormula>
    </tableColumn>
    <tableColumn id="14" xr3:uid="{3C93CE42-4624-4DE7-8D14-B6ABE6C33B64}" name="Cumulative Interest Payments" dataDxfId="104">
      <calculatedColumnFormula>IF(#REF!&gt;0,SUM(#REF!),"N/A")</calculatedColumnFormula>
    </tableColumn>
    <tableColumn id="18" xr3:uid="{1405638D-9D3A-4E85-96A7-74695130A68C}" name="hide - Ending Balance Test - shows what the final payment should be" dataDxfId="103"/>
    <tableColumn id="21" xr3:uid="{6EEBC3F1-F194-4BEB-A009-5C45081C1AD5}" name="Hide" dataDxfId="102">
      <calculatedColumnFormula>IF(Table145242[[#This Row],[hide - Ending Balance Test - shows what the final payment should be]]&lt;M65,Table145242[[#This Row],[hide - Ending Balance Test - shows what the final payment should be]],"")</calculatedColumnFormula>
    </tableColumn>
    <tableColumn id="23" xr3:uid="{169A00BE-83D8-4D2C-938C-8B8B323BA49A}" name="Hide 3" dataDxfId="101">
      <calculatedColumnFormula>TRIM(Table145242[[#This Row],[Cumulative Capital Payments]])</calculatedColumnFormula>
    </tableColumn>
    <tableColumn id="26" xr3:uid="{1802A334-404C-4E67-8997-7B4B439AF39A}" name="Hide - If ending capital is loan" dataDxfId="100">
      <calculatedColumnFormula>IF(Table145242[[#This Row],[Ending Capital Balance]]=D49,Table145242[[#This Row],[Ending Capital Balance]],0)</calculatedColumnFormula>
    </tableColumn>
    <tableColumn id="24" xr3:uid="{8F1ACE0A-7F17-40C6-9E1C-C1D0EEAA30D8}" name="Hide 4" dataDxfId="99">
      <calculatedColumnFormula>IFERROR(VALUE(Table145242[[#This Row],[Capital Repayment Payment Number]]), 0)</calculatedColumnFormula>
    </tableColumn>
    <tableColumn id="15" xr3:uid="{8767C452-248A-46DE-BEF4-8E3B3DEAE120}" name="Repayment Status" dataDxfId="98">
      <calculatedColumnFormula>IF(#REF!&lt;(SUM(Table145242[[#This Row],[Minimum required repayment value (per annum)]]*#REF!)),"Loan Paid","Loan Not Paid")</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5546875" defaultRowHeight="12.75" x14ac:dyDescent="0.2"/>
  <sheetData>
    <row r="1" spans="22:22" x14ac:dyDescent="0.2">
      <c r="V1" s="1" t="s">
        <v>0</v>
      </c>
    </row>
  </sheetData>
  <pageMargins left="0.7" right="0.7" top="0.75" bottom="0.75" header="0.3" footer="0.3"/>
  <customProperties>
    <customPr name="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382573"/>
    <pageSetUpPr fitToPage="1"/>
  </sheetPr>
  <dimension ref="B1:AR45"/>
  <sheetViews>
    <sheetView showGridLines="0" showRowColHeaders="0" zoomScale="115" zoomScaleNormal="115" workbookViewId="0">
      <selection activeCell="P32" sqref="P32"/>
    </sheetView>
  </sheetViews>
  <sheetFormatPr defaultColWidth="9.140625" defaultRowHeight="15" x14ac:dyDescent="0.3"/>
  <cols>
    <col min="1" max="16384" width="9.140625" style="3"/>
  </cols>
  <sheetData>
    <row r="1" spans="2:12" ht="15.75" thickBot="1" x14ac:dyDescent="0.35"/>
    <row r="2" spans="2:12" ht="54.75" customHeight="1" thickBot="1" x14ac:dyDescent="0.35">
      <c r="B2" s="248" t="s">
        <v>599</v>
      </c>
      <c r="C2" s="249"/>
      <c r="D2" s="249"/>
      <c r="E2" s="249"/>
      <c r="F2" s="249"/>
      <c r="G2" s="249"/>
      <c r="H2" s="249"/>
      <c r="I2" s="249"/>
      <c r="J2" s="249"/>
      <c r="K2" s="249"/>
      <c r="L2" s="250"/>
    </row>
    <row r="3" spans="2:12" ht="12.75" customHeight="1" x14ac:dyDescent="0.3">
      <c r="B3" s="1035" t="s">
        <v>600</v>
      </c>
      <c r="C3" s="1036"/>
      <c r="D3" s="1036"/>
      <c r="E3" s="1036"/>
      <c r="F3" s="1036"/>
      <c r="G3" s="1036"/>
      <c r="H3" s="1036"/>
      <c r="I3" s="1036"/>
      <c r="J3" s="1036"/>
      <c r="K3" s="1036"/>
      <c r="L3" s="1037"/>
    </row>
    <row r="4" spans="2:12" x14ac:dyDescent="0.3">
      <c r="B4" s="1035"/>
      <c r="C4" s="1036"/>
      <c r="D4" s="1036"/>
      <c r="E4" s="1036"/>
      <c r="F4" s="1036"/>
      <c r="G4" s="1036"/>
      <c r="H4" s="1036"/>
      <c r="I4" s="1036"/>
      <c r="J4" s="1036"/>
      <c r="K4" s="1036"/>
      <c r="L4" s="1037"/>
    </row>
    <row r="5" spans="2:12" x14ac:dyDescent="0.3">
      <c r="B5" s="1035"/>
      <c r="C5" s="1036"/>
      <c r="D5" s="1036"/>
      <c r="E5" s="1036"/>
      <c r="F5" s="1036"/>
      <c r="G5" s="1036"/>
      <c r="H5" s="1036"/>
      <c r="I5" s="1036"/>
      <c r="J5" s="1036"/>
      <c r="K5" s="1036"/>
      <c r="L5" s="1037"/>
    </row>
    <row r="6" spans="2:12" ht="30.75" customHeight="1" x14ac:dyDescent="0.3">
      <c r="B6" s="1035"/>
      <c r="C6" s="1036"/>
      <c r="D6" s="1036"/>
      <c r="E6" s="1036"/>
      <c r="F6" s="1036"/>
      <c r="G6" s="1036"/>
      <c r="H6" s="1036"/>
      <c r="I6" s="1036"/>
      <c r="J6" s="1036"/>
      <c r="K6" s="1036"/>
      <c r="L6" s="1037"/>
    </row>
    <row r="7" spans="2:12" ht="133.5" customHeight="1" thickBot="1" x14ac:dyDescent="0.35">
      <c r="B7" s="1038"/>
      <c r="C7" s="1039"/>
      <c r="D7" s="1039"/>
      <c r="E7" s="1039"/>
      <c r="F7" s="1039"/>
      <c r="G7" s="1039"/>
      <c r="H7" s="1039"/>
      <c r="I7" s="1039"/>
      <c r="J7" s="1039"/>
      <c r="K7" s="1039"/>
      <c r="L7" s="1040"/>
    </row>
    <row r="8" spans="2:12" s="4" customFormat="1" ht="13.5" customHeight="1" thickBot="1" x14ac:dyDescent="0.25">
      <c r="B8" s="1041"/>
      <c r="C8" s="1042"/>
      <c r="D8" s="1042"/>
      <c r="E8" s="1042"/>
      <c r="F8" s="1042"/>
      <c r="G8" s="1042"/>
      <c r="H8" s="1042"/>
      <c r="I8" s="1042"/>
      <c r="J8" s="1042"/>
      <c r="K8" s="1042"/>
      <c r="L8" s="1043"/>
    </row>
    <row r="9" spans="2:12" x14ac:dyDescent="0.3">
      <c r="B9" s="194"/>
    </row>
    <row r="10" spans="2:12" s="4" customFormat="1" ht="13.5" customHeight="1" x14ac:dyDescent="0.2"/>
    <row r="11" spans="2:12" s="4" customFormat="1" ht="19.5" customHeight="1" x14ac:dyDescent="0.2">
      <c r="B11" s="190"/>
    </row>
    <row r="42" spans="18:44" x14ac:dyDescent="0.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EiN24aItC29bL/QE/9GGXEUStNnJdpwgIWNHXrcOYcVb9v/FuD7Lm01/+ckBKvDMOQ2O7IFP+JsGiR+DS4evBA==" saltValue="VSXLVxinfrg+hAjcvcBnkQ=="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customProperties>
    <customPr name="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382573"/>
    <pageSetUpPr fitToPage="1"/>
  </sheetPr>
  <dimension ref="B1:AR45"/>
  <sheetViews>
    <sheetView showGridLines="0" showRowColHeaders="0" topLeftCell="A4" zoomScale="115" zoomScaleNormal="115" workbookViewId="0">
      <selection activeCell="N2" sqref="N2"/>
    </sheetView>
  </sheetViews>
  <sheetFormatPr defaultColWidth="9.140625" defaultRowHeight="15" x14ac:dyDescent="0.3"/>
  <cols>
    <col min="1" max="1" width="3.85546875" style="3" customWidth="1"/>
    <col min="2" max="16384" width="9.140625" style="3"/>
  </cols>
  <sheetData>
    <row r="1" spans="2:12" ht="15.75" thickBot="1" x14ac:dyDescent="0.35"/>
    <row r="2" spans="2:12" ht="54.75" customHeight="1" thickBot="1" x14ac:dyDescent="0.35">
      <c r="B2" s="251" t="s">
        <v>601</v>
      </c>
      <c r="C2" s="246"/>
      <c r="D2" s="246"/>
      <c r="E2" s="246"/>
      <c r="F2" s="246"/>
      <c r="G2" s="246"/>
      <c r="H2" s="246"/>
      <c r="I2" s="246"/>
      <c r="J2" s="246"/>
      <c r="K2" s="246"/>
      <c r="L2" s="247"/>
    </row>
    <row r="3" spans="2:12" ht="71.25" customHeight="1" x14ac:dyDescent="0.3">
      <c r="B3" s="1044" t="s">
        <v>602</v>
      </c>
      <c r="C3" s="1045"/>
      <c r="D3" s="1036" t="s">
        <v>603</v>
      </c>
      <c r="E3" s="1036"/>
      <c r="F3" s="1036"/>
      <c r="G3" s="1036"/>
      <c r="H3" s="1036"/>
      <c r="I3" s="1036"/>
      <c r="J3" s="1036"/>
      <c r="K3" s="1036"/>
      <c r="L3" s="1037"/>
    </row>
    <row r="4" spans="2:12" ht="71.25" customHeight="1" x14ac:dyDescent="0.3">
      <c r="B4" s="1046" t="s">
        <v>604</v>
      </c>
      <c r="C4" s="1047"/>
      <c r="D4" s="1048" t="s">
        <v>605</v>
      </c>
      <c r="E4" s="1048"/>
      <c r="F4" s="1048"/>
      <c r="G4" s="1048"/>
      <c r="H4" s="1048"/>
      <c r="I4" s="1048"/>
      <c r="J4" s="1048"/>
      <c r="K4" s="1048"/>
      <c r="L4" s="1049"/>
    </row>
    <row r="5" spans="2:12" ht="71.25" customHeight="1" x14ac:dyDescent="0.3">
      <c r="B5" s="1046" t="s">
        <v>606</v>
      </c>
      <c r="C5" s="1047"/>
      <c r="D5" s="1048" t="s">
        <v>607</v>
      </c>
      <c r="E5" s="1048"/>
      <c r="F5" s="1048"/>
      <c r="G5" s="1048"/>
      <c r="H5" s="1048"/>
      <c r="I5" s="1048"/>
      <c r="J5" s="1048"/>
      <c r="K5" s="1048"/>
      <c r="L5" s="1049"/>
    </row>
    <row r="6" spans="2:12" ht="71.25" customHeight="1" x14ac:dyDescent="0.3">
      <c r="B6" s="1046" t="s">
        <v>608</v>
      </c>
      <c r="C6" s="1047"/>
      <c r="D6" s="1048" t="s">
        <v>609</v>
      </c>
      <c r="E6" s="1048"/>
      <c r="F6" s="1048"/>
      <c r="G6" s="1048"/>
      <c r="H6" s="1048"/>
      <c r="I6" s="1048"/>
      <c r="J6" s="1048"/>
      <c r="K6" s="1048"/>
      <c r="L6" s="1049"/>
    </row>
    <row r="7" spans="2:12" ht="71.25" customHeight="1" thickBot="1" x14ac:dyDescent="0.35">
      <c r="B7" s="1050" t="s">
        <v>610</v>
      </c>
      <c r="C7" s="1051"/>
      <c r="D7" s="1039" t="s">
        <v>611</v>
      </c>
      <c r="E7" s="1039"/>
      <c r="F7" s="1039"/>
      <c r="G7" s="1039"/>
      <c r="H7" s="1039"/>
      <c r="I7" s="1039"/>
      <c r="J7" s="1039"/>
      <c r="K7" s="1039"/>
      <c r="L7" s="1040"/>
    </row>
    <row r="8" spans="2:12" s="4" customFormat="1" ht="13.5" customHeight="1" thickBot="1" x14ac:dyDescent="0.25">
      <c r="B8" s="191"/>
      <c r="C8" s="192"/>
      <c r="D8" s="192"/>
      <c r="E8" s="192"/>
      <c r="F8" s="192"/>
      <c r="G8" s="192"/>
      <c r="H8" s="192"/>
      <c r="I8" s="192"/>
      <c r="J8" s="192"/>
      <c r="K8" s="192"/>
      <c r="L8" s="193"/>
    </row>
    <row r="10" spans="2:12" s="4" customFormat="1" ht="13.5" customHeight="1" x14ac:dyDescent="0.2"/>
    <row r="11" spans="2:12" s="4" customFormat="1" ht="19.5" customHeight="1" x14ac:dyDescent="0.2">
      <c r="B11" s="190"/>
    </row>
    <row r="42" spans="18:44" x14ac:dyDescent="0.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xPO0f4H3te7G+d1xv4PsomlK1Y1td/QcZzCzwWY8BkdkGWZfFiU9DrPlv4QrxVHx53krviES2rw/t4IMv8T9hA==" saltValue="zPWZoFb44DdwzcwvLvNGRQ=="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customProperties>
    <customPr name="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ACEACF"/>
  </sheetPr>
  <dimension ref="A1:AB23"/>
  <sheetViews>
    <sheetView showGridLines="0" topLeftCell="A6" zoomScale="105" zoomScaleNormal="130" workbookViewId="0">
      <selection activeCell="P12" sqref="P12"/>
    </sheetView>
  </sheetViews>
  <sheetFormatPr defaultColWidth="9.140625" defaultRowHeight="12.75" x14ac:dyDescent="0.2"/>
  <cols>
    <col min="1" max="1" width="16.42578125" style="33" customWidth="1"/>
    <col min="2" max="3" width="10" style="33" bestFit="1" customWidth="1"/>
    <col min="4" max="6" width="5.42578125" style="33" customWidth="1"/>
    <col min="7" max="8" width="10" style="33" bestFit="1" customWidth="1"/>
    <col min="9" max="9" width="5.42578125" style="33" customWidth="1"/>
    <col min="10" max="10" width="9.42578125" style="33" bestFit="1" customWidth="1"/>
    <col min="11" max="11" width="8.42578125" style="33" customWidth="1"/>
    <col min="12" max="15" width="5.42578125" style="33" customWidth="1"/>
    <col min="16" max="16" width="8" style="33" customWidth="1"/>
    <col min="17" max="22" width="5.42578125" style="33" customWidth="1"/>
    <col min="23" max="23" width="5" style="33" customWidth="1"/>
    <col min="24" max="26" width="5.42578125" style="33" customWidth="1"/>
    <col min="27" max="27" width="11.28515625" style="33" bestFit="1" customWidth="1"/>
    <col min="28" max="34" width="5.42578125" style="33" customWidth="1"/>
    <col min="35" max="35" width="5" style="33" customWidth="1"/>
    <col min="36" max="46" width="5.42578125" style="33" customWidth="1"/>
    <col min="47" max="16384" width="9.140625" style="33"/>
  </cols>
  <sheetData>
    <row r="1" spans="1:28" x14ac:dyDescent="0.2">
      <c r="A1" s="32" t="s">
        <v>612</v>
      </c>
    </row>
    <row r="2" spans="1:28" x14ac:dyDescent="0.2">
      <c r="A2" s="34"/>
      <c r="F2" s="35"/>
      <c r="H2" s="36"/>
      <c r="I2" s="37"/>
      <c r="T2" s="38"/>
      <c r="V2" s="39"/>
      <c r="Y2" s="39"/>
      <c r="Z2" s="39"/>
    </row>
    <row r="4" spans="1:28" x14ac:dyDescent="0.2">
      <c r="A4" s="40" t="s">
        <v>613</v>
      </c>
    </row>
    <row r="6" spans="1:28" ht="48" customHeight="1" x14ac:dyDescent="0.2">
      <c r="A6" s="41" t="s">
        <v>614</v>
      </c>
      <c r="B6" s="41" t="s">
        <v>615</v>
      </c>
      <c r="C6" s="41" t="s">
        <v>616</v>
      </c>
      <c r="D6" s="41" t="s">
        <v>617</v>
      </c>
      <c r="E6" s="41" t="s">
        <v>618</v>
      </c>
      <c r="F6" s="41" t="s">
        <v>619</v>
      </c>
      <c r="G6" s="41" t="s">
        <v>620</v>
      </c>
      <c r="H6" s="41" t="s">
        <v>621</v>
      </c>
      <c r="I6" s="41" t="s">
        <v>622</v>
      </c>
      <c r="J6" s="41" t="s">
        <v>623</v>
      </c>
      <c r="K6" s="41" t="s">
        <v>624</v>
      </c>
      <c r="L6" s="41" t="s">
        <v>42</v>
      </c>
      <c r="M6" s="41" t="s">
        <v>43</v>
      </c>
      <c r="N6" s="41" t="s">
        <v>44</v>
      </c>
      <c r="O6" s="41" t="s">
        <v>357</v>
      </c>
      <c r="P6" s="41" t="s">
        <v>625</v>
      </c>
      <c r="Q6" s="41" t="s">
        <v>626</v>
      </c>
      <c r="R6" s="41" t="s">
        <v>627</v>
      </c>
      <c r="S6" s="41" t="s">
        <v>49</v>
      </c>
      <c r="T6" s="41" t="s">
        <v>51</v>
      </c>
      <c r="U6" s="41" t="s">
        <v>628</v>
      </c>
      <c r="V6" s="41" t="s">
        <v>629</v>
      </c>
      <c r="W6" s="41" t="s">
        <v>630</v>
      </c>
      <c r="X6" s="41" t="s">
        <v>57</v>
      </c>
      <c r="Y6" s="41" t="s">
        <v>631</v>
      </c>
      <c r="Z6" s="41" t="s">
        <v>632</v>
      </c>
      <c r="AA6" s="41" t="s">
        <v>633</v>
      </c>
      <c r="AB6" s="41" t="s">
        <v>123</v>
      </c>
    </row>
    <row r="7" spans="1:28" ht="22.5" customHeight="1" x14ac:dyDescent="0.2">
      <c r="A7" s="34" t="str">
        <f>IF($A$2="","",$A$2)</f>
        <v/>
      </c>
      <c r="B7" s="42">
        <f>'Project Compliance Tool'!C9</f>
        <v>0</v>
      </c>
      <c r="C7" s="42">
        <f>'Project Compliance Tool'!D9</f>
        <v>0</v>
      </c>
      <c r="D7" s="77">
        <f>'Project Compliance Tool'!E9</f>
        <v>0</v>
      </c>
      <c r="E7" s="43">
        <f>'Project Compliance Tool'!F9</f>
        <v>0</v>
      </c>
      <c r="F7" s="43">
        <f>'Project Compliance Tool'!G9</f>
        <v>0</v>
      </c>
      <c r="G7" s="44" t="str">
        <f>'Project Compliance Tool'!O65</f>
        <v/>
      </c>
      <c r="H7" s="44">
        <f>'Project Compliance Tool'!N65</f>
        <v>0</v>
      </c>
      <c r="I7" s="45" t="str">
        <f>IFERROR(H7/G7,"")</f>
        <v/>
      </c>
      <c r="J7" s="46">
        <f>IF(SUM($K$14:$K$22)&gt;0,"MPS",C13)</f>
        <v>0</v>
      </c>
      <c r="K7" s="46">
        <f>IF(SUM($K$14:$K$22)&gt;0,"MPS",D13)</f>
        <v>0</v>
      </c>
      <c r="L7" s="46">
        <f>IF(SUM($K$14:$K$22)&gt;0,"MPS",E13)</f>
        <v>0</v>
      </c>
      <c r="M7" s="46" t="str">
        <f>IF(SUM($K$14:$K$22)&gt;0,"MPS",F13)</f>
        <v/>
      </c>
      <c r="N7" s="46">
        <f>IF(SUM($K$14:$K$22)&gt;0,"Multiple Project Types",G13)</f>
        <v>0</v>
      </c>
      <c r="O7" s="46">
        <f>IF(SUM($K$14:$K$22)&gt;0,"MPS",H13)</f>
        <v>0</v>
      </c>
      <c r="P7" s="46">
        <f>IF(SUM($K$14:$K$22)&gt;0,"MPS",I13)</f>
        <v>0</v>
      </c>
      <c r="Q7" s="46">
        <f>IF(SUM($K$14:$K$22)&gt;0,"MPS",J13)</f>
        <v>0</v>
      </c>
      <c r="R7" s="46" t="str">
        <f>IF(SUM($K$14:$K$22)&gt;0,"MPS",K13)</f>
        <v/>
      </c>
      <c r="S7" s="47" t="e">
        <f>IF(R7="MPS","MPS",R7/P7)</f>
        <v>#VALUE!</v>
      </c>
      <c r="T7" s="44" t="str">
        <f>'Project Compliance Tool'!P65</f>
        <v/>
      </c>
      <c r="U7" s="48" t="str">
        <f>'Project Compliance Tool'!Q65</f>
        <v/>
      </c>
      <c r="V7" s="48" t="str">
        <f>'Project Compliance Tool'!R65</f>
        <v/>
      </c>
      <c r="W7" s="48" t="str">
        <f>'Project Compliance Tool'!S65</f>
        <v/>
      </c>
      <c r="X7" s="46" t="str">
        <f>IF(SUM($M$14:$M$22)&gt;0,"MPS",M13)</f>
        <v/>
      </c>
      <c r="Y7" s="49" t="str">
        <f>'Project Compliance Tool'!T65</f>
        <v/>
      </c>
      <c r="Z7" s="49" t="str">
        <f>'Project Compliance Tool'!U65</f>
        <v/>
      </c>
      <c r="AA7" s="44">
        <f>Q23</f>
        <v>0</v>
      </c>
      <c r="AB7" s="49" t="str">
        <f>'Project Compliance Tool'!V65</f>
        <v>Please Select Programme</v>
      </c>
    </row>
    <row r="10" spans="1:28" x14ac:dyDescent="0.2">
      <c r="A10" s="40" t="s">
        <v>634</v>
      </c>
    </row>
    <row r="12" spans="1:28" ht="76.5" x14ac:dyDescent="0.2">
      <c r="A12" s="41" t="s">
        <v>614</v>
      </c>
      <c r="B12" s="41" t="s">
        <v>635</v>
      </c>
      <c r="C12" s="41" t="s">
        <v>636</v>
      </c>
      <c r="D12" s="41" t="s">
        <v>637</v>
      </c>
      <c r="E12" s="41" t="s">
        <v>42</v>
      </c>
      <c r="F12" s="41" t="s">
        <v>43</v>
      </c>
      <c r="G12" s="41" t="s">
        <v>44</v>
      </c>
      <c r="H12" s="41" t="s">
        <v>45</v>
      </c>
      <c r="I12" s="41" t="s">
        <v>46</v>
      </c>
      <c r="J12" s="41" t="s">
        <v>47</v>
      </c>
      <c r="K12" s="41" t="s">
        <v>48</v>
      </c>
      <c r="L12" s="41" t="s">
        <v>49</v>
      </c>
      <c r="M12" s="41" t="s">
        <v>57</v>
      </c>
      <c r="N12" s="41" t="s">
        <v>638</v>
      </c>
      <c r="O12" s="41" t="s">
        <v>630</v>
      </c>
      <c r="P12" s="41" t="s">
        <v>639</v>
      </c>
      <c r="Q12" s="41" t="s">
        <v>633</v>
      </c>
      <c r="R12" s="41" t="s">
        <v>640</v>
      </c>
      <c r="T12" s="41" t="s">
        <v>641</v>
      </c>
      <c r="U12" s="41" t="s">
        <v>642</v>
      </c>
    </row>
    <row r="13" spans="1:28" x14ac:dyDescent="0.2">
      <c r="A13" s="34" t="str">
        <f>IF($A$2="","",$A$2)</f>
        <v/>
      </c>
      <c r="B13" s="34" t="e">
        <f>U13&amp;T13&amp;$A$2</f>
        <v>#N/A</v>
      </c>
      <c r="C13" s="34">
        <f>'Project Compliance Tool'!D12</f>
        <v>0</v>
      </c>
      <c r="D13" s="50">
        <f>'Project Compliance Tool'!E12</f>
        <v>0</v>
      </c>
      <c r="E13" s="50">
        <f>'Project Compliance Tool'!F12</f>
        <v>0</v>
      </c>
      <c r="F13" s="50" t="str">
        <f>'Project Compliance Tool'!G12</f>
        <v/>
      </c>
      <c r="G13" s="34">
        <f>'Project Compliance Tool'!H12</f>
        <v>0</v>
      </c>
      <c r="H13" s="34">
        <f>'Project Compliance Tool'!I12</f>
        <v>0</v>
      </c>
      <c r="I13" s="50">
        <f>'Project Compliance Tool'!K12</f>
        <v>0</v>
      </c>
      <c r="J13" s="50">
        <f>'Project Compliance Tool'!L12</f>
        <v>0</v>
      </c>
      <c r="K13" s="50" t="str">
        <f>'Project Compliance Tool'!M12</f>
        <v/>
      </c>
      <c r="L13" s="51">
        <f>'Project Compliance Tool'!N12</f>
        <v>0</v>
      </c>
      <c r="M13" s="50" t="str">
        <f>'Project Compliance Tool'!W12</f>
        <v/>
      </c>
      <c r="N13" s="44" t="str">
        <f>'Project Compliance Tool'!P12</f>
        <v/>
      </c>
      <c r="O13" s="50" t="str">
        <f>'Project Compliance Tool'!S12</f>
        <v/>
      </c>
      <c r="P13" s="50" t="str">
        <f>'Project Compliance Tool'!T12</f>
        <v/>
      </c>
      <c r="Q13" s="44" t="str">
        <f>IFERROR(N13*M13,"")</f>
        <v/>
      </c>
      <c r="R13" s="44">
        <f>'Project Compliance Tool'!O12</f>
        <v>0</v>
      </c>
      <c r="T13" s="34">
        <f>COUNTIF($U$13:U13,U13)</f>
        <v>1</v>
      </c>
      <c r="U13" s="34" t="e">
        <f>VLOOKUP(C13,'Eligible Technologies'!$J$17:$Q$26,7,FALSE)</f>
        <v>#N/A</v>
      </c>
      <c r="V13" s="52">
        <f t="shared" ref="V13:V22" si="0">IF(LEN(TRIM(C13))=0,0,LEN(TRIM(C13))-LEN(SUBSTITUTE(C13," ",""))+1)</f>
        <v>1</v>
      </c>
      <c r="W13" s="52" t="e">
        <f>RIGHT(C13,LEN(C13)-FIND("^^",SUBSTITUTE(C13," ",
"^^",LEN(C13)-LEN(SUBSTITUTE(C13," ","")))))</f>
        <v>#VALUE!</v>
      </c>
    </row>
    <row r="14" spans="1:28" x14ac:dyDescent="0.2">
      <c r="A14" s="34" t="str">
        <f t="shared" ref="A14:A22" si="1">IF($A$2="","",$A$2)</f>
        <v/>
      </c>
      <c r="B14" s="34" t="e">
        <f>U14&amp;T14&amp;$A$2</f>
        <v>#N/A</v>
      </c>
      <c r="C14" s="34">
        <f>'Project Compliance Tool'!D13</f>
        <v>0</v>
      </c>
      <c r="D14" s="50">
        <f>'Project Compliance Tool'!E13</f>
        <v>0</v>
      </c>
      <c r="E14" s="50">
        <f>'Project Compliance Tool'!F13</f>
        <v>0</v>
      </c>
      <c r="F14" s="50" t="str">
        <f>'Project Compliance Tool'!G13</f>
        <v/>
      </c>
      <c r="G14" s="34">
        <f>'Project Compliance Tool'!H13</f>
        <v>0</v>
      </c>
      <c r="H14" s="34">
        <f>'Project Compliance Tool'!I13</f>
        <v>0</v>
      </c>
      <c r="I14" s="50">
        <f>'Project Compliance Tool'!K13</f>
        <v>0</v>
      </c>
      <c r="J14" s="50">
        <f>'Project Compliance Tool'!L13</f>
        <v>0</v>
      </c>
      <c r="K14" s="50" t="str">
        <f>'Project Compliance Tool'!M13</f>
        <v/>
      </c>
      <c r="L14" s="51">
        <f>'Project Compliance Tool'!N13</f>
        <v>0</v>
      </c>
      <c r="M14" s="50" t="str">
        <f>'Project Compliance Tool'!W13</f>
        <v/>
      </c>
      <c r="N14" s="44" t="str">
        <f>'Project Compliance Tool'!P13</f>
        <v/>
      </c>
      <c r="O14" s="50" t="str">
        <f>'Project Compliance Tool'!S13</f>
        <v/>
      </c>
      <c r="P14" s="50" t="str">
        <f>'Project Compliance Tool'!T13</f>
        <v/>
      </c>
      <c r="Q14" s="44" t="str">
        <f t="shared" ref="Q14:Q22" si="2">IFERROR(N14*M14,"")</f>
        <v/>
      </c>
      <c r="R14" s="44">
        <f>'Project Compliance Tool'!O13</f>
        <v>0</v>
      </c>
      <c r="T14" s="34">
        <f>COUNTIF($U$13:U14,U14)</f>
        <v>2</v>
      </c>
      <c r="U14" s="34" t="e">
        <f>VLOOKUP(C14,'Eligible Technologies'!$J$17:$Q$26,7,FALSE)</f>
        <v>#N/A</v>
      </c>
      <c r="V14" s="52">
        <f t="shared" si="0"/>
        <v>1</v>
      </c>
      <c r="W14" s="52" t="e">
        <f>RIGHT(C14,LEN(C14)-FIND("^^",SUBSTITUTE(C14," ",
"^^",LEN(C14)-LEN(SUBSTITUTE(C14," ","")))))</f>
        <v>#VALUE!</v>
      </c>
    </row>
    <row r="15" spans="1:28" x14ac:dyDescent="0.2">
      <c r="A15" s="34" t="str">
        <f t="shared" si="1"/>
        <v/>
      </c>
      <c r="B15" s="34" t="e">
        <f t="shared" ref="B15:B22" si="3">U15&amp;T15&amp;$A$2</f>
        <v>#N/A</v>
      </c>
      <c r="C15" s="34">
        <f>'Project Compliance Tool'!D14</f>
        <v>0</v>
      </c>
      <c r="D15" s="50">
        <f>'Project Compliance Tool'!E14</f>
        <v>0</v>
      </c>
      <c r="E15" s="50">
        <f>'Project Compliance Tool'!F14</f>
        <v>0</v>
      </c>
      <c r="F15" s="50" t="str">
        <f>'Project Compliance Tool'!G14</f>
        <v/>
      </c>
      <c r="G15" s="34">
        <f>'Project Compliance Tool'!H14</f>
        <v>0</v>
      </c>
      <c r="H15" s="34">
        <f>'Project Compliance Tool'!I14</f>
        <v>0</v>
      </c>
      <c r="I15" s="50">
        <f>'Project Compliance Tool'!K14</f>
        <v>0</v>
      </c>
      <c r="J15" s="50">
        <f>'Project Compliance Tool'!L14</f>
        <v>0</v>
      </c>
      <c r="K15" s="50" t="str">
        <f>'Project Compliance Tool'!M14</f>
        <v/>
      </c>
      <c r="L15" s="51">
        <f>'Project Compliance Tool'!N14</f>
        <v>0</v>
      </c>
      <c r="M15" s="50" t="str">
        <f>'Project Compliance Tool'!W14</f>
        <v/>
      </c>
      <c r="N15" s="44" t="str">
        <f>'Project Compliance Tool'!P14</f>
        <v/>
      </c>
      <c r="O15" s="50" t="str">
        <f>'Project Compliance Tool'!S14</f>
        <v/>
      </c>
      <c r="P15" s="50" t="str">
        <f>'Project Compliance Tool'!T14</f>
        <v/>
      </c>
      <c r="Q15" s="44" t="str">
        <f t="shared" si="2"/>
        <v/>
      </c>
      <c r="R15" s="44">
        <f>'Project Compliance Tool'!O14</f>
        <v>0</v>
      </c>
      <c r="T15" s="34">
        <f>COUNTIF($U$13:U15,U15)</f>
        <v>3</v>
      </c>
      <c r="U15" s="34" t="e">
        <f>VLOOKUP(C15,'Eligible Technologies'!$J$17:$Q$26,7,FALSE)</f>
        <v>#N/A</v>
      </c>
      <c r="V15" s="52">
        <f t="shared" si="0"/>
        <v>1</v>
      </c>
      <c r="W15" s="52" t="e">
        <f>RIGHT(C15,LEN(C15)-FIND("^^",SUBSTITUTE(C15," ",
"^^",LEN(C15)-LEN(SUBSTITUTE(C15," ","")))))</f>
        <v>#VALUE!</v>
      </c>
    </row>
    <row r="16" spans="1:28" x14ac:dyDescent="0.2">
      <c r="A16" s="34" t="str">
        <f t="shared" si="1"/>
        <v/>
      </c>
      <c r="B16" s="34" t="e">
        <f t="shared" si="3"/>
        <v>#N/A</v>
      </c>
      <c r="C16" s="34">
        <f>'Project Compliance Tool'!D15</f>
        <v>0</v>
      </c>
      <c r="D16" s="50">
        <f>'Project Compliance Tool'!E15</f>
        <v>0</v>
      </c>
      <c r="E16" s="50">
        <f>'Project Compliance Tool'!F15</f>
        <v>0</v>
      </c>
      <c r="F16" s="50" t="str">
        <f>'Project Compliance Tool'!G15</f>
        <v/>
      </c>
      <c r="G16" s="34">
        <f>'Project Compliance Tool'!H15</f>
        <v>0</v>
      </c>
      <c r="H16" s="34">
        <f>'Project Compliance Tool'!I15</f>
        <v>0</v>
      </c>
      <c r="I16" s="50">
        <f>'Project Compliance Tool'!K15</f>
        <v>0</v>
      </c>
      <c r="J16" s="50">
        <f>'Project Compliance Tool'!L15</f>
        <v>0</v>
      </c>
      <c r="K16" s="50" t="str">
        <f>'Project Compliance Tool'!M15</f>
        <v/>
      </c>
      <c r="L16" s="51">
        <f>'Project Compliance Tool'!N15</f>
        <v>0</v>
      </c>
      <c r="M16" s="50" t="str">
        <f>'Project Compliance Tool'!W15</f>
        <v/>
      </c>
      <c r="N16" s="44" t="str">
        <f>'Project Compliance Tool'!P15</f>
        <v/>
      </c>
      <c r="O16" s="50" t="str">
        <f>'Project Compliance Tool'!S15</f>
        <v/>
      </c>
      <c r="P16" s="50" t="str">
        <f>'Project Compliance Tool'!T15</f>
        <v/>
      </c>
      <c r="Q16" s="44" t="str">
        <f t="shared" si="2"/>
        <v/>
      </c>
      <c r="R16" s="44">
        <f>'Project Compliance Tool'!O15</f>
        <v>0</v>
      </c>
      <c r="T16" s="34">
        <f>COUNTIF($U$13:U16,U16)</f>
        <v>4</v>
      </c>
      <c r="U16" s="34" t="e">
        <f>VLOOKUP(C16,'Eligible Technologies'!$J$17:$Q$26,7,FALSE)</f>
        <v>#N/A</v>
      </c>
      <c r="V16" s="52">
        <f t="shared" si="0"/>
        <v>1</v>
      </c>
      <c r="W16" s="52" t="e">
        <f>RIGHT(C16,LEN(C16)-FIND("^^",SUBSTITUTE(C16," ",
"^^",LEN(C16)-LEN(SUBSTITUTE(C16," ","")))))</f>
        <v>#VALUE!</v>
      </c>
    </row>
    <row r="17" spans="1:23" x14ac:dyDescent="0.2">
      <c r="A17" s="34" t="str">
        <f t="shared" si="1"/>
        <v/>
      </c>
      <c r="B17" s="34" t="e">
        <f t="shared" si="3"/>
        <v>#N/A</v>
      </c>
      <c r="C17" s="34">
        <f>'Project Compliance Tool'!D16</f>
        <v>0</v>
      </c>
      <c r="D17" s="50">
        <f>'Project Compliance Tool'!E16</f>
        <v>0</v>
      </c>
      <c r="E17" s="50">
        <f>'Project Compliance Tool'!F16</f>
        <v>0</v>
      </c>
      <c r="F17" s="50" t="str">
        <f>'Project Compliance Tool'!G16</f>
        <v/>
      </c>
      <c r="G17" s="34">
        <f>'Project Compliance Tool'!H16</f>
        <v>0</v>
      </c>
      <c r="H17" s="34">
        <f>'Project Compliance Tool'!I16</f>
        <v>0</v>
      </c>
      <c r="I17" s="50">
        <f>'Project Compliance Tool'!K16</f>
        <v>0</v>
      </c>
      <c r="J17" s="50">
        <f>'Project Compliance Tool'!L16</f>
        <v>0</v>
      </c>
      <c r="K17" s="50" t="str">
        <f>'Project Compliance Tool'!M16</f>
        <v/>
      </c>
      <c r="L17" s="51">
        <f>'Project Compliance Tool'!N16</f>
        <v>0</v>
      </c>
      <c r="M17" s="50" t="str">
        <f>'Project Compliance Tool'!W16</f>
        <v/>
      </c>
      <c r="N17" s="44" t="str">
        <f>'Project Compliance Tool'!P16</f>
        <v/>
      </c>
      <c r="O17" s="50" t="str">
        <f>'Project Compliance Tool'!S16</f>
        <v/>
      </c>
      <c r="P17" s="50" t="str">
        <f>'Project Compliance Tool'!T16</f>
        <v/>
      </c>
      <c r="Q17" s="44" t="str">
        <f t="shared" si="2"/>
        <v/>
      </c>
      <c r="R17" s="44">
        <f>'Project Compliance Tool'!O16</f>
        <v>0</v>
      </c>
      <c r="T17" s="34">
        <f>COUNTIF($U$13:U17,U17)</f>
        <v>5</v>
      </c>
      <c r="U17" s="34" t="e">
        <f>VLOOKUP(C17,'Eligible Technologies'!$J$17:$Q$26,7,FALSE)</f>
        <v>#N/A</v>
      </c>
      <c r="V17" s="52">
        <f t="shared" si="0"/>
        <v>1</v>
      </c>
      <c r="W17" s="52" t="e">
        <f t="shared" ref="W17:W22" si="4">RIGHT(C17,LEN(C17)-FIND("^^",SUBSTITUTE(C17," ",
"^^",LEN(C17)-LEN(SUBSTITUTE(C17," ","")))))</f>
        <v>#VALUE!</v>
      </c>
    </row>
    <row r="18" spans="1:23" x14ac:dyDescent="0.2">
      <c r="A18" s="34" t="str">
        <f t="shared" si="1"/>
        <v/>
      </c>
      <c r="B18" s="34" t="e">
        <f t="shared" si="3"/>
        <v>#N/A</v>
      </c>
      <c r="C18" s="34">
        <f>'Project Compliance Tool'!D17</f>
        <v>0</v>
      </c>
      <c r="D18" s="50">
        <f>'Project Compliance Tool'!E17</f>
        <v>0</v>
      </c>
      <c r="E18" s="50">
        <f>'Project Compliance Tool'!F17</f>
        <v>0</v>
      </c>
      <c r="F18" s="50" t="str">
        <f>'Project Compliance Tool'!G17</f>
        <v/>
      </c>
      <c r="G18" s="34">
        <f>'Project Compliance Tool'!H17</f>
        <v>0</v>
      </c>
      <c r="H18" s="34">
        <f>'Project Compliance Tool'!I17</f>
        <v>0</v>
      </c>
      <c r="I18" s="50">
        <f>'Project Compliance Tool'!K17</f>
        <v>0</v>
      </c>
      <c r="J18" s="50">
        <f>'Project Compliance Tool'!L17</f>
        <v>0</v>
      </c>
      <c r="K18" s="50" t="str">
        <f>'Project Compliance Tool'!M17</f>
        <v/>
      </c>
      <c r="L18" s="51">
        <f>'Project Compliance Tool'!N17</f>
        <v>0</v>
      </c>
      <c r="M18" s="50" t="str">
        <f>'Project Compliance Tool'!W17</f>
        <v/>
      </c>
      <c r="N18" s="44" t="str">
        <f>'Project Compliance Tool'!P17</f>
        <v/>
      </c>
      <c r="O18" s="50" t="str">
        <f>'Project Compliance Tool'!S17</f>
        <v/>
      </c>
      <c r="P18" s="50" t="str">
        <f>'Project Compliance Tool'!T17</f>
        <v/>
      </c>
      <c r="Q18" s="44" t="str">
        <f t="shared" si="2"/>
        <v/>
      </c>
      <c r="R18" s="44">
        <f>'Project Compliance Tool'!O17</f>
        <v>0</v>
      </c>
      <c r="T18" s="34">
        <f>COUNTIF($U$13:U18,U18)</f>
        <v>6</v>
      </c>
      <c r="U18" s="34" t="e">
        <f>VLOOKUP(C18,'Eligible Technologies'!$J$17:$Q$26,7,FALSE)</f>
        <v>#N/A</v>
      </c>
      <c r="V18" s="52">
        <f t="shared" si="0"/>
        <v>1</v>
      </c>
      <c r="W18" s="52" t="e">
        <f t="shared" si="4"/>
        <v>#VALUE!</v>
      </c>
    </row>
    <row r="19" spans="1:23" x14ac:dyDescent="0.2">
      <c r="A19" s="34" t="str">
        <f t="shared" si="1"/>
        <v/>
      </c>
      <c r="B19" s="34" t="e">
        <f t="shared" si="3"/>
        <v>#N/A</v>
      </c>
      <c r="C19" s="34">
        <f>'Project Compliance Tool'!D18</f>
        <v>0</v>
      </c>
      <c r="D19" s="50">
        <f>'Project Compliance Tool'!E18</f>
        <v>0</v>
      </c>
      <c r="E19" s="50">
        <f>'Project Compliance Tool'!F18</f>
        <v>0</v>
      </c>
      <c r="F19" s="50" t="str">
        <f>'Project Compliance Tool'!G18</f>
        <v/>
      </c>
      <c r="G19" s="34">
        <f>'Project Compliance Tool'!H18</f>
        <v>0</v>
      </c>
      <c r="H19" s="34">
        <f>'Project Compliance Tool'!I18</f>
        <v>0</v>
      </c>
      <c r="I19" s="50">
        <f>'Project Compliance Tool'!K18</f>
        <v>0</v>
      </c>
      <c r="J19" s="50">
        <f>'Project Compliance Tool'!L18</f>
        <v>0</v>
      </c>
      <c r="K19" s="50" t="str">
        <f>'Project Compliance Tool'!M18</f>
        <v/>
      </c>
      <c r="L19" s="51">
        <f>'Project Compliance Tool'!N18</f>
        <v>0</v>
      </c>
      <c r="M19" s="50" t="str">
        <f>'Project Compliance Tool'!W18</f>
        <v/>
      </c>
      <c r="N19" s="44" t="str">
        <f>'Project Compliance Tool'!P18</f>
        <v/>
      </c>
      <c r="O19" s="50" t="str">
        <f>'Project Compliance Tool'!S18</f>
        <v/>
      </c>
      <c r="P19" s="50" t="str">
        <f>'Project Compliance Tool'!T18</f>
        <v/>
      </c>
      <c r="Q19" s="44" t="str">
        <f t="shared" si="2"/>
        <v/>
      </c>
      <c r="R19" s="44">
        <f>'Project Compliance Tool'!O18</f>
        <v>0</v>
      </c>
      <c r="T19" s="34">
        <f>COUNTIF($U$13:U19,U19)</f>
        <v>7</v>
      </c>
      <c r="U19" s="34" t="e">
        <f>VLOOKUP(C19,'Eligible Technologies'!$J$17:$Q$26,7,FALSE)</f>
        <v>#N/A</v>
      </c>
      <c r="V19" s="52">
        <f t="shared" si="0"/>
        <v>1</v>
      </c>
      <c r="W19" s="52" t="e">
        <f t="shared" si="4"/>
        <v>#VALUE!</v>
      </c>
    </row>
    <row r="20" spans="1:23" x14ac:dyDescent="0.2">
      <c r="A20" s="34" t="str">
        <f t="shared" si="1"/>
        <v/>
      </c>
      <c r="B20" s="34" t="e">
        <f t="shared" si="3"/>
        <v>#N/A</v>
      </c>
      <c r="C20" s="34">
        <f>'Project Compliance Tool'!D19</f>
        <v>0</v>
      </c>
      <c r="D20" s="50">
        <f>'Project Compliance Tool'!E19</f>
        <v>0</v>
      </c>
      <c r="E20" s="50">
        <f>'Project Compliance Tool'!F19</f>
        <v>0</v>
      </c>
      <c r="F20" s="50" t="str">
        <f>'Project Compliance Tool'!G19</f>
        <v/>
      </c>
      <c r="G20" s="34">
        <f>'Project Compliance Tool'!H19</f>
        <v>0</v>
      </c>
      <c r="H20" s="34">
        <f>'Project Compliance Tool'!I19</f>
        <v>0</v>
      </c>
      <c r="I20" s="50">
        <f>'Project Compliance Tool'!K19</f>
        <v>0</v>
      </c>
      <c r="J20" s="50">
        <f>'Project Compliance Tool'!L19</f>
        <v>0</v>
      </c>
      <c r="K20" s="50" t="str">
        <f>'Project Compliance Tool'!M19</f>
        <v/>
      </c>
      <c r="L20" s="51">
        <f>'Project Compliance Tool'!N19</f>
        <v>0</v>
      </c>
      <c r="M20" s="50" t="str">
        <f>'Project Compliance Tool'!W19</f>
        <v/>
      </c>
      <c r="N20" s="44" t="str">
        <f>'Project Compliance Tool'!P19</f>
        <v/>
      </c>
      <c r="O20" s="50" t="str">
        <f>'Project Compliance Tool'!S19</f>
        <v/>
      </c>
      <c r="P20" s="50" t="str">
        <f>'Project Compliance Tool'!T19</f>
        <v/>
      </c>
      <c r="Q20" s="44" t="str">
        <f t="shared" si="2"/>
        <v/>
      </c>
      <c r="R20" s="44">
        <f>'Project Compliance Tool'!O19</f>
        <v>0</v>
      </c>
      <c r="T20" s="34">
        <f>COUNTIF($U$13:U20,U20)</f>
        <v>8</v>
      </c>
      <c r="U20" s="34" t="e">
        <f>VLOOKUP(C20,'Eligible Technologies'!$J$17:$Q$26,7,FALSE)</f>
        <v>#N/A</v>
      </c>
      <c r="V20" s="52">
        <f t="shared" si="0"/>
        <v>1</v>
      </c>
      <c r="W20" s="52" t="e">
        <f t="shared" si="4"/>
        <v>#VALUE!</v>
      </c>
    </row>
    <row r="21" spans="1:23" x14ac:dyDescent="0.2">
      <c r="A21" s="34" t="str">
        <f t="shared" si="1"/>
        <v/>
      </c>
      <c r="B21" s="34" t="e">
        <f t="shared" si="3"/>
        <v>#N/A</v>
      </c>
      <c r="C21" s="34">
        <f>'Project Compliance Tool'!D20</f>
        <v>0</v>
      </c>
      <c r="D21" s="50">
        <f>'Project Compliance Tool'!E20</f>
        <v>0</v>
      </c>
      <c r="E21" s="50">
        <f>'Project Compliance Tool'!F20</f>
        <v>0</v>
      </c>
      <c r="F21" s="50" t="str">
        <f>'Project Compliance Tool'!G20</f>
        <v/>
      </c>
      <c r="G21" s="34">
        <f>'Project Compliance Tool'!H20</f>
        <v>0</v>
      </c>
      <c r="H21" s="34">
        <f>'Project Compliance Tool'!I20</f>
        <v>0</v>
      </c>
      <c r="I21" s="50">
        <f>'Project Compliance Tool'!K20</f>
        <v>0</v>
      </c>
      <c r="J21" s="50">
        <f>'Project Compliance Tool'!L20</f>
        <v>0</v>
      </c>
      <c r="K21" s="50" t="str">
        <f>'Project Compliance Tool'!M20</f>
        <v/>
      </c>
      <c r="L21" s="51">
        <f>'Project Compliance Tool'!N20</f>
        <v>0</v>
      </c>
      <c r="M21" s="50" t="str">
        <f>'Project Compliance Tool'!W20</f>
        <v/>
      </c>
      <c r="N21" s="44" t="str">
        <f>'Project Compliance Tool'!P20</f>
        <v/>
      </c>
      <c r="O21" s="50" t="str">
        <f>'Project Compliance Tool'!S20</f>
        <v/>
      </c>
      <c r="P21" s="50" t="str">
        <f>'Project Compliance Tool'!T20</f>
        <v/>
      </c>
      <c r="Q21" s="44" t="str">
        <f t="shared" si="2"/>
        <v/>
      </c>
      <c r="R21" s="44">
        <f>'Project Compliance Tool'!O20</f>
        <v>0</v>
      </c>
      <c r="T21" s="34">
        <f>COUNTIF($U$13:U21,U21)</f>
        <v>9</v>
      </c>
      <c r="U21" s="34" t="e">
        <f>VLOOKUP(C21,'Eligible Technologies'!$J$17:$Q$26,7,FALSE)</f>
        <v>#N/A</v>
      </c>
      <c r="V21" s="52">
        <f t="shared" si="0"/>
        <v>1</v>
      </c>
      <c r="W21" s="52" t="e">
        <f t="shared" si="4"/>
        <v>#VALUE!</v>
      </c>
    </row>
    <row r="22" spans="1:23" x14ac:dyDescent="0.2">
      <c r="A22" s="34" t="str">
        <f t="shared" si="1"/>
        <v/>
      </c>
      <c r="B22" s="34" t="e">
        <f t="shared" si="3"/>
        <v>#N/A</v>
      </c>
      <c r="C22" s="34">
        <f>'Project Compliance Tool'!D61</f>
        <v>0</v>
      </c>
      <c r="D22" s="50">
        <f>'Project Compliance Tool'!E61</f>
        <v>0</v>
      </c>
      <c r="E22" s="50">
        <f>'Project Compliance Tool'!F61</f>
        <v>0</v>
      </c>
      <c r="F22" s="50" t="str">
        <f>'Project Compliance Tool'!G61</f>
        <v/>
      </c>
      <c r="G22" s="34">
        <f>'Project Compliance Tool'!H61</f>
        <v>0</v>
      </c>
      <c r="H22" s="34">
        <f>'Project Compliance Tool'!I61</f>
        <v>0</v>
      </c>
      <c r="I22" s="50">
        <f>'Project Compliance Tool'!K61</f>
        <v>0</v>
      </c>
      <c r="J22" s="50">
        <f>'Project Compliance Tool'!L61</f>
        <v>0</v>
      </c>
      <c r="K22" s="50" t="str">
        <f>'Project Compliance Tool'!M61</f>
        <v/>
      </c>
      <c r="L22" s="51">
        <f>'Project Compliance Tool'!N61</f>
        <v>0</v>
      </c>
      <c r="M22" s="50" t="str">
        <f>'Project Compliance Tool'!W61</f>
        <v/>
      </c>
      <c r="N22" s="44" t="str">
        <f>'Project Compliance Tool'!P61</f>
        <v/>
      </c>
      <c r="O22" s="50" t="str">
        <f>'Project Compliance Tool'!S61</f>
        <v/>
      </c>
      <c r="P22" s="50" t="str">
        <f>'Project Compliance Tool'!T61</f>
        <v/>
      </c>
      <c r="Q22" s="44" t="str">
        <f t="shared" si="2"/>
        <v/>
      </c>
      <c r="R22" s="44">
        <f>'Project Compliance Tool'!O61</f>
        <v>0</v>
      </c>
      <c r="T22" s="34">
        <f>COUNTIF($U$13:U22,U22)</f>
        <v>10</v>
      </c>
      <c r="U22" s="34" t="e">
        <f>VLOOKUP(C22,'Eligible Technologies'!$J$17:$Q$26,7,FALSE)</f>
        <v>#N/A</v>
      </c>
      <c r="V22" s="52">
        <f t="shared" si="0"/>
        <v>1</v>
      </c>
      <c r="W22" s="52" t="e">
        <f t="shared" si="4"/>
        <v>#VALUE!</v>
      </c>
    </row>
    <row r="23" spans="1:23" x14ac:dyDescent="0.2">
      <c r="N23" s="44">
        <f>SUM(N13:N22)</f>
        <v>0</v>
      </c>
      <c r="O23" s="49">
        <f>SUM(O13:O22)</f>
        <v>0</v>
      </c>
      <c r="P23" s="49">
        <f>SUM(P13:P22)</f>
        <v>0</v>
      </c>
      <c r="Q23" s="44">
        <f>SUM(Q13:Q22)</f>
        <v>0</v>
      </c>
      <c r="R23" s="44">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customProperties>
    <customPr name="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382573"/>
    <pageSetUpPr fitToPage="1"/>
  </sheetPr>
  <dimension ref="A1:BD363"/>
  <sheetViews>
    <sheetView showGridLines="0" zoomScaleNormal="100" workbookViewId="0">
      <selection activeCell="I9" sqref="I9"/>
    </sheetView>
  </sheetViews>
  <sheetFormatPr defaultColWidth="8.85546875" defaultRowHeight="12.75" x14ac:dyDescent="0.2"/>
  <cols>
    <col min="1" max="1" width="8.85546875" customWidth="1"/>
    <col min="2" max="3" width="12.42578125" customWidth="1"/>
    <col min="4" max="4" width="76.42578125" customWidth="1"/>
    <col min="5" max="5" width="10.42578125" customWidth="1"/>
  </cols>
  <sheetData>
    <row r="1" spans="1:56" ht="13.5" thickBo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2">
      <c r="A2" s="2"/>
      <c r="B2" s="164" t="s">
        <v>220</v>
      </c>
      <c r="C2" s="165" t="s">
        <v>643</v>
      </c>
      <c r="D2" s="166" t="s">
        <v>644</v>
      </c>
      <c r="E2" s="167" t="s">
        <v>645</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38.25" x14ac:dyDescent="0.2">
      <c r="A3" s="2"/>
      <c r="B3" s="533" t="s">
        <v>646</v>
      </c>
      <c r="C3" s="534">
        <v>38</v>
      </c>
      <c r="D3" s="532" t="s">
        <v>647</v>
      </c>
      <c r="E3" s="535" t="s">
        <v>648</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x14ac:dyDescent="0.2">
      <c r="A4" s="2"/>
      <c r="B4" s="533" t="s">
        <v>649</v>
      </c>
      <c r="C4" s="534">
        <v>37.200000000000003</v>
      </c>
      <c r="D4" s="532" t="s">
        <v>650</v>
      </c>
      <c r="E4" s="535" t="s">
        <v>648</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76.5" x14ac:dyDescent="0.2">
      <c r="A5" s="2"/>
      <c r="B5" s="168">
        <v>45170</v>
      </c>
      <c r="C5" s="169">
        <v>37</v>
      </c>
      <c r="D5" s="170" t="s">
        <v>651</v>
      </c>
      <c r="E5" s="171" t="s">
        <v>648</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5.5" x14ac:dyDescent="0.2">
      <c r="A6" s="2"/>
      <c r="B6" s="168">
        <v>44470</v>
      </c>
      <c r="C6" s="169">
        <v>36.1</v>
      </c>
      <c r="D6" s="170" t="s">
        <v>652</v>
      </c>
      <c r="E6" s="171" t="s">
        <v>653</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25.5" x14ac:dyDescent="0.2">
      <c r="A7" s="2"/>
      <c r="B7" s="168">
        <v>44378</v>
      </c>
      <c r="C7" s="169">
        <v>36</v>
      </c>
      <c r="D7" s="170" t="s">
        <v>654</v>
      </c>
      <c r="E7" s="171" t="s">
        <v>655</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76.5" x14ac:dyDescent="0.2">
      <c r="A8" s="2"/>
      <c r="B8" s="168">
        <v>44044</v>
      </c>
      <c r="C8" s="169">
        <v>35.1</v>
      </c>
      <c r="D8" s="170" t="s">
        <v>656</v>
      </c>
      <c r="E8" s="171" t="s">
        <v>655</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ht="255" x14ac:dyDescent="0.2">
      <c r="A9" s="2"/>
      <c r="B9" s="168">
        <v>44013</v>
      </c>
      <c r="C9" s="169">
        <v>35</v>
      </c>
      <c r="D9" s="170" t="s">
        <v>657</v>
      </c>
      <c r="E9" s="171" t="s">
        <v>655</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x14ac:dyDescent="0.2">
      <c r="A10" s="2"/>
      <c r="B10" s="168">
        <v>43952</v>
      </c>
      <c r="C10" s="169">
        <v>34.1</v>
      </c>
      <c r="D10" s="170" t="s">
        <v>658</v>
      </c>
      <c r="E10" s="171" t="s">
        <v>659</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ht="63.75" x14ac:dyDescent="0.2">
      <c r="A11" s="2"/>
      <c r="B11" s="168">
        <v>43556</v>
      </c>
      <c r="C11" s="169">
        <v>34</v>
      </c>
      <c r="D11" s="170" t="s">
        <v>660</v>
      </c>
      <c r="E11" s="171" t="s">
        <v>661</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x14ac:dyDescent="0.2">
      <c r="A12" s="2"/>
      <c r="B12" s="168">
        <v>43479</v>
      </c>
      <c r="C12" s="169">
        <v>33.1</v>
      </c>
      <c r="D12" s="170" t="s">
        <v>662</v>
      </c>
      <c r="E12" s="171" t="s">
        <v>663</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153" x14ac:dyDescent="0.2">
      <c r="A13" s="2"/>
      <c r="B13" s="168">
        <v>43221</v>
      </c>
      <c r="C13" s="169">
        <v>33</v>
      </c>
      <c r="D13" s="170" t="s">
        <v>664</v>
      </c>
      <c r="E13" s="171" t="s">
        <v>665</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38.25" x14ac:dyDescent="0.2">
      <c r="A14" s="2"/>
      <c r="B14" s="168">
        <v>43009</v>
      </c>
      <c r="C14" s="169">
        <v>32.1</v>
      </c>
      <c r="D14" s="170" t="s">
        <v>666</v>
      </c>
      <c r="E14" s="171" t="s">
        <v>667</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56" ht="38.25" x14ac:dyDescent="0.2">
      <c r="A15" s="2"/>
      <c r="B15" s="168">
        <v>42948</v>
      </c>
      <c r="C15" s="169">
        <v>32</v>
      </c>
      <c r="D15" s="170" t="s">
        <v>668</v>
      </c>
      <c r="E15" s="171" t="s">
        <v>669</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x14ac:dyDescent="0.2">
      <c r="A16" s="2"/>
      <c r="B16" s="172">
        <v>42826</v>
      </c>
      <c r="C16" s="173">
        <v>31.2</v>
      </c>
      <c r="D16" s="174" t="s">
        <v>670</v>
      </c>
      <c r="E16" s="175" t="s">
        <v>669</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38.25" x14ac:dyDescent="0.2">
      <c r="A17" s="2"/>
      <c r="B17" s="172">
        <v>42705</v>
      </c>
      <c r="C17" s="173">
        <v>31.1</v>
      </c>
      <c r="D17" s="174" t="s">
        <v>671</v>
      </c>
      <c r="E17" s="175" t="s">
        <v>669</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204" x14ac:dyDescent="0.2">
      <c r="A18" s="2"/>
      <c r="B18" s="172">
        <v>42552</v>
      </c>
      <c r="C18" s="173">
        <v>31</v>
      </c>
      <c r="D18" s="174" t="s">
        <v>672</v>
      </c>
      <c r="E18" s="175" t="s">
        <v>673</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63.75" x14ac:dyDescent="0.2">
      <c r="A19" s="2"/>
      <c r="B19" s="172">
        <v>42156</v>
      </c>
      <c r="C19" s="173">
        <v>30</v>
      </c>
      <c r="D19" s="174" t="s">
        <v>674</v>
      </c>
      <c r="E19" s="175" t="s">
        <v>590</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39.75" x14ac:dyDescent="0.2">
      <c r="A20" s="2"/>
      <c r="B20" s="172">
        <v>41791</v>
      </c>
      <c r="C20" s="173">
        <v>29</v>
      </c>
      <c r="D20" s="176" t="s">
        <v>675</v>
      </c>
      <c r="E20" s="175" t="s">
        <v>590</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5.5" x14ac:dyDescent="0.2">
      <c r="A21" s="2"/>
      <c r="B21" s="177">
        <v>41671</v>
      </c>
      <c r="C21" s="169">
        <v>28.2</v>
      </c>
      <c r="D21" s="170" t="s">
        <v>676</v>
      </c>
      <c r="E21" s="171" t="s">
        <v>677</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25.5" x14ac:dyDescent="0.2">
      <c r="A22" s="2"/>
      <c r="B22" s="177">
        <v>41609</v>
      </c>
      <c r="C22" s="169">
        <v>28.1</v>
      </c>
      <c r="D22" s="170" t="s">
        <v>678</v>
      </c>
      <c r="E22" s="171" t="s">
        <v>677</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52.5" x14ac:dyDescent="0.2">
      <c r="A23" s="2"/>
      <c r="B23" s="177">
        <v>41456</v>
      </c>
      <c r="C23" s="169">
        <v>28</v>
      </c>
      <c r="D23" s="170" t="s">
        <v>679</v>
      </c>
      <c r="E23" s="171" t="s">
        <v>677</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25.5" x14ac:dyDescent="0.2">
      <c r="A24" s="2"/>
      <c r="B24" s="177">
        <v>41333</v>
      </c>
      <c r="C24" s="169">
        <v>27.5</v>
      </c>
      <c r="D24" s="170" t="s">
        <v>680</v>
      </c>
      <c r="E24" s="171" t="s">
        <v>677</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25.5" x14ac:dyDescent="0.2">
      <c r="A25" s="2"/>
      <c r="B25" s="177">
        <v>41275</v>
      </c>
      <c r="C25" s="169">
        <v>27.1</v>
      </c>
      <c r="D25" s="178" t="s">
        <v>681</v>
      </c>
      <c r="E25" s="171" t="s">
        <v>590</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25.5" x14ac:dyDescent="0.2">
      <c r="A26" s="2"/>
      <c r="B26" s="177">
        <v>41214</v>
      </c>
      <c r="C26" s="169">
        <v>27</v>
      </c>
      <c r="D26" s="178" t="s">
        <v>682</v>
      </c>
      <c r="E26" s="175" t="s">
        <v>677</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ht="63.75" x14ac:dyDescent="0.2">
      <c r="A27" s="2"/>
      <c r="B27" s="177">
        <v>41091</v>
      </c>
      <c r="C27" s="179">
        <v>26.2</v>
      </c>
      <c r="D27" s="180" t="s">
        <v>683</v>
      </c>
      <c r="E27" s="181" t="s">
        <v>684</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x14ac:dyDescent="0.2">
      <c r="A28" s="2"/>
      <c r="B28" s="182">
        <v>40920</v>
      </c>
      <c r="C28" s="183" t="s">
        <v>685</v>
      </c>
      <c r="D28" s="184" t="s">
        <v>686</v>
      </c>
      <c r="E28" s="185" t="s">
        <v>684</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ht="141" thickBot="1" x14ac:dyDescent="0.25">
      <c r="A29" s="2"/>
      <c r="B29" s="186">
        <v>40848</v>
      </c>
      <c r="C29" s="187" t="s">
        <v>687</v>
      </c>
      <c r="D29" s="188" t="s">
        <v>688</v>
      </c>
      <c r="E29" s="189" t="s">
        <v>684</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x14ac:dyDescent="0.2">
      <c r="B351" s="2"/>
      <c r="C351" s="2"/>
      <c r="D351" s="2"/>
      <c r="E351" s="2"/>
    </row>
    <row r="352" spans="1:41" x14ac:dyDescent="0.2">
      <c r="B352" s="2"/>
      <c r="C352" s="2"/>
      <c r="D352" s="2"/>
      <c r="E352" s="2"/>
    </row>
    <row r="353" spans="2:5" x14ac:dyDescent="0.2">
      <c r="B353" s="2"/>
      <c r="C353" s="2"/>
      <c r="D353" s="2"/>
      <c r="E353" s="2"/>
    </row>
    <row r="354" spans="2:5" x14ac:dyDescent="0.2">
      <c r="B354" s="2"/>
      <c r="C354" s="2"/>
      <c r="D354" s="2"/>
      <c r="E354" s="2"/>
    </row>
    <row r="355" spans="2:5" x14ac:dyDescent="0.2">
      <c r="B355" s="2"/>
      <c r="C355" s="2"/>
      <c r="D355" s="2"/>
      <c r="E355" s="2"/>
    </row>
    <row r="356" spans="2:5" x14ac:dyDescent="0.2">
      <c r="B356" s="2"/>
      <c r="C356" s="2"/>
      <c r="D356" s="2"/>
      <c r="E356" s="2"/>
    </row>
    <row r="357" spans="2:5" x14ac:dyDescent="0.2">
      <c r="B357" s="2"/>
      <c r="C357" s="2"/>
      <c r="D357" s="2"/>
      <c r="E357" s="2"/>
    </row>
    <row r="358" spans="2:5" x14ac:dyDescent="0.2">
      <c r="B358" s="2"/>
      <c r="C358" s="2"/>
      <c r="D358" s="2"/>
      <c r="E358" s="2"/>
    </row>
    <row r="359" spans="2:5" x14ac:dyDescent="0.2">
      <c r="B359" s="2"/>
      <c r="C359" s="2"/>
      <c r="D359" s="2"/>
      <c r="E359" s="2"/>
    </row>
    <row r="360" spans="2:5" x14ac:dyDescent="0.2">
      <c r="B360" s="2"/>
      <c r="C360" s="2"/>
      <c r="D360" s="2"/>
      <c r="E360" s="2"/>
    </row>
    <row r="361" spans="2:5" x14ac:dyDescent="0.2">
      <c r="B361" s="2"/>
      <c r="C361" s="2"/>
      <c r="D361" s="2"/>
      <c r="E361" s="2"/>
    </row>
    <row r="362" spans="2:5" x14ac:dyDescent="0.2">
      <c r="B362" s="2"/>
      <c r="C362" s="2"/>
      <c r="D362" s="2"/>
      <c r="E362" s="2"/>
    </row>
    <row r="363" spans="2:5" x14ac:dyDescent="0.2">
      <c r="B363" s="2"/>
      <c r="C363" s="2"/>
      <c r="D363" s="2"/>
      <c r="E363" s="2"/>
    </row>
  </sheetData>
  <sheetProtection algorithmName="SHA-512" hashValue="iMc/DV06XHap7NWQArFB+QpvKPeFd3cRDN0d1iGc+cTZCuwH6X4/7tKJzbJhl+k51kJk0mtsJc94EwM7izK3Mw==" saltValue="YHkmjyZt415iPqPz5Qvk5g==" spinCount="100000" sheet="1" objects="1" scenarios="1"/>
  <pageMargins left="0.70866141732283472" right="0.70866141732283472" top="0.74803149606299213" bottom="0.74803149606299213" header="0.31496062992125984" footer="0.31496062992125984"/>
  <pageSetup paperSize="9" scale="53" orientation="portrait"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382573"/>
  </sheetPr>
  <dimension ref="A1:B12"/>
  <sheetViews>
    <sheetView showRowColHeaders="0" tabSelected="1" zoomScaleNormal="100" workbookViewId="0">
      <selection activeCell="B7" sqref="B7"/>
    </sheetView>
  </sheetViews>
  <sheetFormatPr defaultColWidth="9.140625" defaultRowHeight="12.75" x14ac:dyDescent="0.2"/>
  <cols>
    <col min="1" max="1" width="4.140625" style="26" customWidth="1"/>
    <col min="2" max="2" width="187.42578125" style="26" customWidth="1"/>
    <col min="3" max="16384" width="9.140625" style="26"/>
  </cols>
  <sheetData>
    <row r="1" spans="1:2" ht="16.5" thickBot="1" x14ac:dyDescent="0.25">
      <c r="A1" s="28"/>
      <c r="B1" s="29"/>
    </row>
    <row r="2" spans="1:2" ht="15.75" x14ac:dyDescent="0.2">
      <c r="A2" s="28"/>
      <c r="B2" s="78"/>
    </row>
    <row r="3" spans="1:2" ht="34.5" customHeight="1" x14ac:dyDescent="0.2">
      <c r="B3" s="79" t="s">
        <v>1</v>
      </c>
    </row>
    <row r="4" spans="1:2" ht="13.5" customHeight="1" x14ac:dyDescent="0.2">
      <c r="B4" s="80" t="str">
        <f ca="1">"© Salix Finance "&amp;YEAR(NOW())</f>
        <v>© Salix Finance 2024</v>
      </c>
    </row>
    <row r="5" spans="1:2" ht="13.5" customHeight="1" x14ac:dyDescent="0.2">
      <c r="B5" s="80"/>
    </row>
    <row r="6" spans="1:2" ht="21" customHeight="1" x14ac:dyDescent="0.2">
      <c r="B6" s="81" t="s">
        <v>2</v>
      </c>
    </row>
    <row r="7" spans="1:2" ht="51" customHeight="1" x14ac:dyDescent="0.2">
      <c r="B7" s="82" t="s">
        <v>689</v>
      </c>
    </row>
    <row r="8" spans="1:2" ht="21.75" customHeight="1" x14ac:dyDescent="0.2">
      <c r="B8" s="81" t="s">
        <v>3</v>
      </c>
    </row>
    <row r="9" spans="1:2" ht="59.1" customHeight="1" x14ac:dyDescent="0.2">
      <c r="B9" s="82" t="s">
        <v>4</v>
      </c>
    </row>
    <row r="10" spans="1:2" ht="23.45" customHeight="1" x14ac:dyDescent="0.2">
      <c r="B10" s="81" t="s">
        <v>5</v>
      </c>
    </row>
    <row r="11" spans="1:2" ht="96.95" customHeight="1" x14ac:dyDescent="0.2">
      <c r="B11" s="82" t="s">
        <v>6</v>
      </c>
    </row>
    <row r="12" spans="1:2" ht="16.5" thickBot="1" x14ac:dyDescent="0.25">
      <c r="A12" s="29"/>
      <c r="B12" s="83"/>
    </row>
  </sheetData>
  <sheetProtection algorithmName="SHA-512" hashValue="eTMnH+vG01CrZZ3v+GrhYaPI5ImBbOXA1fHDgRQgnoBSm5LHFi1ah+ADmhfm2gdZwBvMbJKAryWWvOR1okwdXA==" saltValue="sPIPQmnkierq9bzygRUvlw==" spinCount="100000" sheet="1"/>
  <pageMargins left="0.7" right="0.7" top="0.75" bottom="0.75" header="0.3" footer="0.3"/>
  <pageSetup paperSize="9" scale="84" orientation="portrait" r:id="rId1"/>
  <colBreaks count="1" manualBreakCount="1">
    <brk id="2" max="13" man="1"/>
  </colBreaks>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382573"/>
    <pageSetUpPr fitToPage="1"/>
  </sheetPr>
  <dimension ref="A1:S72"/>
  <sheetViews>
    <sheetView showGridLines="0" showRowColHeaders="0" topLeftCell="A3" zoomScale="90" zoomScaleNormal="90" workbookViewId="0">
      <selection activeCell="T11" sqref="T11"/>
    </sheetView>
  </sheetViews>
  <sheetFormatPr defaultColWidth="9.140625" defaultRowHeight="15.75" x14ac:dyDescent="0.25"/>
  <cols>
    <col min="1" max="1" width="4.42578125" style="13" customWidth="1"/>
    <col min="2" max="2" width="2.42578125" style="13" customWidth="1"/>
    <col min="3" max="16384" width="9.140625" style="13"/>
  </cols>
  <sheetData>
    <row r="1" spans="1:18" ht="15" customHeight="1" thickBot="1" x14ac:dyDescent="0.3">
      <c r="A1" s="796"/>
      <c r="B1" s="796"/>
      <c r="C1" s="796"/>
      <c r="D1" s="796"/>
      <c r="E1" s="796"/>
      <c r="F1" s="796"/>
      <c r="G1" s="796"/>
      <c r="H1" s="796"/>
      <c r="I1" s="796"/>
      <c r="J1" s="796"/>
      <c r="K1" s="796"/>
      <c r="L1" s="796"/>
      <c r="M1" s="796"/>
      <c r="N1" s="796"/>
      <c r="O1" s="796"/>
      <c r="P1" s="796"/>
      <c r="Q1" s="796"/>
      <c r="R1" s="796"/>
    </row>
    <row r="2" spans="1:18" ht="15" customHeight="1" x14ac:dyDescent="0.25">
      <c r="A2" s="796"/>
      <c r="B2" s="826"/>
      <c r="C2" s="827"/>
      <c r="D2" s="827"/>
      <c r="E2" s="827"/>
      <c r="F2" s="827"/>
      <c r="G2" s="827"/>
      <c r="H2" s="827"/>
      <c r="I2" s="827"/>
      <c r="J2" s="827"/>
      <c r="K2" s="827"/>
      <c r="L2" s="827"/>
      <c r="M2" s="827"/>
      <c r="N2" s="827"/>
      <c r="O2" s="827"/>
      <c r="P2" s="827"/>
      <c r="Q2" s="827"/>
      <c r="R2" s="828"/>
    </row>
    <row r="3" spans="1:18" ht="24.75" x14ac:dyDescent="0.25">
      <c r="A3" s="796"/>
      <c r="B3" s="797"/>
      <c r="C3" s="840" t="s">
        <v>7</v>
      </c>
      <c r="D3" s="840"/>
      <c r="E3" s="840"/>
      <c r="F3" s="840"/>
      <c r="G3" s="840"/>
      <c r="H3" s="840"/>
      <c r="I3" s="840"/>
      <c r="J3" s="840"/>
      <c r="K3" s="840"/>
      <c r="L3" s="840"/>
      <c r="M3" s="840"/>
      <c r="N3" s="840"/>
      <c r="O3" s="840"/>
      <c r="P3" s="86"/>
      <c r="Q3" s="86"/>
      <c r="R3" s="87"/>
    </row>
    <row r="4" spans="1:18" ht="14.45" customHeight="1" x14ac:dyDescent="0.25">
      <c r="A4" s="14"/>
      <c r="B4" s="84"/>
      <c r="C4" s="88"/>
      <c r="D4" s="88"/>
      <c r="E4" s="88"/>
      <c r="F4" s="88"/>
      <c r="G4" s="89"/>
      <c r="H4" s="89"/>
      <c r="I4" s="89"/>
      <c r="J4" s="89"/>
      <c r="K4" s="89"/>
      <c r="L4" s="89"/>
      <c r="M4" s="89"/>
      <c r="N4" s="89"/>
      <c r="O4" s="89"/>
      <c r="P4" s="89"/>
      <c r="Q4" s="89"/>
      <c r="R4" s="87"/>
    </row>
    <row r="5" spans="1:18" ht="20.45" customHeight="1" x14ac:dyDescent="0.25">
      <c r="A5" s="796"/>
      <c r="B5" s="797"/>
      <c r="C5" s="95" t="s">
        <v>8</v>
      </c>
      <c r="D5" s="90"/>
      <c r="E5" s="90"/>
      <c r="F5" s="90"/>
      <c r="G5" s="90"/>
      <c r="H5" s="90"/>
      <c r="I5" s="90"/>
      <c r="J5" s="90"/>
      <c r="K5" s="90"/>
      <c r="L5" s="90"/>
      <c r="M5" s="89"/>
      <c r="N5" s="90"/>
      <c r="O5" s="90"/>
      <c r="P5" s="90"/>
      <c r="Q5" s="90"/>
      <c r="R5" s="87"/>
    </row>
    <row r="6" spans="1:18" ht="57" customHeight="1" x14ac:dyDescent="0.25">
      <c r="A6" s="15"/>
      <c r="B6" s="85"/>
      <c r="C6" s="829" t="s">
        <v>9</v>
      </c>
      <c r="D6" s="829"/>
      <c r="E6" s="829"/>
      <c r="F6" s="829"/>
      <c r="G6" s="829"/>
      <c r="H6" s="829"/>
      <c r="I6" s="829"/>
      <c r="J6" s="829"/>
      <c r="K6" s="829"/>
      <c r="L6" s="829"/>
      <c r="M6" s="829"/>
      <c r="N6" s="829"/>
      <c r="O6" s="829"/>
      <c r="P6" s="829"/>
      <c r="Q6" s="829"/>
      <c r="R6" s="830"/>
    </row>
    <row r="7" spans="1:18" ht="19.5" customHeight="1" x14ac:dyDescent="0.25">
      <c r="A7" s="15"/>
      <c r="B7" s="85"/>
      <c r="C7" s="834" t="s">
        <v>10</v>
      </c>
      <c r="D7" s="834"/>
      <c r="E7" s="834"/>
      <c r="F7" s="834"/>
      <c r="G7" s="834"/>
      <c r="H7" s="834"/>
      <c r="I7" s="834"/>
      <c r="J7" s="91"/>
      <c r="K7" s="834"/>
      <c r="L7" s="834"/>
      <c r="M7" s="834"/>
      <c r="N7" s="91"/>
      <c r="O7" s="834"/>
      <c r="P7" s="834"/>
      <c r="Q7" s="834"/>
      <c r="R7" s="92"/>
    </row>
    <row r="8" spans="1:18" ht="18.75" customHeight="1" x14ac:dyDescent="0.25">
      <c r="A8" s="15"/>
      <c r="B8" s="85"/>
      <c r="C8" s="832" t="s">
        <v>11</v>
      </c>
      <c r="D8" s="832"/>
      <c r="E8" s="832"/>
      <c r="F8" s="832"/>
      <c r="G8" s="832"/>
      <c r="H8" s="832"/>
      <c r="I8" s="832"/>
      <c r="J8" s="832"/>
      <c r="K8" s="832"/>
      <c r="L8" s="832"/>
      <c r="M8" s="832"/>
      <c r="N8" s="832"/>
      <c r="O8" s="832"/>
      <c r="P8" s="832"/>
      <c r="Q8" s="832"/>
      <c r="R8" s="833"/>
    </row>
    <row r="9" spans="1:18" ht="2.25" customHeight="1" x14ac:dyDescent="0.25">
      <c r="A9" s="15"/>
      <c r="B9" s="85"/>
      <c r="C9" s="831"/>
      <c r="D9" s="831"/>
      <c r="E9" s="831"/>
      <c r="F9" s="831"/>
      <c r="G9" s="831"/>
      <c r="H9" s="831"/>
      <c r="I9" s="831"/>
      <c r="J9" s="831"/>
      <c r="K9" s="831"/>
      <c r="L9" s="831"/>
      <c r="M9" s="91"/>
      <c r="N9" s="91"/>
      <c r="O9" s="91"/>
      <c r="P9" s="91"/>
      <c r="Q9" s="91"/>
      <c r="R9" s="92"/>
    </row>
    <row r="10" spans="1:18" ht="15.75" customHeight="1" x14ac:dyDescent="0.25">
      <c r="A10" s="796"/>
      <c r="B10" s="797"/>
      <c r="C10" s="835" t="s">
        <v>12</v>
      </c>
      <c r="D10" s="836"/>
      <c r="E10" s="836"/>
      <c r="F10" s="836"/>
      <c r="G10" s="836"/>
      <c r="H10" s="836"/>
      <c r="I10" s="836"/>
      <c r="J10" s="836"/>
      <c r="K10" s="836"/>
      <c r="L10" s="836"/>
      <c r="M10" s="836"/>
      <c r="N10" s="836"/>
      <c r="O10" s="836"/>
      <c r="P10" s="836"/>
      <c r="Q10" s="836"/>
      <c r="R10" s="94"/>
    </row>
    <row r="11" spans="1:18" ht="15.75" customHeight="1" x14ac:dyDescent="0.25">
      <c r="A11" s="796"/>
      <c r="B11" s="797"/>
      <c r="C11" s="836"/>
      <c r="D11" s="836"/>
      <c r="E11" s="836"/>
      <c r="F11" s="836"/>
      <c r="G11" s="836"/>
      <c r="H11" s="836"/>
      <c r="I11" s="836"/>
      <c r="J11" s="836"/>
      <c r="K11" s="836"/>
      <c r="L11" s="836"/>
      <c r="M11" s="836"/>
      <c r="N11" s="836"/>
      <c r="O11" s="836"/>
      <c r="P11" s="836"/>
      <c r="Q11" s="836"/>
      <c r="R11" s="94"/>
    </row>
    <row r="12" spans="1:18" x14ac:dyDescent="0.25">
      <c r="A12" s="796"/>
      <c r="B12" s="797"/>
      <c r="C12" s="93" t="s">
        <v>13</v>
      </c>
      <c r="D12" s="93"/>
      <c r="E12" s="93"/>
      <c r="F12" s="93"/>
      <c r="G12" s="93"/>
      <c r="H12" s="93"/>
      <c r="I12" s="93"/>
      <c r="J12" s="93"/>
      <c r="K12" s="93"/>
      <c r="L12" s="93"/>
      <c r="M12" s="93"/>
      <c r="N12" s="93"/>
      <c r="O12" s="93"/>
      <c r="P12" s="93"/>
      <c r="Q12" s="93"/>
      <c r="R12" s="94"/>
    </row>
    <row r="13" spans="1:18" x14ac:dyDescent="0.25">
      <c r="A13" s="796"/>
      <c r="B13" s="797"/>
      <c r="C13" s="93"/>
      <c r="D13" s="93"/>
      <c r="E13" s="93"/>
      <c r="F13" s="93"/>
      <c r="G13" s="93"/>
      <c r="H13" s="93"/>
      <c r="I13" s="93"/>
      <c r="J13" s="93"/>
      <c r="K13" s="93"/>
      <c r="L13" s="93"/>
      <c r="M13" s="93"/>
      <c r="N13" s="93"/>
      <c r="O13" s="93"/>
      <c r="P13" s="93"/>
      <c r="Q13" s="93"/>
      <c r="R13" s="94"/>
    </row>
    <row r="14" spans="1:18" ht="27.95" customHeight="1" x14ac:dyDescent="0.25">
      <c r="A14" s="796"/>
      <c r="B14" s="797"/>
      <c r="C14" s="93"/>
      <c r="D14" s="93"/>
      <c r="E14" s="93"/>
      <c r="F14" s="93"/>
      <c r="G14" s="93"/>
      <c r="H14" s="93"/>
      <c r="I14" s="93"/>
      <c r="J14" s="93"/>
      <c r="K14" s="93"/>
      <c r="L14" s="93"/>
      <c r="M14" s="93"/>
      <c r="N14" s="93"/>
      <c r="O14" s="93"/>
      <c r="P14" s="93"/>
      <c r="Q14" s="93"/>
      <c r="R14" s="94"/>
    </row>
    <row r="15" spans="1:18" ht="24" customHeight="1" x14ac:dyDescent="0.25">
      <c r="A15" s="796"/>
      <c r="B15" s="797"/>
      <c r="C15" s="93"/>
      <c r="D15" s="93"/>
      <c r="E15" s="93"/>
      <c r="F15" s="93"/>
      <c r="G15" s="93"/>
      <c r="H15" s="93"/>
      <c r="I15" s="93"/>
      <c r="J15" s="93"/>
      <c r="K15" s="93"/>
      <c r="L15" s="93"/>
      <c r="M15" s="93"/>
      <c r="N15" s="93"/>
      <c r="O15" s="93"/>
      <c r="P15" s="93"/>
      <c r="Q15" s="93"/>
      <c r="R15" s="94"/>
    </row>
    <row r="16" spans="1:18" ht="8.25" customHeight="1" x14ac:dyDescent="0.25">
      <c r="A16" s="796"/>
      <c r="B16" s="797"/>
      <c r="C16" s="93"/>
      <c r="D16" s="93"/>
      <c r="E16" s="93"/>
      <c r="F16" s="93"/>
      <c r="G16" s="93"/>
      <c r="H16" s="93"/>
      <c r="I16" s="93"/>
      <c r="J16" s="93"/>
      <c r="K16" s="93"/>
      <c r="L16" s="93"/>
      <c r="M16" s="93"/>
      <c r="N16" s="93"/>
      <c r="O16" s="93"/>
      <c r="P16" s="93"/>
      <c r="Q16" s="93"/>
      <c r="R16" s="94"/>
    </row>
    <row r="17" spans="2:19" x14ac:dyDescent="0.25">
      <c r="B17" s="797"/>
      <c r="C17" s="829" t="s">
        <v>14</v>
      </c>
      <c r="D17" s="829"/>
      <c r="E17" s="829"/>
      <c r="F17" s="829"/>
      <c r="G17" s="829"/>
      <c r="H17" s="829"/>
      <c r="I17" s="829"/>
      <c r="J17" s="829"/>
      <c r="K17" s="829"/>
      <c r="L17" s="829"/>
      <c r="M17" s="829"/>
      <c r="N17" s="829"/>
      <c r="O17" s="829"/>
      <c r="P17" s="829"/>
      <c r="Q17" s="829"/>
      <c r="R17" s="830"/>
      <c r="S17" s="796"/>
    </row>
    <row r="18" spans="2:19" x14ac:dyDescent="0.25">
      <c r="B18" s="797"/>
      <c r="C18" s="829"/>
      <c r="D18" s="829"/>
      <c r="E18" s="829"/>
      <c r="F18" s="829"/>
      <c r="G18" s="829"/>
      <c r="H18" s="829"/>
      <c r="I18" s="829"/>
      <c r="J18" s="829"/>
      <c r="K18" s="829"/>
      <c r="L18" s="829"/>
      <c r="M18" s="829"/>
      <c r="N18" s="829"/>
      <c r="O18" s="829"/>
      <c r="P18" s="829"/>
      <c r="Q18" s="829"/>
      <c r="R18" s="830"/>
      <c r="S18" s="796"/>
    </row>
    <row r="19" spans="2:19" ht="29.45" customHeight="1" x14ac:dyDescent="0.25">
      <c r="B19" s="797"/>
      <c r="C19" s="93"/>
      <c r="D19" s="93"/>
      <c r="E19" s="93"/>
      <c r="F19" s="93"/>
      <c r="G19" s="93"/>
      <c r="H19" s="93"/>
      <c r="I19" s="93"/>
      <c r="J19" s="93"/>
      <c r="K19" s="93"/>
      <c r="L19" s="93"/>
      <c r="M19" s="93"/>
      <c r="N19" s="93"/>
      <c r="O19" s="93"/>
      <c r="P19" s="93"/>
      <c r="Q19" s="93"/>
      <c r="R19" s="94"/>
      <c r="S19" s="796"/>
    </row>
    <row r="20" spans="2:19" ht="28.5" customHeight="1" x14ac:dyDescent="0.25">
      <c r="B20" s="797"/>
      <c r="C20" s="93"/>
      <c r="D20" s="93"/>
      <c r="E20" s="93"/>
      <c r="F20" s="93"/>
      <c r="G20" s="93"/>
      <c r="H20" s="93"/>
      <c r="I20" s="93"/>
      <c r="J20" s="93"/>
      <c r="K20" s="93"/>
      <c r="L20" s="93"/>
      <c r="M20" s="93"/>
      <c r="N20" s="93"/>
      <c r="O20" s="93"/>
      <c r="P20" s="93"/>
      <c r="Q20" s="93"/>
      <c r="R20" s="94"/>
      <c r="S20" s="796"/>
    </row>
    <row r="21" spans="2:19" x14ac:dyDescent="0.25">
      <c r="B21" s="797"/>
      <c r="C21" s="93"/>
      <c r="D21" s="93"/>
      <c r="E21" s="93"/>
      <c r="F21" s="93"/>
      <c r="G21" s="93"/>
      <c r="H21" s="93"/>
      <c r="I21" s="93"/>
      <c r="J21" s="93"/>
      <c r="K21" s="93"/>
      <c r="L21" s="93"/>
      <c r="M21" s="93"/>
      <c r="N21" s="93"/>
      <c r="O21" s="93"/>
      <c r="P21" s="93"/>
      <c r="Q21" s="93"/>
      <c r="R21" s="94"/>
      <c r="S21" s="796"/>
    </row>
    <row r="22" spans="2:19" x14ac:dyDescent="0.25">
      <c r="B22" s="797"/>
      <c r="C22" s="93"/>
      <c r="D22" s="93"/>
      <c r="E22" s="93"/>
      <c r="F22" s="93"/>
      <c r="G22" s="93"/>
      <c r="H22" s="93"/>
      <c r="I22" s="93"/>
      <c r="J22" s="93"/>
      <c r="K22" s="93"/>
      <c r="L22" s="93"/>
      <c r="M22" s="93"/>
      <c r="N22" s="93"/>
      <c r="O22" s="93"/>
      <c r="P22" s="93"/>
      <c r="Q22" s="93"/>
      <c r="R22" s="94"/>
      <c r="S22" s="796"/>
    </row>
    <row r="23" spans="2:19" x14ac:dyDescent="0.25">
      <c r="B23" s="797"/>
      <c r="C23" s="93" t="s">
        <v>15</v>
      </c>
      <c r="D23" s="93"/>
      <c r="E23" s="93"/>
      <c r="F23" s="93"/>
      <c r="G23" s="93"/>
      <c r="H23" s="93"/>
      <c r="I23" s="93"/>
      <c r="J23" s="93"/>
      <c r="K23" s="93"/>
      <c r="L23" s="93"/>
      <c r="M23" s="93"/>
      <c r="N23" s="93"/>
      <c r="O23" s="93"/>
      <c r="P23" s="93"/>
      <c r="Q23" s="93"/>
      <c r="R23" s="94"/>
      <c r="S23" s="796"/>
    </row>
    <row r="24" spans="2:19" ht="28.5" customHeight="1" x14ac:dyDescent="0.25">
      <c r="B24" s="797"/>
      <c r="C24" s="93"/>
      <c r="D24" s="93"/>
      <c r="E24" s="93"/>
      <c r="F24" s="93"/>
      <c r="G24" s="93"/>
      <c r="H24" s="93"/>
      <c r="I24" s="93"/>
      <c r="J24" s="93"/>
      <c r="K24" s="93"/>
      <c r="L24" s="93"/>
      <c r="M24" s="93"/>
      <c r="N24" s="93"/>
      <c r="O24" s="93"/>
      <c r="P24" s="93"/>
      <c r="Q24" s="93"/>
      <c r="R24" s="94"/>
      <c r="S24" s="796"/>
    </row>
    <row r="25" spans="2:19" x14ac:dyDescent="0.25">
      <c r="B25" s="797"/>
      <c r="C25" s="93"/>
      <c r="D25" s="93"/>
      <c r="E25" s="93"/>
      <c r="F25" s="93"/>
      <c r="G25" s="93"/>
      <c r="H25" s="93"/>
      <c r="I25" s="93"/>
      <c r="J25" s="93"/>
      <c r="K25" s="93"/>
      <c r="L25" s="93"/>
      <c r="M25" s="93"/>
      <c r="N25" s="93"/>
      <c r="O25" s="93"/>
      <c r="P25" s="93"/>
      <c r="Q25" s="93"/>
      <c r="R25" s="94"/>
      <c r="S25" s="796"/>
    </row>
    <row r="26" spans="2:19" x14ac:dyDescent="0.25">
      <c r="B26" s="797"/>
      <c r="C26" s="93"/>
      <c r="D26" s="93"/>
      <c r="E26" s="93"/>
      <c r="F26" s="93"/>
      <c r="G26" s="93"/>
      <c r="H26" s="93"/>
      <c r="I26" s="93"/>
      <c r="J26" s="93"/>
      <c r="K26" s="93"/>
      <c r="L26" s="93"/>
      <c r="M26" s="93"/>
      <c r="N26" s="93"/>
      <c r="O26" s="93"/>
      <c r="P26" s="93"/>
      <c r="Q26" s="93"/>
      <c r="R26" s="94"/>
      <c r="S26" s="796"/>
    </row>
    <row r="27" spans="2:19" x14ac:dyDescent="0.25">
      <c r="B27" s="797"/>
      <c r="C27" s="93"/>
      <c r="D27" s="93"/>
      <c r="E27" s="93"/>
      <c r="F27" s="93"/>
      <c r="G27" s="93"/>
      <c r="H27" s="93"/>
      <c r="I27" s="93"/>
      <c r="J27" s="93"/>
      <c r="K27" s="93"/>
      <c r="L27" s="93"/>
      <c r="M27" s="93"/>
      <c r="N27" s="93"/>
      <c r="O27" s="93"/>
      <c r="P27" s="93"/>
      <c r="Q27" s="93"/>
      <c r="R27" s="94"/>
      <c r="S27" s="796"/>
    </row>
    <row r="28" spans="2:19" x14ac:dyDescent="0.25">
      <c r="B28" s="797"/>
      <c r="C28" s="93"/>
      <c r="D28" s="93"/>
      <c r="E28" s="93"/>
      <c r="F28" s="93"/>
      <c r="G28" s="93"/>
      <c r="H28" s="93"/>
      <c r="I28" s="93"/>
      <c r="J28" s="93"/>
      <c r="K28" s="93"/>
      <c r="L28" s="93"/>
      <c r="M28" s="93"/>
      <c r="N28" s="93"/>
      <c r="O28" s="93"/>
      <c r="P28" s="93"/>
      <c r="Q28" s="93"/>
      <c r="R28" s="94"/>
      <c r="S28" s="796"/>
    </row>
    <row r="29" spans="2:19" ht="19.5" customHeight="1" x14ac:dyDescent="0.25">
      <c r="B29" s="797"/>
      <c r="C29" s="829" t="s">
        <v>16</v>
      </c>
      <c r="D29" s="829"/>
      <c r="E29" s="829"/>
      <c r="F29" s="829"/>
      <c r="G29" s="829"/>
      <c r="H29" s="829"/>
      <c r="I29" s="829"/>
      <c r="J29" s="829"/>
      <c r="K29" s="829"/>
      <c r="L29" s="829"/>
      <c r="M29" s="829"/>
      <c r="N29" s="829"/>
      <c r="O29" s="829"/>
      <c r="P29" s="829"/>
      <c r="Q29" s="829"/>
      <c r="R29" s="830"/>
      <c r="S29" s="798"/>
    </row>
    <row r="30" spans="2:19" x14ac:dyDescent="0.25">
      <c r="B30" s="797"/>
      <c r="C30" s="829"/>
      <c r="D30" s="829"/>
      <c r="E30" s="829"/>
      <c r="F30" s="829"/>
      <c r="G30" s="829"/>
      <c r="H30" s="829"/>
      <c r="I30" s="829"/>
      <c r="J30" s="829"/>
      <c r="K30" s="829"/>
      <c r="L30" s="829"/>
      <c r="M30" s="829"/>
      <c r="N30" s="829"/>
      <c r="O30" s="829"/>
      <c r="P30" s="829"/>
      <c r="Q30" s="829"/>
      <c r="R30" s="830"/>
      <c r="S30" s="798"/>
    </row>
    <row r="31" spans="2:19" x14ac:dyDescent="0.25">
      <c r="B31" s="797"/>
      <c r="C31" s="91"/>
      <c r="D31" s="91"/>
      <c r="E31" s="91"/>
      <c r="F31" s="91"/>
      <c r="G31" s="91"/>
      <c r="H31" s="91"/>
      <c r="I31" s="91"/>
      <c r="J31" s="91"/>
      <c r="K31" s="91"/>
      <c r="L31" s="91"/>
      <c r="M31" s="91"/>
      <c r="N31" s="91"/>
      <c r="O31" s="91"/>
      <c r="P31" s="91"/>
      <c r="Q31" s="91"/>
      <c r="R31" s="92"/>
      <c r="S31" s="798"/>
    </row>
    <row r="32" spans="2:19" x14ac:dyDescent="0.25">
      <c r="B32" s="797"/>
      <c r="C32" s="93"/>
      <c r="D32" s="93"/>
      <c r="E32" s="93"/>
      <c r="F32" s="93"/>
      <c r="G32" s="93"/>
      <c r="H32" s="93"/>
      <c r="I32" s="93"/>
      <c r="J32" s="93"/>
      <c r="K32" s="93"/>
      <c r="L32" s="93"/>
      <c r="M32" s="93"/>
      <c r="N32" s="93"/>
      <c r="O32" s="93"/>
      <c r="P32" s="93"/>
      <c r="Q32" s="93"/>
      <c r="R32" s="94"/>
      <c r="S32" s="796"/>
    </row>
    <row r="33" spans="2:18" x14ac:dyDescent="0.25">
      <c r="B33" s="797"/>
      <c r="C33" s="93"/>
      <c r="D33" s="93"/>
      <c r="E33" s="93"/>
      <c r="F33" s="93"/>
      <c r="G33" s="93"/>
      <c r="H33" s="93"/>
      <c r="I33" s="93"/>
      <c r="J33" s="93"/>
      <c r="K33" s="93"/>
      <c r="L33" s="93"/>
      <c r="M33" s="93"/>
      <c r="N33" s="93"/>
      <c r="O33" s="93"/>
      <c r="P33" s="93"/>
      <c r="Q33" s="93"/>
      <c r="R33" s="94"/>
    </row>
    <row r="34" spans="2:18" x14ac:dyDescent="0.25">
      <c r="B34" s="797"/>
      <c r="C34" s="93"/>
      <c r="D34" s="93"/>
      <c r="E34" s="93"/>
      <c r="F34" s="93"/>
      <c r="G34" s="93"/>
      <c r="H34" s="93"/>
      <c r="I34" s="93"/>
      <c r="J34" s="93"/>
      <c r="K34" s="93"/>
      <c r="L34" s="93"/>
      <c r="M34" s="93"/>
      <c r="N34" s="93"/>
      <c r="O34" s="93"/>
      <c r="P34" s="93"/>
      <c r="Q34" s="93"/>
      <c r="R34" s="94"/>
    </row>
    <row r="35" spans="2:18" x14ac:dyDescent="0.25">
      <c r="B35" s="797"/>
      <c r="C35" s="93"/>
      <c r="D35" s="93"/>
      <c r="E35" s="93"/>
      <c r="F35" s="93"/>
      <c r="G35" s="93"/>
      <c r="H35" s="93"/>
      <c r="I35" s="93"/>
      <c r="J35" s="93"/>
      <c r="K35" s="93"/>
      <c r="L35" s="93"/>
      <c r="M35" s="93"/>
      <c r="N35" s="93"/>
      <c r="O35" s="93"/>
      <c r="P35" s="93"/>
      <c r="Q35" s="93"/>
      <c r="R35" s="94"/>
    </row>
    <row r="36" spans="2:18" x14ac:dyDescent="0.25">
      <c r="B36" s="797"/>
      <c r="C36" s="829" t="s">
        <v>17</v>
      </c>
      <c r="D36" s="829"/>
      <c r="E36" s="829"/>
      <c r="F36" s="829"/>
      <c r="G36" s="829"/>
      <c r="H36" s="829"/>
      <c r="I36" s="829"/>
      <c r="J36" s="829"/>
      <c r="K36" s="829"/>
      <c r="L36" s="829"/>
      <c r="M36" s="829"/>
      <c r="N36" s="829"/>
      <c r="O36" s="829"/>
      <c r="P36" s="829"/>
      <c r="Q36" s="829"/>
      <c r="R36" s="830"/>
    </row>
    <row r="37" spans="2:18" x14ac:dyDescent="0.25">
      <c r="B37" s="797"/>
      <c r="C37" s="829"/>
      <c r="D37" s="829"/>
      <c r="E37" s="829"/>
      <c r="F37" s="829"/>
      <c r="G37" s="829"/>
      <c r="H37" s="829"/>
      <c r="I37" s="829"/>
      <c r="J37" s="829"/>
      <c r="K37" s="829"/>
      <c r="L37" s="829"/>
      <c r="M37" s="829"/>
      <c r="N37" s="829"/>
      <c r="O37" s="829"/>
      <c r="P37" s="829"/>
      <c r="Q37" s="829"/>
      <c r="R37" s="830"/>
    </row>
    <row r="38" spans="2:18" x14ac:dyDescent="0.25">
      <c r="B38" s="797"/>
      <c r="C38" s="799"/>
      <c r="D38" s="799"/>
      <c r="E38" s="799"/>
      <c r="F38" s="799"/>
      <c r="G38" s="799"/>
      <c r="H38" s="799"/>
      <c r="I38" s="799"/>
      <c r="J38" s="799"/>
      <c r="K38" s="799"/>
      <c r="L38" s="799"/>
      <c r="M38" s="799"/>
      <c r="N38" s="799"/>
      <c r="O38" s="799"/>
      <c r="P38" s="799"/>
      <c r="Q38" s="799"/>
      <c r="R38" s="800"/>
    </row>
    <row r="39" spans="2:18" x14ac:dyDescent="0.25">
      <c r="B39" s="797"/>
      <c r="C39" s="801"/>
      <c r="D39" s="801"/>
      <c r="E39" s="801"/>
      <c r="F39" s="801"/>
      <c r="G39" s="801"/>
      <c r="H39" s="801"/>
      <c r="I39" s="801"/>
      <c r="J39" s="801"/>
      <c r="K39" s="801"/>
      <c r="L39" s="801"/>
      <c r="M39" s="801"/>
      <c r="N39" s="801"/>
      <c r="O39" s="801"/>
      <c r="P39" s="801"/>
      <c r="Q39" s="801"/>
      <c r="R39" s="802"/>
    </row>
    <row r="40" spans="2:18" x14ac:dyDescent="0.25">
      <c r="B40" s="797"/>
      <c r="C40" s="801"/>
      <c r="D40" s="801"/>
      <c r="E40" s="801"/>
      <c r="F40" s="801"/>
      <c r="G40" s="801"/>
      <c r="H40" s="801"/>
      <c r="I40" s="801"/>
      <c r="J40" s="801"/>
      <c r="K40" s="801"/>
      <c r="L40" s="801"/>
      <c r="M40" s="801"/>
      <c r="N40" s="801"/>
      <c r="O40" s="801"/>
      <c r="P40" s="801"/>
      <c r="Q40" s="801"/>
      <c r="R40" s="802"/>
    </row>
    <row r="41" spans="2:18" x14ac:dyDescent="0.25">
      <c r="B41" s="797"/>
      <c r="C41" s="801"/>
      <c r="D41" s="801"/>
      <c r="E41" s="801"/>
      <c r="F41" s="801"/>
      <c r="G41" s="801"/>
      <c r="H41" s="801"/>
      <c r="I41" s="801"/>
      <c r="J41" s="801"/>
      <c r="K41" s="801"/>
      <c r="L41" s="801"/>
      <c r="M41" s="801"/>
      <c r="N41" s="801"/>
      <c r="O41" s="801"/>
      <c r="P41" s="801"/>
      <c r="Q41" s="801"/>
      <c r="R41" s="802"/>
    </row>
    <row r="42" spans="2:18" x14ac:dyDescent="0.25">
      <c r="B42" s="797"/>
      <c r="C42" s="801"/>
      <c r="D42" s="801"/>
      <c r="E42" s="801"/>
      <c r="F42" s="801"/>
      <c r="G42" s="801"/>
      <c r="H42" s="801"/>
      <c r="I42" s="801"/>
      <c r="J42" s="801"/>
      <c r="K42" s="801"/>
      <c r="L42" s="801"/>
      <c r="M42" s="801"/>
      <c r="N42" s="801"/>
      <c r="O42" s="801"/>
      <c r="P42" s="801"/>
      <c r="Q42" s="801"/>
      <c r="R42" s="802"/>
    </row>
    <row r="43" spans="2:18" x14ac:dyDescent="0.25">
      <c r="B43" s="797"/>
      <c r="C43" s="829" t="s">
        <v>18</v>
      </c>
      <c r="D43" s="829"/>
      <c r="E43" s="829"/>
      <c r="F43" s="829"/>
      <c r="G43" s="829"/>
      <c r="H43" s="829"/>
      <c r="I43" s="829"/>
      <c r="J43" s="829"/>
      <c r="K43" s="829"/>
      <c r="L43" s="829"/>
      <c r="M43" s="829"/>
      <c r="N43" s="829"/>
      <c r="O43" s="829"/>
      <c r="P43" s="829"/>
      <c r="Q43" s="829"/>
      <c r="R43" s="830"/>
    </row>
    <row r="44" spans="2:18" x14ac:dyDescent="0.25">
      <c r="B44" s="797"/>
      <c r="C44" s="829"/>
      <c r="D44" s="829"/>
      <c r="E44" s="829"/>
      <c r="F44" s="829"/>
      <c r="G44" s="829"/>
      <c r="H44" s="829"/>
      <c r="I44" s="829"/>
      <c r="J44" s="829"/>
      <c r="K44" s="829"/>
      <c r="L44" s="829"/>
      <c r="M44" s="829"/>
      <c r="N44" s="829"/>
      <c r="O44" s="829"/>
      <c r="P44" s="829"/>
      <c r="Q44" s="829"/>
      <c r="R44" s="830"/>
    </row>
    <row r="45" spans="2:18" x14ac:dyDescent="0.25">
      <c r="B45" s="797"/>
      <c r="C45" s="801"/>
      <c r="D45" s="801"/>
      <c r="E45" s="801"/>
      <c r="F45" s="801"/>
      <c r="G45" s="801"/>
      <c r="H45" s="801"/>
      <c r="I45" s="801"/>
      <c r="J45" s="801"/>
      <c r="K45" s="801"/>
      <c r="L45" s="801"/>
      <c r="M45" s="801"/>
      <c r="N45" s="801"/>
      <c r="O45" s="801"/>
      <c r="P45" s="801"/>
      <c r="Q45" s="801"/>
      <c r="R45" s="802"/>
    </row>
    <row r="46" spans="2:18" x14ac:dyDescent="0.25">
      <c r="B46" s="797"/>
      <c r="C46" s="801"/>
      <c r="D46" s="801"/>
      <c r="E46" s="801"/>
      <c r="F46" s="801"/>
      <c r="G46" s="801"/>
      <c r="H46" s="801"/>
      <c r="I46" s="801"/>
      <c r="J46" s="801"/>
      <c r="K46" s="801"/>
      <c r="L46" s="801"/>
      <c r="M46" s="801"/>
      <c r="N46" s="801"/>
      <c r="O46" s="801"/>
      <c r="P46" s="801"/>
      <c r="Q46" s="801"/>
      <c r="R46" s="802"/>
    </row>
    <row r="47" spans="2:18" ht="19.5" customHeight="1" x14ac:dyDescent="0.25">
      <c r="B47" s="797"/>
      <c r="C47" s="801"/>
      <c r="D47" s="801"/>
      <c r="E47" s="801"/>
      <c r="F47" s="801"/>
      <c r="G47" s="801"/>
      <c r="H47" s="801"/>
      <c r="I47" s="801"/>
      <c r="J47" s="801"/>
      <c r="K47" s="801"/>
      <c r="L47" s="801"/>
      <c r="M47" s="801"/>
      <c r="N47" s="801"/>
      <c r="O47" s="801"/>
      <c r="P47" s="801"/>
      <c r="Q47" s="801"/>
      <c r="R47" s="802"/>
    </row>
    <row r="48" spans="2:18" ht="21.6" customHeight="1" thickBot="1" x14ac:dyDescent="0.3">
      <c r="B48" s="797"/>
      <c r="C48" s="801"/>
      <c r="D48" s="801"/>
      <c r="E48" s="801"/>
      <c r="F48" s="801"/>
      <c r="G48" s="801"/>
      <c r="H48" s="801"/>
      <c r="I48" s="801"/>
      <c r="J48" s="801"/>
      <c r="K48" s="801"/>
      <c r="L48" s="801"/>
      <c r="M48" s="801"/>
      <c r="N48" s="801"/>
      <c r="O48" s="801"/>
      <c r="P48" s="801"/>
      <c r="Q48" s="801"/>
      <c r="R48" s="802"/>
    </row>
    <row r="49" spans="2:18" ht="16.5" thickBot="1" x14ac:dyDescent="0.3">
      <c r="B49" s="837"/>
      <c r="C49" s="838"/>
      <c r="D49" s="838"/>
      <c r="E49" s="838"/>
      <c r="F49" s="838"/>
      <c r="G49" s="838"/>
      <c r="H49" s="838"/>
      <c r="I49" s="838"/>
      <c r="J49" s="838"/>
      <c r="K49" s="838"/>
      <c r="L49" s="838"/>
      <c r="M49" s="838"/>
      <c r="N49" s="838"/>
      <c r="O49" s="838"/>
      <c r="P49" s="838"/>
      <c r="Q49" s="838"/>
      <c r="R49" s="839"/>
    </row>
    <row r="51" spans="2:18" ht="16.5" thickBot="1" x14ac:dyDescent="0.3">
      <c r="B51" s="796"/>
      <c r="C51" s="796"/>
      <c r="D51" s="796"/>
      <c r="E51" s="796"/>
      <c r="F51" s="796"/>
      <c r="G51" s="796"/>
      <c r="H51" s="796"/>
      <c r="I51" s="796"/>
      <c r="J51" s="796"/>
      <c r="K51" s="796"/>
      <c r="L51" s="796"/>
      <c r="M51" s="796"/>
      <c r="N51" s="796"/>
      <c r="O51" s="796"/>
      <c r="P51" s="796"/>
      <c r="Q51" s="796"/>
      <c r="R51" s="796"/>
    </row>
    <row r="52" spans="2:18" ht="15.75" customHeight="1" x14ac:dyDescent="0.25">
      <c r="B52" s="841" t="s">
        <v>19</v>
      </c>
      <c r="C52" s="842"/>
      <c r="D52" s="842"/>
      <c r="E52" s="842"/>
      <c r="F52" s="842"/>
      <c r="G52" s="842"/>
      <c r="H52" s="842"/>
      <c r="I52" s="842"/>
      <c r="J52" s="842"/>
      <c r="K52" s="842"/>
      <c r="L52" s="842"/>
      <c r="M52" s="842"/>
      <c r="N52" s="842"/>
      <c r="O52" s="842"/>
      <c r="P52" s="842"/>
      <c r="Q52" s="842"/>
      <c r="R52" s="843"/>
    </row>
    <row r="53" spans="2:18" x14ac:dyDescent="0.25">
      <c r="B53" s="844"/>
      <c r="C53" s="845"/>
      <c r="D53" s="845"/>
      <c r="E53" s="845"/>
      <c r="F53" s="845"/>
      <c r="G53" s="845"/>
      <c r="H53" s="845"/>
      <c r="I53" s="845"/>
      <c r="J53" s="845"/>
      <c r="K53" s="845"/>
      <c r="L53" s="845"/>
      <c r="M53" s="845"/>
      <c r="N53" s="845"/>
      <c r="O53" s="845"/>
      <c r="P53" s="845"/>
      <c r="Q53" s="845"/>
      <c r="R53" s="846"/>
    </row>
    <row r="54" spans="2:18" x14ac:dyDescent="0.25">
      <c r="B54" s="844"/>
      <c r="C54" s="845"/>
      <c r="D54" s="845"/>
      <c r="E54" s="845"/>
      <c r="F54" s="845"/>
      <c r="G54" s="845"/>
      <c r="H54" s="845"/>
      <c r="I54" s="845"/>
      <c r="J54" s="845"/>
      <c r="K54" s="845"/>
      <c r="L54" s="845"/>
      <c r="M54" s="845"/>
      <c r="N54" s="845"/>
      <c r="O54" s="845"/>
      <c r="P54" s="845"/>
      <c r="Q54" s="845"/>
      <c r="R54" s="846"/>
    </row>
    <row r="55" spans="2:18" x14ac:dyDescent="0.25">
      <c r="B55" s="844"/>
      <c r="C55" s="845"/>
      <c r="D55" s="845"/>
      <c r="E55" s="845"/>
      <c r="F55" s="845"/>
      <c r="G55" s="845"/>
      <c r="H55" s="845"/>
      <c r="I55" s="845"/>
      <c r="J55" s="845"/>
      <c r="K55" s="845"/>
      <c r="L55" s="845"/>
      <c r="M55" s="845"/>
      <c r="N55" s="845"/>
      <c r="O55" s="845"/>
      <c r="P55" s="845"/>
      <c r="Q55" s="845"/>
      <c r="R55" s="846"/>
    </row>
    <row r="56" spans="2:18" x14ac:dyDescent="0.25">
      <c r="B56" s="844"/>
      <c r="C56" s="845"/>
      <c r="D56" s="845"/>
      <c r="E56" s="845"/>
      <c r="F56" s="845"/>
      <c r="G56" s="845"/>
      <c r="H56" s="845"/>
      <c r="I56" s="845"/>
      <c r="J56" s="845"/>
      <c r="K56" s="845"/>
      <c r="L56" s="845"/>
      <c r="M56" s="845"/>
      <c r="N56" s="845"/>
      <c r="O56" s="845"/>
      <c r="P56" s="845"/>
      <c r="Q56" s="845"/>
      <c r="R56" s="846"/>
    </row>
    <row r="57" spans="2:18" x14ac:dyDescent="0.25">
      <c r="B57" s="844"/>
      <c r="C57" s="845"/>
      <c r="D57" s="845"/>
      <c r="E57" s="845"/>
      <c r="F57" s="845"/>
      <c r="G57" s="845"/>
      <c r="H57" s="845"/>
      <c r="I57" s="845"/>
      <c r="J57" s="845"/>
      <c r="K57" s="845"/>
      <c r="L57" s="845"/>
      <c r="M57" s="845"/>
      <c r="N57" s="845"/>
      <c r="O57" s="845"/>
      <c r="P57" s="845"/>
      <c r="Q57" s="845"/>
      <c r="R57" s="846"/>
    </row>
    <row r="58" spans="2:18" x14ac:dyDescent="0.25">
      <c r="B58" s="844"/>
      <c r="C58" s="845"/>
      <c r="D58" s="845"/>
      <c r="E58" s="845"/>
      <c r="F58" s="845"/>
      <c r="G58" s="845"/>
      <c r="H58" s="845"/>
      <c r="I58" s="845"/>
      <c r="J58" s="845"/>
      <c r="K58" s="845"/>
      <c r="L58" s="845"/>
      <c r="M58" s="845"/>
      <c r="N58" s="845"/>
      <c r="O58" s="845"/>
      <c r="P58" s="845"/>
      <c r="Q58" s="845"/>
      <c r="R58" s="846"/>
    </row>
    <row r="59" spans="2:18" x14ac:dyDescent="0.25">
      <c r="B59" s="844"/>
      <c r="C59" s="845"/>
      <c r="D59" s="845"/>
      <c r="E59" s="845"/>
      <c r="F59" s="845"/>
      <c r="G59" s="845"/>
      <c r="H59" s="845"/>
      <c r="I59" s="845"/>
      <c r="J59" s="845"/>
      <c r="K59" s="845"/>
      <c r="L59" s="845"/>
      <c r="M59" s="845"/>
      <c r="N59" s="845"/>
      <c r="O59" s="845"/>
      <c r="P59" s="845"/>
      <c r="Q59" s="845"/>
      <c r="R59" s="846"/>
    </row>
    <row r="60" spans="2:18" x14ac:dyDescent="0.25">
      <c r="B60" s="844"/>
      <c r="C60" s="845"/>
      <c r="D60" s="845"/>
      <c r="E60" s="845"/>
      <c r="F60" s="845"/>
      <c r="G60" s="845"/>
      <c r="H60" s="845"/>
      <c r="I60" s="845"/>
      <c r="J60" s="845"/>
      <c r="K60" s="845"/>
      <c r="L60" s="845"/>
      <c r="M60" s="845"/>
      <c r="N60" s="845"/>
      <c r="O60" s="845"/>
      <c r="P60" s="845"/>
      <c r="Q60" s="845"/>
      <c r="R60" s="846"/>
    </row>
    <row r="61" spans="2:18" x14ac:dyDescent="0.25">
      <c r="B61" s="844"/>
      <c r="C61" s="845"/>
      <c r="D61" s="845"/>
      <c r="E61" s="845"/>
      <c r="F61" s="845"/>
      <c r="G61" s="845"/>
      <c r="H61" s="845"/>
      <c r="I61" s="845"/>
      <c r="J61" s="845"/>
      <c r="K61" s="845"/>
      <c r="L61" s="845"/>
      <c r="M61" s="845"/>
      <c r="N61" s="845"/>
      <c r="O61" s="845"/>
      <c r="P61" s="845"/>
      <c r="Q61" s="845"/>
      <c r="R61" s="846"/>
    </row>
    <row r="62" spans="2:18" x14ac:dyDescent="0.25">
      <c r="B62" s="844"/>
      <c r="C62" s="845"/>
      <c r="D62" s="845"/>
      <c r="E62" s="845"/>
      <c r="F62" s="845"/>
      <c r="G62" s="845"/>
      <c r="H62" s="845"/>
      <c r="I62" s="845"/>
      <c r="J62" s="845"/>
      <c r="K62" s="845"/>
      <c r="L62" s="845"/>
      <c r="M62" s="845"/>
      <c r="N62" s="845"/>
      <c r="O62" s="845"/>
      <c r="P62" s="845"/>
      <c r="Q62" s="845"/>
      <c r="R62" s="846"/>
    </row>
    <row r="63" spans="2:18" x14ac:dyDescent="0.25">
      <c r="B63" s="844"/>
      <c r="C63" s="845"/>
      <c r="D63" s="845"/>
      <c r="E63" s="845"/>
      <c r="F63" s="845"/>
      <c r="G63" s="845"/>
      <c r="H63" s="845"/>
      <c r="I63" s="845"/>
      <c r="J63" s="845"/>
      <c r="K63" s="845"/>
      <c r="L63" s="845"/>
      <c r="M63" s="845"/>
      <c r="N63" s="845"/>
      <c r="O63" s="845"/>
      <c r="P63" s="845"/>
      <c r="Q63" s="845"/>
      <c r="R63" s="846"/>
    </row>
    <row r="64" spans="2:18" x14ac:dyDescent="0.25">
      <c r="B64" s="844"/>
      <c r="C64" s="845"/>
      <c r="D64" s="845"/>
      <c r="E64" s="845"/>
      <c r="F64" s="845"/>
      <c r="G64" s="845"/>
      <c r="H64" s="845"/>
      <c r="I64" s="845"/>
      <c r="J64" s="845"/>
      <c r="K64" s="845"/>
      <c r="L64" s="845"/>
      <c r="M64" s="845"/>
      <c r="N64" s="845"/>
      <c r="O64" s="845"/>
      <c r="P64" s="845"/>
      <c r="Q64" s="845"/>
      <c r="R64" s="846"/>
    </row>
    <row r="65" spans="2:18" x14ac:dyDescent="0.25">
      <c r="B65" s="844"/>
      <c r="C65" s="845"/>
      <c r="D65" s="845"/>
      <c r="E65" s="845"/>
      <c r="F65" s="845"/>
      <c r="G65" s="845"/>
      <c r="H65" s="845"/>
      <c r="I65" s="845"/>
      <c r="J65" s="845"/>
      <c r="K65" s="845"/>
      <c r="L65" s="845"/>
      <c r="M65" s="845"/>
      <c r="N65" s="845"/>
      <c r="O65" s="845"/>
      <c r="P65" s="845"/>
      <c r="Q65" s="845"/>
      <c r="R65" s="846"/>
    </row>
    <row r="66" spans="2:18" x14ac:dyDescent="0.25">
      <c r="B66" s="844"/>
      <c r="C66" s="845"/>
      <c r="D66" s="845"/>
      <c r="E66" s="845"/>
      <c r="F66" s="845"/>
      <c r="G66" s="845"/>
      <c r="H66" s="845"/>
      <c r="I66" s="845"/>
      <c r="J66" s="845"/>
      <c r="K66" s="845"/>
      <c r="L66" s="845"/>
      <c r="M66" s="845"/>
      <c r="N66" s="845"/>
      <c r="O66" s="845"/>
      <c r="P66" s="845"/>
      <c r="Q66" s="845"/>
      <c r="R66" s="846"/>
    </row>
    <row r="67" spans="2:18" x14ac:dyDescent="0.25">
      <c r="B67" s="844"/>
      <c r="C67" s="845"/>
      <c r="D67" s="845"/>
      <c r="E67" s="845"/>
      <c r="F67" s="845"/>
      <c r="G67" s="845"/>
      <c r="H67" s="845"/>
      <c r="I67" s="845"/>
      <c r="J67" s="845"/>
      <c r="K67" s="845"/>
      <c r="L67" s="845"/>
      <c r="M67" s="845"/>
      <c r="N67" s="845"/>
      <c r="O67" s="845"/>
      <c r="P67" s="845"/>
      <c r="Q67" s="845"/>
      <c r="R67" s="846"/>
    </row>
    <row r="68" spans="2:18" x14ac:dyDescent="0.25">
      <c r="B68" s="844"/>
      <c r="C68" s="845"/>
      <c r="D68" s="845"/>
      <c r="E68" s="845"/>
      <c r="F68" s="845"/>
      <c r="G68" s="845"/>
      <c r="H68" s="845"/>
      <c r="I68" s="845"/>
      <c r="J68" s="845"/>
      <c r="K68" s="845"/>
      <c r="L68" s="845"/>
      <c r="M68" s="845"/>
      <c r="N68" s="845"/>
      <c r="O68" s="845"/>
      <c r="P68" s="845"/>
      <c r="Q68" s="845"/>
      <c r="R68" s="846"/>
    </row>
    <row r="69" spans="2:18" x14ac:dyDescent="0.25">
      <c r="B69" s="844"/>
      <c r="C69" s="845"/>
      <c r="D69" s="845"/>
      <c r="E69" s="845"/>
      <c r="F69" s="845"/>
      <c r="G69" s="845"/>
      <c r="H69" s="845"/>
      <c r="I69" s="845"/>
      <c r="J69" s="845"/>
      <c r="K69" s="845"/>
      <c r="L69" s="845"/>
      <c r="M69" s="845"/>
      <c r="N69" s="845"/>
      <c r="O69" s="845"/>
      <c r="P69" s="845"/>
      <c r="Q69" s="845"/>
      <c r="R69" s="846"/>
    </row>
    <row r="70" spans="2:18" x14ac:dyDescent="0.25">
      <c r="B70" s="844"/>
      <c r="C70" s="845"/>
      <c r="D70" s="845"/>
      <c r="E70" s="845"/>
      <c r="F70" s="845"/>
      <c r="G70" s="845"/>
      <c r="H70" s="845"/>
      <c r="I70" s="845"/>
      <c r="J70" s="845"/>
      <c r="K70" s="845"/>
      <c r="L70" s="845"/>
      <c r="M70" s="845"/>
      <c r="N70" s="845"/>
      <c r="O70" s="845"/>
      <c r="P70" s="845"/>
      <c r="Q70" s="845"/>
      <c r="R70" s="846"/>
    </row>
    <row r="71" spans="2:18" ht="61.5" customHeight="1" thickBot="1" x14ac:dyDescent="0.3">
      <c r="B71" s="847"/>
      <c r="C71" s="848"/>
      <c r="D71" s="848"/>
      <c r="E71" s="848"/>
      <c r="F71" s="848"/>
      <c r="G71" s="848"/>
      <c r="H71" s="848"/>
      <c r="I71" s="848"/>
      <c r="J71" s="848"/>
      <c r="K71" s="848"/>
      <c r="L71" s="848"/>
      <c r="M71" s="848"/>
      <c r="N71" s="848"/>
      <c r="O71" s="848"/>
      <c r="P71" s="848"/>
      <c r="Q71" s="848"/>
      <c r="R71" s="849"/>
    </row>
    <row r="72" spans="2:18" ht="16.5" thickBot="1" x14ac:dyDescent="0.3">
      <c r="B72" s="837"/>
      <c r="C72" s="838"/>
      <c r="D72" s="838"/>
      <c r="E72" s="838"/>
      <c r="F72" s="838"/>
      <c r="G72" s="838"/>
      <c r="H72" s="838"/>
      <c r="I72" s="838"/>
      <c r="J72" s="838"/>
      <c r="K72" s="838"/>
      <c r="L72" s="838"/>
      <c r="M72" s="838"/>
      <c r="N72" s="838"/>
      <c r="O72" s="838"/>
      <c r="P72" s="838"/>
      <c r="Q72" s="838"/>
      <c r="R72" s="839"/>
    </row>
  </sheetData>
  <sheetProtection algorithmName="SHA-512" hashValue="wvtleIO41b6GZk+QV4nbCrYol41RPUfD8UZzbBq6XhTd8pYlxSgDpVOCd73ePQLYT7OOjwz4Zy9pWSiy9J0tYA==" saltValue="5z7NmAkgvQkR80FzRYpo5A==" spinCount="100000" sheet="1" objects="1" scenarios="1"/>
  <mergeCells count="17">
    <mergeCell ref="B49:R49"/>
    <mergeCell ref="C3:O3"/>
    <mergeCell ref="C43:R44"/>
    <mergeCell ref="B72:R72"/>
    <mergeCell ref="B52:R71"/>
    <mergeCell ref="C17:R18"/>
    <mergeCell ref="B2:R2"/>
    <mergeCell ref="C29:R30"/>
    <mergeCell ref="C36:R37"/>
    <mergeCell ref="C6:R6"/>
    <mergeCell ref="C9:L9"/>
    <mergeCell ref="C8:R8"/>
    <mergeCell ref="G7:I7"/>
    <mergeCell ref="K7:M7"/>
    <mergeCell ref="O7:Q7"/>
    <mergeCell ref="C10:Q11"/>
    <mergeCell ref="C7:F7"/>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customProperties>
    <customPr name="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BR140"/>
  <sheetViews>
    <sheetView showGridLines="0" zoomScale="60" zoomScaleNormal="60" zoomScaleSheetLayoutView="80" workbookViewId="0">
      <selection activeCell="BA14" sqref="BA14"/>
    </sheetView>
  </sheetViews>
  <sheetFormatPr defaultColWidth="9.140625" defaultRowHeight="12.75" x14ac:dyDescent="0.2"/>
  <cols>
    <col min="1" max="1" width="4.42578125" style="704" customWidth="1"/>
    <col min="2" max="2" width="21.85546875" style="705" customWidth="1"/>
    <col min="3" max="3" width="16.140625" style="705" customWidth="1"/>
    <col min="4" max="4" width="15.42578125" style="706" customWidth="1"/>
    <col min="5" max="6" width="12.140625" style="707" customWidth="1"/>
    <col min="7" max="7" width="11.42578125" style="707" customWidth="1"/>
    <col min="8" max="8" width="19.42578125" style="708" customWidth="1"/>
    <col min="9" max="9" width="16" style="708" customWidth="1"/>
    <col min="10" max="10" width="21.42578125" style="708" customWidth="1"/>
    <col min="11" max="11" width="18.140625" style="709" customWidth="1"/>
    <col min="12" max="12" width="19" style="709" customWidth="1"/>
    <col min="13" max="13" width="15.42578125" style="710" customWidth="1"/>
    <col min="14" max="14" width="16.42578125" style="710" customWidth="1"/>
    <col min="15" max="15" width="18.42578125" style="703" customWidth="1"/>
    <col min="16" max="17" width="15.42578125" style="703" customWidth="1"/>
    <col min="18" max="18" width="13.42578125" style="704" hidden="1" customWidth="1"/>
    <col min="19" max="19" width="15.42578125" style="703" customWidth="1"/>
    <col min="20" max="20" width="15.42578125" style="703" hidden="1" customWidth="1"/>
    <col min="21" max="21" width="15.42578125" style="703" customWidth="1"/>
    <col min="22" max="22" width="16" style="703" customWidth="1"/>
    <col min="23" max="23" width="9.140625" style="703" hidden="1" customWidth="1"/>
    <col min="24" max="24" width="13.42578125" style="703" hidden="1" customWidth="1"/>
    <col min="25" max="25" width="17.42578125" style="703" hidden="1" customWidth="1"/>
    <col min="26" max="26" width="6.42578125" style="703" hidden="1" customWidth="1"/>
    <col min="27" max="27" width="9.140625" style="703" hidden="1" customWidth="1"/>
    <col min="28" max="28" width="5.42578125" style="703" hidden="1" customWidth="1"/>
    <col min="29" max="32" width="16" style="703" hidden="1" customWidth="1"/>
    <col min="33" max="36" width="15.42578125" style="703" hidden="1" customWidth="1"/>
    <col min="37" max="37" width="17.42578125" style="703" hidden="1" customWidth="1"/>
    <col min="38" max="38" width="21.42578125" style="703" hidden="1" customWidth="1"/>
    <col min="39" max="43" width="9.140625" style="703" hidden="1" customWidth="1"/>
    <col min="44" max="63" width="9.140625" style="703" customWidth="1"/>
    <col min="64" max="16384" width="9.140625" style="703"/>
  </cols>
  <sheetData>
    <row r="1" spans="1:43" ht="13.5" thickBot="1" x14ac:dyDescent="0.25">
      <c r="A1" s="16"/>
      <c r="B1" s="17"/>
      <c r="C1" s="17"/>
      <c r="D1" s="18"/>
      <c r="E1" s="19"/>
      <c r="F1" s="19"/>
      <c r="G1" s="19"/>
      <c r="H1" s="20"/>
      <c r="I1" s="20"/>
      <c r="J1" s="20"/>
      <c r="K1" s="21"/>
      <c r="L1" s="21"/>
      <c r="M1" s="22"/>
      <c r="N1" s="22"/>
      <c r="O1" s="23"/>
      <c r="P1" s="23"/>
      <c r="Q1" s="23"/>
      <c r="R1" s="16" t="s">
        <v>20</v>
      </c>
      <c r="S1" s="23"/>
      <c r="T1" s="23" t="s">
        <v>21</v>
      </c>
      <c r="U1" s="23"/>
      <c r="V1" s="23"/>
      <c r="W1" s="23"/>
      <c r="X1" s="23"/>
      <c r="Y1" s="23"/>
      <c r="Z1" s="23"/>
      <c r="AA1" s="23"/>
      <c r="AB1" s="23"/>
      <c r="AC1" s="23"/>
      <c r="AD1" s="23"/>
      <c r="AE1" s="23"/>
      <c r="AF1" s="23"/>
      <c r="AG1" s="23"/>
      <c r="AH1" s="23"/>
      <c r="AI1" s="23"/>
      <c r="AJ1" s="23"/>
      <c r="AK1" s="23"/>
      <c r="AL1" s="23"/>
      <c r="AM1" s="23"/>
      <c r="AN1" s="23"/>
      <c r="AO1" s="23"/>
      <c r="AP1" s="23"/>
      <c r="AQ1" s="23"/>
    </row>
    <row r="2" spans="1:43" ht="13.5" customHeight="1" thickBot="1" x14ac:dyDescent="0.25">
      <c r="A2" s="465"/>
      <c r="B2" s="466"/>
      <c r="C2" s="466"/>
      <c r="D2" s="467"/>
      <c r="E2" s="468"/>
      <c r="F2" s="468"/>
      <c r="G2" s="468"/>
      <c r="H2" s="469"/>
      <c r="I2" s="469"/>
      <c r="J2" s="469"/>
      <c r="K2" s="470"/>
      <c r="L2" s="470"/>
      <c r="M2" s="471"/>
      <c r="N2" s="471"/>
      <c r="O2" s="472"/>
      <c r="P2" s="472"/>
      <c r="Q2" s="472"/>
      <c r="R2" s="473"/>
      <c r="S2" s="472"/>
      <c r="T2" s="472"/>
      <c r="U2" s="472"/>
      <c r="V2" s="474"/>
      <c r="W2" s="23"/>
      <c r="X2" s="23"/>
      <c r="Y2" s="23"/>
      <c r="Z2" s="23"/>
      <c r="AA2" s="23"/>
      <c r="AB2" s="23"/>
      <c r="AC2" s="23"/>
      <c r="AD2" s="23"/>
      <c r="AE2" s="23"/>
      <c r="AF2" s="23"/>
      <c r="AG2" s="23"/>
      <c r="AH2" s="23"/>
      <c r="AI2" s="23"/>
      <c r="AJ2" s="23"/>
      <c r="AK2" s="23"/>
      <c r="AL2" s="23"/>
      <c r="AM2" s="23"/>
      <c r="AN2" s="23"/>
      <c r="AO2" s="23"/>
      <c r="AP2" s="23"/>
      <c r="AQ2" s="23" t="s">
        <v>22</v>
      </c>
    </row>
    <row r="3" spans="1:43" ht="26.25" customHeight="1" x14ac:dyDescent="0.25">
      <c r="A3" s="475"/>
      <c r="B3" s="861" t="s">
        <v>23</v>
      </c>
      <c r="C3" s="862"/>
      <c r="D3" s="857"/>
      <c r="E3" s="857"/>
      <c r="F3" s="857"/>
      <c r="G3" s="858"/>
      <c r="H3" s="476"/>
      <c r="I3" s="477"/>
      <c r="J3" s="478" t="s">
        <v>24</v>
      </c>
      <c r="K3" s="477"/>
      <c r="L3" s="479"/>
      <c r="M3" s="480"/>
      <c r="N3" s="116" t="s">
        <v>25</v>
      </c>
      <c r="O3" s="117"/>
      <c r="P3" s="481"/>
      <c r="Q3" s="482"/>
      <c r="R3" s="483" t="str">
        <f>IF($D$4="Recycling Fund","Client Additional Fund:","")</f>
        <v/>
      </c>
      <c r="S3" s="484"/>
      <c r="T3" s="484"/>
      <c r="U3" s="865"/>
      <c r="V3" s="866"/>
      <c r="W3" s="11"/>
      <c r="X3" s="11"/>
      <c r="Y3" s="23"/>
      <c r="Z3" s="23"/>
      <c r="AA3" s="23"/>
      <c r="AB3" s="23"/>
      <c r="AC3" s="23"/>
      <c r="AD3" s="23"/>
      <c r="AE3" s="23"/>
      <c r="AF3" s="23"/>
      <c r="AG3" s="23"/>
      <c r="AH3" s="23"/>
      <c r="AI3" s="23"/>
      <c r="AJ3" s="23"/>
      <c r="AK3" s="23"/>
      <c r="AL3" s="23"/>
      <c r="AM3" s="23"/>
      <c r="AN3" s="23"/>
      <c r="AO3" s="23"/>
      <c r="AP3" s="23"/>
      <c r="AQ3" s="23" t="s">
        <v>22</v>
      </c>
    </row>
    <row r="4" spans="1:43" ht="26.25" customHeight="1" thickBot="1" x14ac:dyDescent="0.3">
      <c r="A4" s="485"/>
      <c r="B4" s="884" t="s">
        <v>26</v>
      </c>
      <c r="C4" s="885"/>
      <c r="D4" s="881"/>
      <c r="E4" s="881" t="s">
        <v>27</v>
      </c>
      <c r="F4" s="881" t="s">
        <v>27</v>
      </c>
      <c r="G4" s="882" t="s">
        <v>27</v>
      </c>
      <c r="H4" s="486"/>
      <c r="I4" s="477"/>
      <c r="J4" s="487" t="s">
        <v>28</v>
      </c>
      <c r="K4" s="337"/>
      <c r="L4" s="479"/>
      <c r="M4" s="480"/>
      <c r="N4" s="96" t="s">
        <v>29</v>
      </c>
      <c r="O4" s="454" t="str">
        <f>IF($D$4="","",'Extra look-up'!F76&amp;" years")</f>
        <v/>
      </c>
      <c r="P4" s="488"/>
      <c r="Q4" s="317"/>
      <c r="R4" s="489" t="str">
        <f>IF($D$4="Recycling Fund","10 years","")</f>
        <v/>
      </c>
      <c r="S4" s="484"/>
      <c r="T4" s="484"/>
      <c r="U4" s="865"/>
      <c r="V4" s="866"/>
      <c r="W4" s="11"/>
      <c r="X4" s="11"/>
      <c r="Y4" s="23"/>
      <c r="Z4" s="23"/>
      <c r="AA4" s="23"/>
      <c r="AB4" s="23"/>
      <c r="AC4" s="23"/>
      <c r="AD4" s="23"/>
      <c r="AE4" s="23"/>
      <c r="AF4" s="23"/>
      <c r="AG4" s="23"/>
      <c r="AH4" s="23"/>
      <c r="AI4" s="23"/>
      <c r="AJ4" s="23"/>
      <c r="AK4" s="23"/>
      <c r="AL4" s="23"/>
      <c r="AM4" s="23"/>
      <c r="AN4" s="23"/>
      <c r="AO4" s="23"/>
      <c r="AP4" s="23"/>
      <c r="AQ4" s="23" t="s">
        <v>22</v>
      </c>
    </row>
    <row r="5" spans="1:43" ht="26.25" customHeight="1" x14ac:dyDescent="0.25">
      <c r="A5" s="485"/>
      <c r="B5" s="490"/>
      <c r="C5" s="490"/>
      <c r="D5" s="490"/>
      <c r="E5" s="490"/>
      <c r="F5" s="490"/>
      <c r="G5" s="490"/>
      <c r="H5" s="486"/>
      <c r="I5" s="490"/>
      <c r="J5" s="338" t="str">
        <f ca="1">"© Salix Finance "&amp;YEAR(NOW())</f>
        <v>© Salix Finance 2024</v>
      </c>
      <c r="K5" s="490"/>
      <c r="L5" s="479"/>
      <c r="M5" s="480"/>
      <c r="N5" s="96" t="s">
        <v>30</v>
      </c>
      <c r="O5" s="97" t="str">
        <f>IF($D$4="","","£"&amp;'Extra look-up'!G76)</f>
        <v/>
      </c>
      <c r="P5" s="488"/>
      <c r="Q5" s="317"/>
      <c r="R5" s="489" t="str">
        <f>IF($D$4="Recycling Fund","£400","")</f>
        <v/>
      </c>
      <c r="S5" s="484"/>
      <c r="T5" s="484"/>
      <c r="U5" s="865"/>
      <c r="V5" s="866"/>
      <c r="W5" s="11"/>
      <c r="X5" s="11"/>
      <c r="Y5" s="23"/>
      <c r="Z5" s="23"/>
      <c r="AA5" s="23"/>
      <c r="AB5" s="23"/>
      <c r="AC5" s="23"/>
      <c r="AD5" s="23"/>
      <c r="AE5" s="23"/>
      <c r="AF5" s="23"/>
      <c r="AG5" s="23"/>
      <c r="AH5" s="23"/>
      <c r="AI5" s="23"/>
      <c r="AJ5" s="23"/>
      <c r="AK5" s="23"/>
      <c r="AL5" s="23"/>
      <c r="AM5" s="23"/>
      <c r="AN5" s="23"/>
      <c r="AO5" s="23"/>
      <c r="AP5" s="23"/>
      <c r="AQ5" s="23" t="s">
        <v>22</v>
      </c>
    </row>
    <row r="6" spans="1:43" ht="26.25" customHeight="1" x14ac:dyDescent="0.25">
      <c r="A6" s="491"/>
      <c r="B6" s="490"/>
      <c r="C6" s="490"/>
      <c r="D6" s="490"/>
      <c r="E6" s="490"/>
      <c r="F6" s="490"/>
      <c r="G6" s="490"/>
      <c r="H6" s="883"/>
      <c r="I6" s="883"/>
      <c r="J6" s="314"/>
      <c r="K6" s="484"/>
      <c r="L6" s="479"/>
      <c r="M6" s="480"/>
      <c r="N6" s="879" t="str">
        <f>IF(OR(O12&gt;=100000,O13&gt;=100000,O14&gt;=100000,O15&gt;=100000,O16&gt;=100000,O17&gt;=100000,O18&gt;=100000,O19&gt;=100000,O20&gt;=100000,O61&gt;=100000),"Please Complete Business Case Information in next tab","")</f>
        <v/>
      </c>
      <c r="O6" s="879"/>
      <c r="P6" s="484"/>
      <c r="Q6" s="484"/>
      <c r="R6" s="484"/>
      <c r="S6" s="484"/>
      <c r="T6" s="484"/>
      <c r="U6" s="865"/>
      <c r="V6" s="866"/>
      <c r="W6" s="11"/>
      <c r="X6" s="11"/>
      <c r="Y6" s="23"/>
      <c r="Z6" s="23"/>
      <c r="AA6" s="23"/>
      <c r="AB6" s="23"/>
      <c r="AC6" s="23"/>
      <c r="AD6" s="23"/>
      <c r="AE6" s="23"/>
      <c r="AF6" s="23"/>
      <c r="AG6" s="23"/>
      <c r="AH6" s="23"/>
      <c r="AI6" s="23"/>
      <c r="AJ6" s="23"/>
      <c r="AK6" s="23"/>
      <c r="AL6" s="23"/>
      <c r="AM6" s="23"/>
      <c r="AN6" s="23"/>
      <c r="AO6" s="23"/>
      <c r="AP6" s="23"/>
      <c r="AQ6" s="23" t="s">
        <v>22</v>
      </c>
    </row>
    <row r="7" spans="1:43" ht="14.25" customHeight="1" thickBot="1" x14ac:dyDescent="0.25">
      <c r="A7" s="492"/>
      <c r="B7" s="462"/>
      <c r="C7" s="332"/>
      <c r="D7" s="333"/>
      <c r="E7" s="334"/>
      <c r="F7" s="334"/>
      <c r="G7" s="334"/>
      <c r="H7" s="335"/>
      <c r="I7" s="336"/>
      <c r="J7" s="336"/>
      <c r="K7" s="339"/>
      <c r="L7" s="340"/>
      <c r="M7" s="480"/>
      <c r="N7" s="880"/>
      <c r="O7" s="880"/>
      <c r="P7" s="484"/>
      <c r="Q7" s="484"/>
      <c r="R7" s="484"/>
      <c r="S7" s="484"/>
      <c r="T7" s="484"/>
      <c r="U7" s="865"/>
      <c r="V7" s="866"/>
      <c r="W7" s="11"/>
      <c r="X7" s="11"/>
      <c r="Y7" s="23"/>
      <c r="Z7" s="23"/>
      <c r="AA7" s="23"/>
      <c r="AB7" s="23"/>
      <c r="AC7" s="23"/>
      <c r="AD7" s="23"/>
      <c r="AE7" s="23"/>
      <c r="AF7" s="23"/>
      <c r="AG7" s="23"/>
      <c r="AH7" s="23"/>
      <c r="AI7" s="23"/>
      <c r="AJ7" s="23"/>
      <c r="AK7" s="23"/>
      <c r="AL7" s="23"/>
      <c r="AM7" s="23"/>
      <c r="AN7" s="23"/>
      <c r="AO7" s="23"/>
      <c r="AP7" s="23"/>
      <c r="AQ7" s="23" t="s">
        <v>22</v>
      </c>
    </row>
    <row r="8" spans="1:43" s="713" customFormat="1" ht="60.75" customHeight="1" thickBot="1" x14ac:dyDescent="0.3">
      <c r="A8" s="493"/>
      <c r="B8" s="122" t="s">
        <v>31</v>
      </c>
      <c r="C8" s="154" t="s">
        <v>32</v>
      </c>
      <c r="D8" s="509" t="s">
        <v>33</v>
      </c>
      <c r="E8" s="119" t="s">
        <v>34</v>
      </c>
      <c r="F8" s="508" t="s">
        <v>35</v>
      </c>
      <c r="G8" s="854" t="s">
        <v>36</v>
      </c>
      <c r="H8" s="855"/>
      <c r="I8" s="855"/>
      <c r="J8" s="855"/>
      <c r="K8" s="856"/>
      <c r="L8" s="872" t="s">
        <v>37</v>
      </c>
      <c r="M8" s="856"/>
      <c r="N8" s="341"/>
      <c r="O8" s="484"/>
      <c r="P8" s="484"/>
      <c r="Q8" s="494"/>
      <c r="R8" s="494"/>
      <c r="S8" s="494"/>
      <c r="T8" s="494"/>
      <c r="U8" s="494"/>
      <c r="V8" s="495"/>
      <c r="W8" s="6"/>
      <c r="X8" s="6"/>
      <c r="Y8" s="6"/>
      <c r="Z8" s="5"/>
      <c r="AA8" s="5"/>
      <c r="AB8" s="6"/>
      <c r="AC8" s="6"/>
      <c r="AD8" s="6"/>
      <c r="AE8" s="6"/>
      <c r="AF8" s="6"/>
      <c r="AG8" s="6"/>
      <c r="AH8" s="6"/>
      <c r="AI8" s="6"/>
      <c r="AJ8" s="6"/>
      <c r="AK8" s="6"/>
      <c r="AL8" s="6"/>
      <c r="AM8" s="6"/>
      <c r="AN8" s="6"/>
      <c r="AO8" s="6"/>
      <c r="AP8" s="6"/>
      <c r="AQ8" s="23" t="s">
        <v>22</v>
      </c>
    </row>
    <row r="9" spans="1:43" s="713" customFormat="1" ht="43.5" customHeight="1" x14ac:dyDescent="0.25">
      <c r="A9" s="493"/>
      <c r="B9" s="463"/>
      <c r="C9" s="461"/>
      <c r="D9" s="235"/>
      <c r="E9" s="236"/>
      <c r="F9" s="237"/>
      <c r="G9" s="867"/>
      <c r="H9" s="868"/>
      <c r="I9" s="868"/>
      <c r="J9" s="868"/>
      <c r="K9" s="869"/>
      <c r="L9" s="870" t="str">
        <f>IF(AND(C9="",D9="",E9="",F9="",G9=""),"",IF($F$9="","Enter site life","OK"))</f>
        <v/>
      </c>
      <c r="M9" s="871"/>
      <c r="N9" s="234"/>
      <c r="O9" s="484"/>
      <c r="P9" s="484"/>
      <c r="Q9" s="494"/>
      <c r="R9" s="494"/>
      <c r="S9" s="494"/>
      <c r="T9" s="494"/>
      <c r="U9" s="494"/>
      <c r="V9" s="495"/>
      <c r="W9" s="6"/>
      <c r="X9" s="6"/>
      <c r="Y9" s="6"/>
      <c r="Z9" s="5"/>
      <c r="AA9" s="5"/>
      <c r="AB9" s="6"/>
      <c r="AC9" s="6"/>
      <c r="AD9" s="6"/>
      <c r="AE9" s="6"/>
      <c r="AF9" s="6"/>
      <c r="AG9" s="6"/>
      <c r="AH9" s="6"/>
      <c r="AI9" s="6"/>
      <c r="AJ9" s="6"/>
      <c r="AK9" s="6"/>
      <c r="AL9" s="6"/>
      <c r="AM9" s="6"/>
      <c r="AN9" s="6"/>
      <c r="AO9" s="6"/>
      <c r="AP9" s="6"/>
      <c r="AQ9" s="23" t="s">
        <v>22</v>
      </c>
    </row>
    <row r="10" spans="1:43" s="713" customFormat="1" ht="15" customHeight="1" thickBot="1" x14ac:dyDescent="0.25">
      <c r="A10" s="496"/>
      <c r="B10" s="863"/>
      <c r="C10" s="863"/>
      <c r="D10" s="863"/>
      <c r="E10" s="863"/>
      <c r="F10" s="863"/>
      <c r="G10" s="863"/>
      <c r="H10" s="863"/>
      <c r="I10" s="863"/>
      <c r="J10" s="863"/>
      <c r="K10" s="863"/>
      <c r="L10" s="863"/>
      <c r="M10" s="863"/>
      <c r="N10" s="863"/>
      <c r="O10" s="863"/>
      <c r="P10" s="863"/>
      <c r="Q10" s="863"/>
      <c r="R10" s="863"/>
      <c r="S10" s="863"/>
      <c r="T10" s="863"/>
      <c r="U10" s="863"/>
      <c r="V10" s="864"/>
      <c r="W10" s="6"/>
      <c r="X10" s="6"/>
      <c r="Y10" s="5"/>
      <c r="Z10" s="5"/>
      <c r="AA10" s="6"/>
      <c r="AB10" s="6"/>
      <c r="AC10" s="6"/>
      <c r="AD10" s="6"/>
      <c r="AE10" s="6"/>
      <c r="AF10" s="6"/>
      <c r="AG10" s="6"/>
      <c r="AH10" s="6"/>
      <c r="AI10" s="6"/>
      <c r="AJ10" s="6"/>
      <c r="AK10" s="6"/>
      <c r="AL10" s="6"/>
      <c r="AM10" s="6"/>
      <c r="AN10" s="6"/>
      <c r="AO10" s="6"/>
      <c r="AP10" s="24"/>
      <c r="AQ10" s="23" t="s">
        <v>22</v>
      </c>
    </row>
    <row r="11" spans="1:43" s="713" customFormat="1" ht="60.75" customHeight="1" thickBot="1" x14ac:dyDescent="0.25">
      <c r="A11" s="464"/>
      <c r="B11" s="315" t="s">
        <v>38</v>
      </c>
      <c r="C11" s="510" t="s">
        <v>39</v>
      </c>
      <c r="D11" s="118" t="s">
        <v>40</v>
      </c>
      <c r="E11" s="120" t="s">
        <v>41</v>
      </c>
      <c r="F11" s="121" t="s">
        <v>42</v>
      </c>
      <c r="G11" s="122" t="s">
        <v>43</v>
      </c>
      <c r="H11" s="316" t="s">
        <v>44</v>
      </c>
      <c r="I11" s="854" t="s">
        <v>45</v>
      </c>
      <c r="J11" s="886"/>
      <c r="K11" s="120" t="s">
        <v>46</v>
      </c>
      <c r="L11" s="123" t="s">
        <v>47</v>
      </c>
      <c r="M11" s="232" t="s">
        <v>48</v>
      </c>
      <c r="N11" s="233" t="s">
        <v>49</v>
      </c>
      <c r="O11" s="124" t="s">
        <v>50</v>
      </c>
      <c r="P11" s="216" t="s">
        <v>51</v>
      </c>
      <c r="Q11" s="118" t="s">
        <v>52</v>
      </c>
      <c r="R11" s="118" t="s">
        <v>53</v>
      </c>
      <c r="S11" s="125" t="s">
        <v>54</v>
      </c>
      <c r="T11" s="118" t="s">
        <v>55</v>
      </c>
      <c r="U11" s="126" t="s">
        <v>56</v>
      </c>
      <c r="V11" s="529" t="s">
        <v>37</v>
      </c>
      <c r="W11" s="505" t="s">
        <v>57</v>
      </c>
      <c r="X11" s="504" t="s">
        <v>29</v>
      </c>
      <c r="Y11" s="506" t="s">
        <v>58</v>
      </c>
      <c r="Z11" s="497"/>
      <c r="AA11" s="497"/>
      <c r="AB11" s="497" t="s">
        <v>59</v>
      </c>
      <c r="AC11" s="513" t="s">
        <v>60</v>
      </c>
      <c r="AD11" s="517" t="s">
        <v>61</v>
      </c>
      <c r="AE11" s="6"/>
      <c r="AF11" s="6"/>
      <c r="AG11" s="9"/>
      <c r="AH11" s="9"/>
      <c r="AI11" s="9"/>
      <c r="AJ11" s="30" t="s">
        <v>29</v>
      </c>
      <c r="AK11" s="30" t="s">
        <v>62</v>
      </c>
      <c r="AL11" s="25"/>
      <c r="AM11" s="7"/>
      <c r="AN11" s="24"/>
      <c r="AO11" s="24"/>
      <c r="AP11" s="6"/>
      <c r="AQ11" s="23" t="s">
        <v>22</v>
      </c>
    </row>
    <row r="12" spans="1:43" s="713" customFormat="1" ht="33.950000000000003" customHeight="1" x14ac:dyDescent="0.2">
      <c r="A12" s="151">
        <v>1</v>
      </c>
      <c r="B12" s="98"/>
      <c r="C12" s="99"/>
      <c r="D12" s="100"/>
      <c r="E12" s="101"/>
      <c r="F12" s="102"/>
      <c r="G12" s="127" t="str">
        <f t="shared" ref="G12:G43" si="0">IFERROR(((F12/E12)^(1/X12))-1,"")</f>
        <v/>
      </c>
      <c r="H12" s="310"/>
      <c r="I12" s="859"/>
      <c r="J12" s="860" t="s">
        <v>63</v>
      </c>
      <c r="K12" s="103"/>
      <c r="L12" s="104"/>
      <c r="M12" s="128" t="str">
        <f>IF(K12="","",K12-L12)</f>
        <v/>
      </c>
      <c r="N12" s="129">
        <f>IFERROR(M12/K12,0)</f>
        <v>0</v>
      </c>
      <c r="O12" s="105"/>
      <c r="P12" s="134" t="str">
        <f t="shared" ref="P12:P43" si="1">IF(OR(F12="",M12=""),"",M12*F12/100)</f>
        <v/>
      </c>
      <c r="Q12" s="135" t="str">
        <f t="shared" ref="Q12:Q61" si="2">IF(OR(P12&lt;=0,P12=""),"",O12/P12)</f>
        <v/>
      </c>
      <c r="R12" s="136" t="str">
        <f t="shared" ref="R12:R43" si="3">IFERROR(IF(D12="Electricity",AD12,HLOOKUP(D12,$AH$100:$AQ$140,2,FALSE)),"")</f>
        <v/>
      </c>
      <c r="S12" s="137" t="str">
        <f>IF(OR(D12="",M12="",R12=""),"",M12*R12/1000)</f>
        <v/>
      </c>
      <c r="T12" s="137" t="str">
        <f>IF(S12="","",W12*S12)</f>
        <v/>
      </c>
      <c r="U12" s="138" t="str">
        <f>IF(ISERROR(O12/T12),"",O12/T12)</f>
        <v/>
      </c>
      <c r="V12" s="530" t="str">
        <f ca="1">IF('Extra look-up'!$H6="Work Type","Check Work Type",IF(AND(D12="",F12="",H12="",I12="",L12="",M12=""),"",IF(OR(D12="",F12="",H12="",I12="",L12="",M12="",$L$9&lt;&gt;"OK"),"Check all fields completed correctly",IF(AND(D12="",OR(F12&lt;&gt;"",H12&lt;&gt;"",I12&lt;&gt;"",L12&lt;&gt;"")),"Check all fields completed correctly","OK"))))</f>
        <v/>
      </c>
      <c r="W12" s="498" t="str">
        <f>IF(I12="","",IF(VLOOKUP(I12,'Eligible Technologies'!$D$7:$G$69,4,FALSE)&lt;$F$9,VLOOKUP(I12,'Eligible Technologies'!$D$7:$G$69,4,FALSE),$F$9))</f>
        <v/>
      </c>
      <c r="X12" s="499" t="str">
        <f>IF(Q12="","",ROUNDUP($Q$65,0))</f>
        <v/>
      </c>
      <c r="Y12" s="499">
        <f ca="1">IF(V12="",0,1)</f>
        <v>0</v>
      </c>
      <c r="Z12" s="499" t="str">
        <f>'Extra look-up'!F6</f>
        <v/>
      </c>
      <c r="AA12" s="499" t="str">
        <f ca="1">'Extra look-up'!H6</f>
        <v>OK</v>
      </c>
      <c r="AB12" s="499">
        <f ca="1">IF(AND(V12&lt;&gt;"OK",V12&lt;&gt;""),51,1)</f>
        <v>1</v>
      </c>
      <c r="AC12" s="514" t="e">
        <f>ROUNDUP(W12,0)+100</f>
        <v>#VALUE!</v>
      </c>
      <c r="AD12" s="518" t="str">
        <f ca="1">IFERROR(AVERAGE($AH$101:INDIRECT(CONCATENATE("AH"&amp;AC12))),"")</f>
        <v/>
      </c>
      <c r="AE12" s="511"/>
      <c r="AF12" s="511"/>
      <c r="AG12" s="9"/>
      <c r="AH12" s="9"/>
      <c r="AI12" s="9"/>
      <c r="AJ12" s="30" t="str">
        <f>IF(OR($D$5="Higher Education Institute",$D$4="Scotland",$D$4="Wales",$D$4="Northern Ireland"),8,IF(OR($D$5="Local Authority",$D$5="NHS",$D$5="Emergency Services",$D$5="Maintained School (Local Authority)"),10,""))</f>
        <v/>
      </c>
      <c r="AK12" s="30" t="str">
        <f>IF($D$4="Scotland",250,IF($D$4="Northern Ireland",200,IF(OR($D$4="Wales",$D$5="Higher Education Institute"),275,IF(OR($D$5="Local Authority",$D$5="NHS",$D$5="Emergency Services",$D$5="Maintained School (Local Authority)"),344,""))))</f>
        <v/>
      </c>
      <c r="AL12" s="8"/>
      <c r="AM12" s="6"/>
      <c r="AN12" s="24"/>
      <c r="AO12" s="24"/>
      <c r="AP12" s="6"/>
      <c r="AQ12" s="23" t="s">
        <v>22</v>
      </c>
    </row>
    <row r="13" spans="1:43" s="713" customFormat="1" ht="33.950000000000003" customHeight="1" x14ac:dyDescent="0.2">
      <c r="A13" s="152">
        <v>2</v>
      </c>
      <c r="B13" s="98"/>
      <c r="C13" s="107"/>
      <c r="D13" s="100"/>
      <c r="E13" s="101"/>
      <c r="F13" s="102"/>
      <c r="G13" s="127" t="str">
        <f t="shared" si="0"/>
        <v/>
      </c>
      <c r="H13" s="310"/>
      <c r="I13" s="859"/>
      <c r="J13" s="860" t="s">
        <v>64</v>
      </c>
      <c r="K13" s="103"/>
      <c r="L13" s="104"/>
      <c r="M13" s="130" t="str">
        <f t="shared" ref="M13:M61" si="4">IF(K13="","",K13-L13)</f>
        <v/>
      </c>
      <c r="N13" s="131">
        <f t="shared" ref="N13:N61" si="5">IFERROR(M13/K13,0)</f>
        <v>0</v>
      </c>
      <c r="O13" s="105"/>
      <c r="P13" s="139" t="str">
        <f t="shared" si="1"/>
        <v/>
      </c>
      <c r="Q13" s="140" t="str">
        <f t="shared" si="2"/>
        <v/>
      </c>
      <c r="R13" s="524" t="str">
        <f t="shared" si="3"/>
        <v/>
      </c>
      <c r="S13" s="141" t="str">
        <f t="shared" ref="S13:S43" si="6">IF(OR(D13="",M13="",R13=""),"",M13*R13/1000)</f>
        <v/>
      </c>
      <c r="T13" s="141" t="str">
        <f t="shared" ref="T13:T61" si="7">IF(S13="","",W13*S13)</f>
        <v/>
      </c>
      <c r="U13" s="142" t="str">
        <f t="shared" ref="U13:U61" si="8">IF(ISERROR(O13/T13),"",O13/T13)</f>
        <v/>
      </c>
      <c r="V13" s="530" t="str">
        <f ca="1">IF('Extra look-up'!$H7="Work Type","Check Work Type",IF(AND(D13="",F13="",H13="",I13="",L13="",M13=""),"",IF(OR(D13="",F13="",H13="",I13="",L13="",M13="",$L$9&lt;&gt;"OK"),"Check all fields completed correctly",IF(AND(D13="",OR(F13&lt;&gt;"",H13&lt;&gt;"",I13&lt;&gt;"",L13&lt;&gt;"")),"Check all fields completed correctly","OK"))))</f>
        <v/>
      </c>
      <c r="W13" s="500" t="str">
        <f>IF(I13="","",IF(VLOOKUP(I13,'Eligible Technologies'!$D$7:$G$69,4,FALSE)&lt;$F$9,VLOOKUP(I13,'Eligible Technologies'!$D$7:$G$69,4,FALSE),$F$9))</f>
        <v/>
      </c>
      <c r="X13" s="501" t="str">
        <f t="shared" ref="X13:X17" si="9">IF(Q13="","",ROUNDUP($Q$65,0))</f>
        <v/>
      </c>
      <c r="Y13" s="501">
        <f t="shared" ref="Y13:Y61" ca="1" si="10">IF(V13="",0,1)</f>
        <v>0</v>
      </c>
      <c r="Z13" s="501" t="str">
        <f>'Extra look-up'!F7</f>
        <v/>
      </c>
      <c r="AA13" s="501" t="str">
        <f ca="1">'Extra look-up'!H7</f>
        <v>OK</v>
      </c>
      <c r="AB13" s="501">
        <f ca="1">IF(AND(V13&lt;&gt;"OK",V13&lt;&gt;""),51,1)</f>
        <v>1</v>
      </c>
      <c r="AC13" s="515" t="e">
        <f>ROUNDUP(W13,0)+100</f>
        <v>#VALUE!</v>
      </c>
      <c r="AD13" s="518" t="str">
        <f ca="1">IFERROR(AVERAGE($AH$101:INDIRECT(CONCATENATE("AH"&amp;AC13))),"")</f>
        <v/>
      </c>
      <c r="AE13" s="512"/>
      <c r="AF13" s="512"/>
      <c r="AG13" s="9"/>
      <c r="AH13" s="9"/>
      <c r="AI13" s="9"/>
      <c r="AJ13" s="9"/>
      <c r="AK13" s="9"/>
      <c r="AL13" s="9"/>
      <c r="AM13" s="6"/>
      <c r="AN13" s="24"/>
      <c r="AO13" s="24"/>
      <c r="AP13" s="6"/>
      <c r="AQ13" s="23" t="s">
        <v>22</v>
      </c>
    </row>
    <row r="14" spans="1:43" s="713" customFormat="1" ht="33.950000000000003" customHeight="1" x14ac:dyDescent="0.2">
      <c r="A14" s="152">
        <v>3</v>
      </c>
      <c r="B14" s="98"/>
      <c r="C14" s="108"/>
      <c r="D14" s="100"/>
      <c r="E14" s="101"/>
      <c r="F14" s="102"/>
      <c r="G14" s="127" t="str">
        <f t="shared" si="0"/>
        <v/>
      </c>
      <c r="H14" s="310"/>
      <c r="I14" s="859"/>
      <c r="J14" s="860" t="s">
        <v>65</v>
      </c>
      <c r="K14" s="103"/>
      <c r="L14" s="104"/>
      <c r="M14" s="130" t="str">
        <f t="shared" si="4"/>
        <v/>
      </c>
      <c r="N14" s="131">
        <f t="shared" si="5"/>
        <v>0</v>
      </c>
      <c r="O14" s="105"/>
      <c r="P14" s="139" t="str">
        <f t="shared" si="1"/>
        <v/>
      </c>
      <c r="Q14" s="140" t="str">
        <f t="shared" si="2"/>
        <v/>
      </c>
      <c r="R14" s="524" t="str">
        <f t="shared" si="3"/>
        <v/>
      </c>
      <c r="S14" s="141" t="str">
        <f t="shared" si="6"/>
        <v/>
      </c>
      <c r="T14" s="141" t="str">
        <f t="shared" si="7"/>
        <v/>
      </c>
      <c r="U14" s="142" t="str">
        <f t="shared" si="8"/>
        <v/>
      </c>
      <c r="V14" s="530" t="str">
        <f ca="1">IF('Extra look-up'!$H8="Work Type","Check Work Type",IF(AND(D14="",F14="",H14="",I14="",L14="",M14=""),"",IF(OR(D14="",F14="",H14="",I14="",L14="",M14="",$L$9&lt;&gt;"OK"),"Check all fields completed correctly",IF(AND(D14="",OR(F14&lt;&gt;"",H14&lt;&gt;"",I14&lt;&gt;"",L14&lt;&gt;"")),"Check all fields completed correctly","OK"))))</f>
        <v/>
      </c>
      <c r="W14" s="500" t="str">
        <f>IF(I14="","",IF(VLOOKUP(I14,'Eligible Technologies'!$D$7:$G$69,4,FALSE)&lt;$F$9,VLOOKUP(I14,'Eligible Technologies'!$D$7:$G$69,4,FALSE),$F$9))</f>
        <v/>
      </c>
      <c r="X14" s="501" t="str">
        <f t="shared" si="9"/>
        <v/>
      </c>
      <c r="Y14" s="501">
        <f t="shared" ca="1" si="10"/>
        <v>0</v>
      </c>
      <c r="Z14" s="501" t="str">
        <f>'Extra look-up'!F8</f>
        <v/>
      </c>
      <c r="AA14" s="501" t="str">
        <f ca="1">'Extra look-up'!H8</f>
        <v>OK</v>
      </c>
      <c r="AB14" s="501">
        <f t="shared" ref="AB14:AB61" ca="1" si="11">IF(AND(V14&lt;&gt;"OK",V14&lt;&gt;""),51,1)</f>
        <v>1</v>
      </c>
      <c r="AC14" s="515" t="e">
        <f>ROUNDUP(W14,0)+100</f>
        <v>#VALUE!</v>
      </c>
      <c r="AD14" s="518" t="str">
        <f ca="1">IFERROR(AVERAGE($AH$101:INDIRECT(CONCATENATE("AH"&amp;AC14))),"")</f>
        <v/>
      </c>
      <c r="AE14" s="512"/>
      <c r="AF14" s="512"/>
      <c r="AG14" s="9"/>
      <c r="AH14" s="9"/>
      <c r="AI14" s="9"/>
      <c r="AJ14" s="9"/>
      <c r="AK14" s="9"/>
      <c r="AL14" s="9"/>
      <c r="AM14" s="6"/>
      <c r="AN14" s="6"/>
      <c r="AO14" s="6"/>
      <c r="AP14" s="6"/>
      <c r="AQ14" s="23" t="s">
        <v>22</v>
      </c>
    </row>
    <row r="15" spans="1:43" s="713" customFormat="1" ht="33.950000000000003" customHeight="1" x14ac:dyDescent="0.2">
      <c r="A15" s="152">
        <v>4</v>
      </c>
      <c r="B15" s="98"/>
      <c r="C15" s="106"/>
      <c r="D15" s="100"/>
      <c r="E15" s="101"/>
      <c r="F15" s="102"/>
      <c r="G15" s="127" t="str">
        <f t="shared" si="0"/>
        <v/>
      </c>
      <c r="H15" s="310"/>
      <c r="I15" s="859"/>
      <c r="J15" s="860" t="s">
        <v>65</v>
      </c>
      <c r="K15" s="103"/>
      <c r="L15" s="104"/>
      <c r="M15" s="132" t="str">
        <f t="shared" si="4"/>
        <v/>
      </c>
      <c r="N15" s="131">
        <f t="shared" si="5"/>
        <v>0</v>
      </c>
      <c r="O15" s="105"/>
      <c r="P15" s="139" t="str">
        <f t="shared" si="1"/>
        <v/>
      </c>
      <c r="Q15" s="140" t="str">
        <f t="shared" si="2"/>
        <v/>
      </c>
      <c r="R15" s="524" t="str">
        <f t="shared" si="3"/>
        <v/>
      </c>
      <c r="S15" s="141" t="str">
        <f t="shared" si="6"/>
        <v/>
      </c>
      <c r="T15" s="141" t="str">
        <f t="shared" si="7"/>
        <v/>
      </c>
      <c r="U15" s="142" t="str">
        <f t="shared" si="8"/>
        <v/>
      </c>
      <c r="V15" s="530" t="str">
        <f ca="1">IF('Extra look-up'!$H9="Work Type","Check Work Type",IF(AND(D15="",F15="",H15="",I15="",L15="",M15=""),"",IF(OR(D15="",F15="",H15="",I15="",L15="",M15="",$L$9&lt;&gt;"OK"),"Check all fields completed correctly",IF(AND(D15="",OR(F15&lt;&gt;"",H15&lt;&gt;"",I15&lt;&gt;"",L15&lt;&gt;"")),"Check all fields completed correctly","OK"))))</f>
        <v/>
      </c>
      <c r="W15" s="500" t="str">
        <f>IF(I15="","",IF(VLOOKUP(I15,'Eligible Technologies'!$D$7:$G$69,4,FALSE)&lt;$F$9,VLOOKUP(I15,'Eligible Technologies'!$D$7:$G$69,4,FALSE),$F$9))</f>
        <v/>
      </c>
      <c r="X15" s="501" t="str">
        <f t="shared" si="9"/>
        <v/>
      </c>
      <c r="Y15" s="501">
        <f t="shared" ca="1" si="10"/>
        <v>0</v>
      </c>
      <c r="Z15" s="501" t="str">
        <f>'Extra look-up'!F9</f>
        <v/>
      </c>
      <c r="AA15" s="501" t="str">
        <f ca="1">'Extra look-up'!H9</f>
        <v>OK</v>
      </c>
      <c r="AB15" s="501">
        <f t="shared" ca="1" si="11"/>
        <v>1</v>
      </c>
      <c r="AC15" s="515" t="e">
        <f t="shared" ref="AC15:AC61" si="12">ROUNDUP(W15,0)+100</f>
        <v>#VALUE!</v>
      </c>
      <c r="AD15" s="518" t="str">
        <f ca="1">IFERROR(AVERAGE($AH$101:INDIRECT(CONCATENATE("AH"&amp;AC15))),"")</f>
        <v/>
      </c>
      <c r="AE15" s="512"/>
      <c r="AF15" s="512"/>
      <c r="AG15" s="9"/>
      <c r="AH15" s="9"/>
      <c r="AI15" s="9"/>
      <c r="AJ15" s="9"/>
      <c r="AK15" s="9"/>
      <c r="AL15" s="9"/>
      <c r="AM15" s="6"/>
      <c r="AN15" s="6"/>
      <c r="AO15" s="6"/>
      <c r="AP15" s="6"/>
      <c r="AQ15" s="23" t="s">
        <v>22</v>
      </c>
    </row>
    <row r="16" spans="1:43" s="713" customFormat="1" ht="33.950000000000003" customHeight="1" x14ac:dyDescent="0.2">
      <c r="A16" s="152">
        <v>5</v>
      </c>
      <c r="B16" s="98"/>
      <c r="C16" s="107"/>
      <c r="D16" s="100"/>
      <c r="E16" s="101"/>
      <c r="F16" s="102"/>
      <c r="G16" s="127" t="str">
        <f t="shared" si="0"/>
        <v/>
      </c>
      <c r="H16" s="310"/>
      <c r="I16" s="859"/>
      <c r="J16" s="860" t="s">
        <v>65</v>
      </c>
      <c r="K16" s="103"/>
      <c r="L16" s="104"/>
      <c r="M16" s="133" t="str">
        <f t="shared" si="4"/>
        <v/>
      </c>
      <c r="N16" s="131">
        <f t="shared" si="5"/>
        <v>0</v>
      </c>
      <c r="O16" s="105"/>
      <c r="P16" s="139" t="str">
        <f t="shared" si="1"/>
        <v/>
      </c>
      <c r="Q16" s="140" t="str">
        <f>IF(OR(P16&lt;=0,P16=""),"",O16/P16)</f>
        <v/>
      </c>
      <c r="R16" s="524" t="str">
        <f t="shared" si="3"/>
        <v/>
      </c>
      <c r="S16" s="141" t="str">
        <f t="shared" si="6"/>
        <v/>
      </c>
      <c r="T16" s="141" t="str">
        <f t="shared" si="7"/>
        <v/>
      </c>
      <c r="U16" s="142" t="str">
        <f t="shared" si="8"/>
        <v/>
      </c>
      <c r="V16" s="530" t="str">
        <f ca="1">IF('Extra look-up'!$H10="Work Type","Check Work Type",IF(AND(D16="",F16="",H16="",I16="",L16="",M16=""),"",IF(OR(D16="",F16="",H16="",I16="",L16="",M16="",$L$9&lt;&gt;"OK"),"Check all fields completed correctly",IF(AND(D16="",OR(F16&lt;&gt;"",H16&lt;&gt;"",I16&lt;&gt;"",L16&lt;&gt;"")),"Check all fields completed correctly","OK"))))</f>
        <v/>
      </c>
      <c r="W16" s="500" t="str">
        <f>IF(I16="","",IF(VLOOKUP(I16,'Eligible Technologies'!$D$7:$G$69,4,FALSE)&lt;$F$9,VLOOKUP(I16,'Eligible Technologies'!$D$7:$G$69,4,FALSE),$F$9))</f>
        <v/>
      </c>
      <c r="X16" s="501" t="str">
        <f t="shared" si="9"/>
        <v/>
      </c>
      <c r="Y16" s="501">
        <f t="shared" ca="1" si="10"/>
        <v>0</v>
      </c>
      <c r="Z16" s="501" t="str">
        <f>'Extra look-up'!F10</f>
        <v/>
      </c>
      <c r="AA16" s="501" t="str">
        <f ca="1">'Extra look-up'!H10</f>
        <v>OK</v>
      </c>
      <c r="AB16" s="501">
        <f t="shared" ca="1" si="11"/>
        <v>1</v>
      </c>
      <c r="AC16" s="515" t="e">
        <f t="shared" si="12"/>
        <v>#VALUE!</v>
      </c>
      <c r="AD16" s="518" t="str">
        <f ca="1">IFERROR(AVERAGE($AH$101:INDIRECT(CONCATENATE("AH"&amp;AC16))),"")</f>
        <v/>
      </c>
      <c r="AE16" s="512"/>
      <c r="AF16" s="512"/>
      <c r="AG16" s="9"/>
      <c r="AH16" s="9"/>
      <c r="AI16" s="9"/>
      <c r="AJ16" s="9"/>
      <c r="AK16" s="9"/>
      <c r="AL16" s="9"/>
      <c r="AM16" s="6"/>
      <c r="AN16" s="6"/>
      <c r="AO16" s="6"/>
      <c r="AP16" s="6"/>
      <c r="AQ16" s="23" t="s">
        <v>22</v>
      </c>
    </row>
    <row r="17" spans="1:70" s="713" customFormat="1" ht="33.950000000000003" customHeight="1" x14ac:dyDescent="0.2">
      <c r="A17" s="152">
        <v>6</v>
      </c>
      <c r="B17" s="98"/>
      <c r="C17" s="106"/>
      <c r="D17" s="100"/>
      <c r="E17" s="101"/>
      <c r="F17" s="102"/>
      <c r="G17" s="127" t="str">
        <f t="shared" si="0"/>
        <v/>
      </c>
      <c r="H17" s="310"/>
      <c r="I17" s="859"/>
      <c r="J17" s="860" t="s">
        <v>65</v>
      </c>
      <c r="K17" s="103"/>
      <c r="L17" s="104"/>
      <c r="M17" s="130" t="str">
        <f>IF(K17="","",K17-L17)</f>
        <v/>
      </c>
      <c r="N17" s="131">
        <f t="shared" si="5"/>
        <v>0</v>
      </c>
      <c r="O17" s="105"/>
      <c r="P17" s="139" t="str">
        <f t="shared" si="1"/>
        <v/>
      </c>
      <c r="Q17" s="140" t="str">
        <f t="shared" si="2"/>
        <v/>
      </c>
      <c r="R17" s="524" t="str">
        <f t="shared" si="3"/>
        <v/>
      </c>
      <c r="S17" s="141" t="str">
        <f t="shared" si="6"/>
        <v/>
      </c>
      <c r="T17" s="141" t="str">
        <f t="shared" si="7"/>
        <v/>
      </c>
      <c r="U17" s="142" t="str">
        <f t="shared" si="8"/>
        <v/>
      </c>
      <c r="V17" s="530" t="str">
        <f ca="1">IF('Extra look-up'!$H11="Work Type","Check Work Type",IF(AND(D17="",F17="",H17="",I17="",L17="",M17=""),"",IF(OR(D17="",F17="",H17="",I17="",L17="",M17="",$L$9&lt;&gt;"OK"),"Check all fields completed correctly",IF(AND(D17="",OR(F17&lt;&gt;"",H17&lt;&gt;"",I17&lt;&gt;"",L17&lt;&gt;"")),"Check all fields completed correctly","OK"))))</f>
        <v/>
      </c>
      <c r="W17" s="500" t="str">
        <f>IF(I17="","",IF(VLOOKUP(I17,'Eligible Technologies'!$D$7:$G$69,4,FALSE)&lt;$F$9,VLOOKUP(I17,'Eligible Technologies'!$D$7:$G$69,4,FALSE),$F$9))</f>
        <v/>
      </c>
      <c r="X17" s="501" t="str">
        <f t="shared" si="9"/>
        <v/>
      </c>
      <c r="Y17" s="501">
        <f t="shared" ca="1" si="10"/>
        <v>0</v>
      </c>
      <c r="Z17" s="501" t="str">
        <f>'Extra look-up'!F11</f>
        <v/>
      </c>
      <c r="AA17" s="501" t="str">
        <f ca="1">'Extra look-up'!H11</f>
        <v>OK</v>
      </c>
      <c r="AB17" s="501">
        <f t="shared" ca="1" si="11"/>
        <v>1</v>
      </c>
      <c r="AC17" s="515" t="e">
        <f t="shared" si="12"/>
        <v>#VALUE!</v>
      </c>
      <c r="AD17" s="518" t="str">
        <f ca="1">IFERROR(AVERAGE($AH$101:INDIRECT(CONCATENATE("AH"&amp;AC17))),"")</f>
        <v/>
      </c>
      <c r="AE17" s="512"/>
      <c r="AF17" s="512"/>
      <c r="AG17" s="8"/>
      <c r="AH17" s="9"/>
      <c r="AI17" s="8"/>
      <c r="AJ17" s="8"/>
      <c r="AK17" s="9"/>
      <c r="AL17" s="9"/>
      <c r="AM17" s="6"/>
      <c r="AN17" s="6"/>
      <c r="AO17" s="6"/>
      <c r="AP17" s="6"/>
      <c r="AQ17" s="24"/>
    </row>
    <row r="18" spans="1:70" s="713" customFormat="1" ht="33.950000000000003" customHeight="1" x14ac:dyDescent="0.2">
      <c r="A18" s="152">
        <v>7</v>
      </c>
      <c r="B18" s="98"/>
      <c r="C18" s="107"/>
      <c r="D18" s="100"/>
      <c r="E18" s="101"/>
      <c r="F18" s="102"/>
      <c r="G18" s="127" t="str">
        <f t="shared" si="0"/>
        <v/>
      </c>
      <c r="H18" s="310"/>
      <c r="I18" s="859"/>
      <c r="J18" s="860" t="s">
        <v>65</v>
      </c>
      <c r="K18" s="103"/>
      <c r="L18" s="104"/>
      <c r="M18" s="132" t="str">
        <f t="shared" si="4"/>
        <v/>
      </c>
      <c r="N18" s="131">
        <f t="shared" si="5"/>
        <v>0</v>
      </c>
      <c r="O18" s="105"/>
      <c r="P18" s="139" t="str">
        <f t="shared" si="1"/>
        <v/>
      </c>
      <c r="Q18" s="140" t="str">
        <f t="shared" si="2"/>
        <v/>
      </c>
      <c r="R18" s="524" t="str">
        <f t="shared" si="3"/>
        <v/>
      </c>
      <c r="S18" s="141" t="str">
        <f t="shared" si="6"/>
        <v/>
      </c>
      <c r="T18" s="141" t="str">
        <f t="shared" si="7"/>
        <v/>
      </c>
      <c r="U18" s="142" t="str">
        <f t="shared" si="8"/>
        <v/>
      </c>
      <c r="V18" s="530" t="str">
        <f ca="1">IF('Extra look-up'!$H12="Work Type","Check Work Type",IF(AND(D18="",F18="",H18="",I18="",L18="",M18=""),"",IF(OR(D18="",F18="",H18="",I18="",L18="",M18="",$L$9&lt;&gt;"OK"),"Check all fields completed correctly",IF(AND(D18="",OR(F18&lt;&gt;"",H18&lt;&gt;"",I18&lt;&gt;"",L18&lt;&gt;"")),"Check all fields completed correctly","OK"))))</f>
        <v/>
      </c>
      <c r="W18" s="500" t="str">
        <f>IF(I18="","",IF(VLOOKUP(I18,'Eligible Technologies'!$D$7:$G$69,4,FALSE)&lt;$F$9,VLOOKUP(I18,'Eligible Technologies'!$D$7:$G$69,4,FALSE),$F$9))</f>
        <v/>
      </c>
      <c r="X18" s="501" t="str">
        <f t="shared" ref="X18:X61" si="13">IF(Q18="","",ROUNDUP($Q$65,0))</f>
        <v/>
      </c>
      <c r="Y18" s="501">
        <f t="shared" ca="1" si="10"/>
        <v>0</v>
      </c>
      <c r="Z18" s="501" t="str">
        <f>'Extra look-up'!F12</f>
        <v/>
      </c>
      <c r="AA18" s="501" t="str">
        <f ca="1">'Extra look-up'!H12</f>
        <v>OK</v>
      </c>
      <c r="AB18" s="501">
        <f t="shared" ca="1" si="11"/>
        <v>1</v>
      </c>
      <c r="AC18" s="515" t="e">
        <f t="shared" si="12"/>
        <v>#VALUE!</v>
      </c>
      <c r="AD18" s="518" t="str">
        <f ca="1">IFERROR(AVERAGE($AH$101:INDIRECT(CONCATENATE("AH"&amp;AC18))),"")</f>
        <v/>
      </c>
      <c r="AE18" s="512"/>
      <c r="AF18" s="512"/>
      <c r="AG18" s="8"/>
      <c r="AH18" s="9"/>
      <c r="AI18" s="8"/>
      <c r="AJ18" s="8"/>
      <c r="AK18" s="9"/>
      <c r="AL18" s="9"/>
      <c r="AM18" s="6"/>
      <c r="AN18" s="6"/>
      <c r="AO18" s="6"/>
      <c r="AP18" s="6"/>
      <c r="AQ18" s="24"/>
    </row>
    <row r="19" spans="1:70" s="713" customFormat="1" ht="33.950000000000003" customHeight="1" x14ac:dyDescent="0.2">
      <c r="A19" s="152">
        <v>8</v>
      </c>
      <c r="B19" s="98"/>
      <c r="C19" s="107"/>
      <c r="D19" s="100"/>
      <c r="E19" s="101"/>
      <c r="F19" s="102"/>
      <c r="G19" s="127" t="str">
        <f t="shared" si="0"/>
        <v/>
      </c>
      <c r="H19" s="310"/>
      <c r="I19" s="859"/>
      <c r="J19" s="860" t="s">
        <v>65</v>
      </c>
      <c r="K19" s="103"/>
      <c r="L19" s="104"/>
      <c r="M19" s="130" t="str">
        <f t="shared" si="4"/>
        <v/>
      </c>
      <c r="N19" s="131">
        <f t="shared" si="5"/>
        <v>0</v>
      </c>
      <c r="O19" s="105"/>
      <c r="P19" s="139" t="str">
        <f t="shared" si="1"/>
        <v/>
      </c>
      <c r="Q19" s="140" t="str">
        <f t="shared" si="2"/>
        <v/>
      </c>
      <c r="R19" s="524" t="str">
        <f t="shared" si="3"/>
        <v/>
      </c>
      <c r="S19" s="141" t="str">
        <f t="shared" si="6"/>
        <v/>
      </c>
      <c r="T19" s="141" t="str">
        <f t="shared" si="7"/>
        <v/>
      </c>
      <c r="U19" s="142" t="str">
        <f t="shared" si="8"/>
        <v/>
      </c>
      <c r="V19" s="530" t="str">
        <f ca="1">IF('Extra look-up'!$H13="Work Type","Check Work Type",IF(AND(D19="",F19="",H19="",I19="",L19="",M19=""),"",IF(OR(D19="",F19="",H19="",I19="",L19="",M19="",$L$9&lt;&gt;"OK"),"Check all fields completed correctly",IF(AND(D19="",OR(F19&lt;&gt;"",H19&lt;&gt;"",I19&lt;&gt;"",L19&lt;&gt;"")),"Check all fields completed correctly","OK"))))</f>
        <v/>
      </c>
      <c r="W19" s="500" t="str">
        <f>IF(I19="","",IF(VLOOKUP(I19,'Eligible Technologies'!$D$7:$G$69,4,FALSE)&lt;$F$9,VLOOKUP(I19,'Eligible Technologies'!$D$7:$G$69,4,FALSE),$F$9))</f>
        <v/>
      </c>
      <c r="X19" s="501" t="str">
        <f t="shared" si="13"/>
        <v/>
      </c>
      <c r="Y19" s="501">
        <f t="shared" ca="1" si="10"/>
        <v>0</v>
      </c>
      <c r="Z19" s="501" t="str">
        <f>'Extra look-up'!F13</f>
        <v/>
      </c>
      <c r="AA19" s="501" t="str">
        <f ca="1">'Extra look-up'!H13</f>
        <v>OK</v>
      </c>
      <c r="AB19" s="501">
        <f t="shared" ca="1" si="11"/>
        <v>1</v>
      </c>
      <c r="AC19" s="515" t="e">
        <f t="shared" si="12"/>
        <v>#VALUE!</v>
      </c>
      <c r="AD19" s="518" t="str">
        <f ca="1">IFERROR(AVERAGE($AH$101:INDIRECT(CONCATENATE("AH"&amp;AC19))),"")</f>
        <v/>
      </c>
      <c r="AE19" s="512"/>
      <c r="AF19" s="512"/>
      <c r="AG19" s="27" t="s">
        <v>66</v>
      </c>
      <c r="AH19" s="25" t="s">
        <v>67</v>
      </c>
      <c r="AI19" s="27" t="s">
        <v>68</v>
      </c>
      <c r="AJ19" s="27" t="s">
        <v>69</v>
      </c>
      <c r="AK19" s="25" t="s">
        <v>70</v>
      </c>
      <c r="AL19" s="25" t="s">
        <v>71</v>
      </c>
      <c r="AM19" s="7" t="s">
        <v>72</v>
      </c>
      <c r="AN19" s="7" t="s">
        <v>73</v>
      </c>
      <c r="AO19" s="7" t="s">
        <v>74</v>
      </c>
      <c r="AP19" s="6"/>
      <c r="AQ19" s="24"/>
    </row>
    <row r="20" spans="1:70" s="713" customFormat="1" ht="33.950000000000003" customHeight="1" x14ac:dyDescent="0.2">
      <c r="A20" s="152">
        <v>9</v>
      </c>
      <c r="B20" s="98"/>
      <c r="C20" s="108"/>
      <c r="D20" s="100"/>
      <c r="E20" s="101"/>
      <c r="F20" s="102"/>
      <c r="G20" s="127" t="str">
        <f t="shared" si="0"/>
        <v/>
      </c>
      <c r="H20" s="310"/>
      <c r="I20" s="859"/>
      <c r="J20" s="860"/>
      <c r="K20" s="103"/>
      <c r="L20" s="104"/>
      <c r="M20" s="130" t="str">
        <f t="shared" si="4"/>
        <v/>
      </c>
      <c r="N20" s="131">
        <f t="shared" si="5"/>
        <v>0</v>
      </c>
      <c r="O20" s="105"/>
      <c r="P20" s="139" t="str">
        <f t="shared" si="1"/>
        <v/>
      </c>
      <c r="Q20" s="140" t="str">
        <f t="shared" si="2"/>
        <v/>
      </c>
      <c r="R20" s="524" t="str">
        <f t="shared" si="3"/>
        <v/>
      </c>
      <c r="S20" s="141" t="str">
        <f t="shared" si="6"/>
        <v/>
      </c>
      <c r="T20" s="141" t="str">
        <f t="shared" si="7"/>
        <v/>
      </c>
      <c r="U20" s="142" t="str">
        <f t="shared" si="8"/>
        <v/>
      </c>
      <c r="V20" s="530" t="str">
        <f ca="1">IF('Extra look-up'!$H14="Work Type","Check Work Type",IF(AND(D20="",F20="",H20="",I20="",L20="",M20=""),"",IF(OR(D20="",F20="",H20="",I20="",L20="",M20="",$L$9&lt;&gt;"OK"),"Check all fields completed correctly",IF(AND(D20="",OR(F20&lt;&gt;"",H20&lt;&gt;"",I20&lt;&gt;"",L20&lt;&gt;"")),"Check all fields completed correctly","OK"))))</f>
        <v/>
      </c>
      <c r="W20" s="500" t="str">
        <f>IF(I20="","",IF(VLOOKUP(I20,'Eligible Technologies'!$D$7:$G$69,4,FALSE)&lt;$F$9,VLOOKUP(I20,'Eligible Technologies'!$D$7:$G$69,4,FALSE),$F$9))</f>
        <v/>
      </c>
      <c r="X20" s="501" t="str">
        <f t="shared" si="13"/>
        <v/>
      </c>
      <c r="Y20" s="501">
        <f t="shared" ca="1" si="10"/>
        <v>0</v>
      </c>
      <c r="Z20" s="501" t="str">
        <f>'Extra look-up'!F14</f>
        <v/>
      </c>
      <c r="AA20" s="501" t="str">
        <f ca="1">'Extra look-up'!H14</f>
        <v>OK</v>
      </c>
      <c r="AB20" s="501">
        <f t="shared" ca="1" si="11"/>
        <v>1</v>
      </c>
      <c r="AC20" s="515" t="e">
        <f t="shared" si="12"/>
        <v>#VALUE!</v>
      </c>
      <c r="AD20" s="518" t="str">
        <f ca="1">IFERROR(AVERAGE($AH$101:INDIRECT(CONCATENATE("AH"&amp;AC20))),"")</f>
        <v/>
      </c>
      <c r="AE20" s="512"/>
      <c r="AF20" s="512"/>
      <c r="AG20" s="8" t="s">
        <v>75</v>
      </c>
      <c r="AH20" s="9" t="s">
        <v>76</v>
      </c>
      <c r="AI20" s="8" t="s">
        <v>76</v>
      </c>
      <c r="AJ20" s="8" t="s">
        <v>75</v>
      </c>
      <c r="AK20" s="9" t="s">
        <v>77</v>
      </c>
      <c r="AL20" s="9" t="s">
        <v>75</v>
      </c>
      <c r="AM20" s="6" t="s">
        <v>75</v>
      </c>
      <c r="AN20" s="6" t="s">
        <v>75</v>
      </c>
      <c r="AO20" s="31" t="e">
        <f>'Extra look-up'!G122</f>
        <v>#N/A</v>
      </c>
      <c r="AP20" s="6"/>
      <c r="AQ20" s="24"/>
    </row>
    <row r="21" spans="1:70" s="713" customFormat="1" ht="33.950000000000003" customHeight="1" x14ac:dyDescent="0.2">
      <c r="A21" s="152">
        <v>10</v>
      </c>
      <c r="B21" s="98"/>
      <c r="C21" s="108"/>
      <c r="D21" s="100"/>
      <c r="E21" s="101"/>
      <c r="F21" s="102"/>
      <c r="G21" s="127" t="str">
        <f t="shared" si="0"/>
        <v/>
      </c>
      <c r="H21" s="310"/>
      <c r="I21" s="859"/>
      <c r="J21" s="860"/>
      <c r="K21" s="103"/>
      <c r="L21" s="104"/>
      <c r="M21" s="130" t="str">
        <f t="shared" si="4"/>
        <v/>
      </c>
      <c r="N21" s="131">
        <f t="shared" si="5"/>
        <v>0</v>
      </c>
      <c r="O21" s="105"/>
      <c r="P21" s="139" t="str">
        <f t="shared" si="1"/>
        <v/>
      </c>
      <c r="Q21" s="140" t="str">
        <f t="shared" si="2"/>
        <v/>
      </c>
      <c r="R21" s="524" t="str">
        <f t="shared" si="3"/>
        <v/>
      </c>
      <c r="S21" s="141" t="str">
        <f t="shared" si="6"/>
        <v/>
      </c>
      <c r="T21" s="141" t="str">
        <f t="shared" si="7"/>
        <v/>
      </c>
      <c r="U21" s="142" t="str">
        <f t="shared" si="8"/>
        <v/>
      </c>
      <c r="V21" s="530" t="str">
        <f ca="1">IF('Extra look-up'!$H15="Work Type","Check Work Type",IF(AND(D21="",F21="",H21="",I21="",L21="",M21=""),"",IF(OR(D21="",F21="",H21="",I21="",L21="",M21="",$L$9&lt;&gt;"OK"),"Check all fields completed correctly",IF(AND(D21="",OR(F21&lt;&gt;"",H21&lt;&gt;"",I21&lt;&gt;"",L21&lt;&gt;"")),"Check all fields completed correctly","OK"))))</f>
        <v/>
      </c>
      <c r="W21" s="500" t="str">
        <f>IF(I21="","",IF(VLOOKUP(I21,'Eligible Technologies'!$D$7:$G$69,4,FALSE)&lt;$F$9,VLOOKUP(I21,'Eligible Technologies'!$D$7:$G$69,4,FALSE),$F$9))</f>
        <v/>
      </c>
      <c r="X21" s="501" t="str">
        <f t="shared" si="13"/>
        <v/>
      </c>
      <c r="Y21" s="501">
        <f t="shared" ca="1" si="10"/>
        <v>0</v>
      </c>
      <c r="Z21" s="501" t="str">
        <f>'Extra look-up'!F15</f>
        <v/>
      </c>
      <c r="AA21" s="501" t="str">
        <f ca="1">'Extra look-up'!H15</f>
        <v>OK</v>
      </c>
      <c r="AB21" s="501">
        <f t="shared" ca="1" si="11"/>
        <v>1</v>
      </c>
      <c r="AC21" s="515" t="e">
        <f t="shared" si="12"/>
        <v>#VALUE!</v>
      </c>
      <c r="AD21" s="518" t="str">
        <f ca="1">IFERROR(AVERAGE($AH$101:INDIRECT(CONCATENATE("AH"&amp;AC21))),"")</f>
        <v/>
      </c>
      <c r="AE21" s="512"/>
      <c r="AF21" s="512"/>
      <c r="AG21" s="8" t="s">
        <v>78</v>
      </c>
      <c r="AH21" s="9" t="s">
        <v>75</v>
      </c>
      <c r="AI21" s="8" t="s">
        <v>75</v>
      </c>
      <c r="AJ21" s="8" t="s">
        <v>79</v>
      </c>
      <c r="AK21" s="9" t="s">
        <v>75</v>
      </c>
      <c r="AL21" s="9" t="s">
        <v>79</v>
      </c>
      <c r="AM21" s="6" t="s">
        <v>79</v>
      </c>
      <c r="AN21" s="6" t="s">
        <v>79</v>
      </c>
      <c r="AO21" s="6"/>
      <c r="AP21" s="6"/>
      <c r="AQ21" s="24"/>
    </row>
    <row r="22" spans="1:70" s="713" customFormat="1" ht="33.950000000000003" customHeight="1" x14ac:dyDescent="0.2">
      <c r="A22" s="152">
        <v>11</v>
      </c>
      <c r="B22" s="98"/>
      <c r="C22" s="108"/>
      <c r="D22" s="100"/>
      <c r="E22" s="101"/>
      <c r="F22" s="102"/>
      <c r="G22" s="127" t="str">
        <f t="shared" si="0"/>
        <v/>
      </c>
      <c r="H22" s="310"/>
      <c r="I22" s="859"/>
      <c r="J22" s="860"/>
      <c r="K22" s="103"/>
      <c r="L22" s="104"/>
      <c r="M22" s="130" t="str">
        <f t="shared" si="4"/>
        <v/>
      </c>
      <c r="N22" s="131">
        <f t="shared" si="5"/>
        <v>0</v>
      </c>
      <c r="O22" s="105"/>
      <c r="P22" s="139" t="str">
        <f t="shared" si="1"/>
        <v/>
      </c>
      <c r="Q22" s="140" t="str">
        <f t="shared" si="2"/>
        <v/>
      </c>
      <c r="R22" s="524" t="str">
        <f t="shared" si="3"/>
        <v/>
      </c>
      <c r="S22" s="141" t="str">
        <f t="shared" si="6"/>
        <v/>
      </c>
      <c r="T22" s="141" t="str">
        <f t="shared" si="7"/>
        <v/>
      </c>
      <c r="U22" s="142" t="str">
        <f t="shared" si="8"/>
        <v/>
      </c>
      <c r="V22" s="530" t="str">
        <f ca="1">IF('Extra look-up'!$H16="Work Type","Check Work Type",IF(AND(D22="",F22="",H22="",I22="",L22="",M22=""),"",IF(OR(D22="",F22="",H22="",I22="",L22="",M22="",$L$9&lt;&gt;"OK"),"Check all fields completed correctly",IF(AND(D22="",OR(F22&lt;&gt;"",H22&lt;&gt;"",I22&lt;&gt;"",L22&lt;&gt;"")),"Check all fields completed correctly","OK"))))</f>
        <v/>
      </c>
      <c r="W22" s="500" t="str">
        <f>IF(I22="","",IF(VLOOKUP(I22,'Eligible Technologies'!$D$7:$G$69,4,FALSE)&lt;$F$9,VLOOKUP(I22,'Eligible Technologies'!$D$7:$G$69,4,FALSE),$F$9))</f>
        <v/>
      </c>
      <c r="X22" s="501" t="str">
        <f t="shared" si="13"/>
        <v/>
      </c>
      <c r="Y22" s="501">
        <f t="shared" ca="1" si="10"/>
        <v>0</v>
      </c>
      <c r="Z22" s="501" t="str">
        <f>'Extra look-up'!F16</f>
        <v/>
      </c>
      <c r="AA22" s="501" t="str">
        <f ca="1">'Extra look-up'!H16</f>
        <v>OK</v>
      </c>
      <c r="AB22" s="501">
        <f t="shared" ca="1" si="11"/>
        <v>1</v>
      </c>
      <c r="AC22" s="515" t="e">
        <f t="shared" si="12"/>
        <v>#VALUE!</v>
      </c>
      <c r="AD22" s="518" t="str">
        <f ca="1">IFERROR(AVERAGE($AH$101:INDIRECT(CONCATENATE("AH"&amp;AC22))),"")</f>
        <v/>
      </c>
      <c r="AE22" s="512"/>
      <c r="AF22" s="512"/>
      <c r="AG22" s="8" t="s">
        <v>80</v>
      </c>
      <c r="AH22" s="9" t="s">
        <v>81</v>
      </c>
      <c r="AI22" s="8" t="s">
        <v>81</v>
      </c>
      <c r="AJ22" s="8" t="s">
        <v>82</v>
      </c>
      <c r="AK22" s="9" t="s">
        <v>79</v>
      </c>
      <c r="AL22" s="9" t="s">
        <v>83</v>
      </c>
      <c r="AM22" s="6" t="s">
        <v>83</v>
      </c>
      <c r="AN22" s="6" t="s">
        <v>83</v>
      </c>
      <c r="AO22" s="6"/>
      <c r="AP22" s="6"/>
      <c r="AQ22" s="24"/>
    </row>
    <row r="23" spans="1:70" s="713" customFormat="1" ht="33.950000000000003" customHeight="1" x14ac:dyDescent="0.2">
      <c r="A23" s="152">
        <v>12</v>
      </c>
      <c r="B23" s="98"/>
      <c r="C23" s="108"/>
      <c r="D23" s="100"/>
      <c r="E23" s="101"/>
      <c r="F23" s="102"/>
      <c r="G23" s="127" t="str">
        <f t="shared" si="0"/>
        <v/>
      </c>
      <c r="H23" s="310"/>
      <c r="I23" s="859"/>
      <c r="J23" s="860"/>
      <c r="K23" s="103"/>
      <c r="L23" s="104"/>
      <c r="M23" s="130" t="str">
        <f t="shared" si="4"/>
        <v/>
      </c>
      <c r="N23" s="131">
        <f t="shared" si="5"/>
        <v>0</v>
      </c>
      <c r="O23" s="105"/>
      <c r="P23" s="139" t="str">
        <f t="shared" si="1"/>
        <v/>
      </c>
      <c r="Q23" s="140" t="str">
        <f t="shared" si="2"/>
        <v/>
      </c>
      <c r="R23" s="524" t="str">
        <f t="shared" si="3"/>
        <v/>
      </c>
      <c r="S23" s="141" t="str">
        <f t="shared" si="6"/>
        <v/>
      </c>
      <c r="T23" s="141" t="str">
        <f t="shared" si="7"/>
        <v/>
      </c>
      <c r="U23" s="142" t="str">
        <f t="shared" si="8"/>
        <v/>
      </c>
      <c r="V23" s="530" t="str">
        <f ca="1">IF('Extra look-up'!$H17="Work Type","Check Work Type",IF(AND(D23="",F23="",H23="",I23="",L23="",M23=""),"",IF(OR(D23="",F23="",H23="",I23="",L23="",M23="",$L$9&lt;&gt;"OK"),"Check all fields completed correctly",IF(AND(D23="",OR(F23&lt;&gt;"",H23&lt;&gt;"",I23&lt;&gt;"",L23&lt;&gt;"")),"Check all fields completed correctly","OK"))))</f>
        <v/>
      </c>
      <c r="W23" s="500" t="str">
        <f>IF(I23="","",IF(VLOOKUP(I23,'Eligible Technologies'!$D$7:$G$69,4,FALSE)&lt;$F$9,VLOOKUP(I23,'Eligible Technologies'!$D$7:$G$69,4,FALSE),$F$9))</f>
        <v/>
      </c>
      <c r="X23" s="501" t="str">
        <f t="shared" si="13"/>
        <v/>
      </c>
      <c r="Y23" s="501">
        <f t="shared" ca="1" si="10"/>
        <v>0</v>
      </c>
      <c r="Z23" s="501" t="str">
        <f>'Extra look-up'!F17</f>
        <v/>
      </c>
      <c r="AA23" s="501" t="str">
        <f ca="1">'Extra look-up'!H17</f>
        <v>OK</v>
      </c>
      <c r="AB23" s="501">
        <f t="shared" ca="1" si="11"/>
        <v>1</v>
      </c>
      <c r="AC23" s="515" t="e">
        <f t="shared" si="12"/>
        <v>#VALUE!</v>
      </c>
      <c r="AD23" s="518" t="str">
        <f ca="1">IFERROR(AVERAGE($AH$101:INDIRECT(CONCATENATE("AH"&amp;AC23))),"")</f>
        <v/>
      </c>
      <c r="AE23" s="512"/>
      <c r="AF23" s="512"/>
      <c r="AG23" s="24" t="s">
        <v>84</v>
      </c>
      <c r="AH23" s="24" t="s">
        <v>85</v>
      </c>
      <c r="AI23" s="24" t="s">
        <v>85</v>
      </c>
      <c r="AJ23" s="24" t="s">
        <v>86</v>
      </c>
      <c r="AK23" s="24" t="s">
        <v>87</v>
      </c>
      <c r="AL23" s="24" t="s">
        <v>80</v>
      </c>
      <c r="AM23" s="6" t="s">
        <v>80</v>
      </c>
      <c r="AN23" s="6" t="s">
        <v>80</v>
      </c>
      <c r="AO23" s="6"/>
      <c r="AP23" s="6"/>
      <c r="AQ23" s="24"/>
    </row>
    <row r="24" spans="1:70" s="713" customFormat="1" ht="33.950000000000003" customHeight="1" x14ac:dyDescent="0.2">
      <c r="A24" s="152">
        <v>13</v>
      </c>
      <c r="B24" s="98"/>
      <c r="C24" s="108"/>
      <c r="D24" s="100"/>
      <c r="E24" s="101"/>
      <c r="F24" s="102"/>
      <c r="G24" s="127" t="str">
        <f t="shared" si="0"/>
        <v/>
      </c>
      <c r="H24" s="310"/>
      <c r="I24" s="859"/>
      <c r="J24" s="860"/>
      <c r="K24" s="103"/>
      <c r="L24" s="104"/>
      <c r="M24" s="130" t="str">
        <f t="shared" si="4"/>
        <v/>
      </c>
      <c r="N24" s="131">
        <f t="shared" si="5"/>
        <v>0</v>
      </c>
      <c r="O24" s="105"/>
      <c r="P24" s="139" t="str">
        <f t="shared" si="1"/>
        <v/>
      </c>
      <c r="Q24" s="140" t="str">
        <f t="shared" si="2"/>
        <v/>
      </c>
      <c r="R24" s="524" t="str">
        <f t="shared" si="3"/>
        <v/>
      </c>
      <c r="S24" s="141" t="str">
        <f t="shared" si="6"/>
        <v/>
      </c>
      <c r="T24" s="141" t="str">
        <f t="shared" si="7"/>
        <v/>
      </c>
      <c r="U24" s="142" t="str">
        <f t="shared" si="8"/>
        <v/>
      </c>
      <c r="V24" s="530" t="str">
        <f ca="1">IF('Extra look-up'!$H18="Work Type","Check Work Type",IF(AND(D24="",F24="",H24="",I24="",L24="",M24=""),"",IF(OR(D24="",F24="",H24="",I24="",L24="",M24="",$L$9&lt;&gt;"OK"),"Check all fields completed correctly",IF(AND(D24="",OR(F24&lt;&gt;"",H24&lt;&gt;"",I24&lt;&gt;"",L24&lt;&gt;"")),"Check all fields completed correctly","OK"))))</f>
        <v/>
      </c>
      <c r="W24" s="500" t="str">
        <f>IF(I24="","",IF(VLOOKUP(I24,'Eligible Technologies'!$D$7:$G$69,4,FALSE)&lt;$F$9,VLOOKUP(I24,'Eligible Technologies'!$D$7:$G$69,4,FALSE),$F$9))</f>
        <v/>
      </c>
      <c r="X24" s="501" t="str">
        <f t="shared" si="13"/>
        <v/>
      </c>
      <c r="Y24" s="501">
        <f t="shared" ca="1" si="10"/>
        <v>0</v>
      </c>
      <c r="Z24" s="501" t="str">
        <f>'Extra look-up'!F18</f>
        <v/>
      </c>
      <c r="AA24" s="501" t="str">
        <f ca="1">'Extra look-up'!H18</f>
        <v>OK</v>
      </c>
      <c r="AB24" s="501">
        <f t="shared" ca="1" si="11"/>
        <v>1</v>
      </c>
      <c r="AC24" s="515" t="e">
        <f t="shared" si="12"/>
        <v>#VALUE!</v>
      </c>
      <c r="AD24" s="518" t="str">
        <f ca="1">IFERROR(AVERAGE($AH$101:INDIRECT(CONCATENATE("AH"&amp;AC24))),"")</f>
        <v/>
      </c>
      <c r="AE24" s="512"/>
      <c r="AF24" s="512"/>
      <c r="AG24" s="24" t="s">
        <v>88</v>
      </c>
      <c r="AH24" s="9" t="s">
        <v>89</v>
      </c>
      <c r="AI24" s="24" t="s">
        <v>89</v>
      </c>
      <c r="AJ24" s="24" t="s">
        <v>90</v>
      </c>
      <c r="AK24" s="24" t="s">
        <v>91</v>
      </c>
      <c r="AL24" s="24" t="s">
        <v>92</v>
      </c>
      <c r="AM24" s="6" t="s">
        <v>92</v>
      </c>
      <c r="AN24" s="6" t="s">
        <v>92</v>
      </c>
      <c r="AO24" s="6"/>
      <c r="AP24" s="6"/>
      <c r="AQ24" s="24"/>
    </row>
    <row r="25" spans="1:70" s="713" customFormat="1" ht="33.950000000000003" customHeight="1" x14ac:dyDescent="0.2">
      <c r="A25" s="152">
        <v>14</v>
      </c>
      <c r="B25" s="98"/>
      <c r="C25" s="108"/>
      <c r="D25" s="100"/>
      <c r="E25" s="101"/>
      <c r="F25" s="102"/>
      <c r="G25" s="127" t="str">
        <f t="shared" si="0"/>
        <v/>
      </c>
      <c r="H25" s="310"/>
      <c r="I25" s="859"/>
      <c r="J25" s="860"/>
      <c r="K25" s="103"/>
      <c r="L25" s="104"/>
      <c r="M25" s="130" t="str">
        <f t="shared" si="4"/>
        <v/>
      </c>
      <c r="N25" s="131">
        <f t="shared" si="5"/>
        <v>0</v>
      </c>
      <c r="O25" s="105"/>
      <c r="P25" s="139" t="str">
        <f t="shared" si="1"/>
        <v/>
      </c>
      <c r="Q25" s="140" t="str">
        <f t="shared" si="2"/>
        <v/>
      </c>
      <c r="R25" s="524" t="str">
        <f t="shared" si="3"/>
        <v/>
      </c>
      <c r="S25" s="141" t="str">
        <f t="shared" si="6"/>
        <v/>
      </c>
      <c r="T25" s="141" t="str">
        <f t="shared" si="7"/>
        <v/>
      </c>
      <c r="U25" s="142" t="str">
        <f t="shared" si="8"/>
        <v/>
      </c>
      <c r="V25" s="530" t="str">
        <f ca="1">IF('Extra look-up'!$H19="Work Type","Check Work Type",IF(AND(D25="",F25="",H25="",I25="",L25="",M25=""),"",IF(OR(D25="",F25="",H25="",I25="",L25="",M25="",$L$9&lt;&gt;"OK"),"Check all fields completed correctly",IF(AND(D25="",OR(F25&lt;&gt;"",H25&lt;&gt;"",I25&lt;&gt;"",L25&lt;&gt;"")),"Check all fields completed correctly","OK"))))</f>
        <v/>
      </c>
      <c r="W25" s="500" t="str">
        <f>IF(I25="","",IF(VLOOKUP(I25,'Eligible Technologies'!$D$7:$G$69,4,FALSE)&lt;$F$9,VLOOKUP(I25,'Eligible Technologies'!$D$7:$G$69,4,FALSE),$F$9))</f>
        <v/>
      </c>
      <c r="X25" s="501" t="str">
        <f t="shared" si="13"/>
        <v/>
      </c>
      <c r="Y25" s="501">
        <f t="shared" ca="1" si="10"/>
        <v>0</v>
      </c>
      <c r="Z25" s="501" t="str">
        <f>'Extra look-up'!F19</f>
        <v/>
      </c>
      <c r="AA25" s="501" t="str">
        <f ca="1">'Extra look-up'!H19</f>
        <v>OK</v>
      </c>
      <c r="AB25" s="501">
        <f t="shared" ca="1" si="11"/>
        <v>1</v>
      </c>
      <c r="AC25" s="515" t="e">
        <f t="shared" si="12"/>
        <v>#VALUE!</v>
      </c>
      <c r="AD25" s="518" t="str">
        <f ca="1">IFERROR(AVERAGE($AH$101:INDIRECT(CONCATENATE("AH"&amp;AC25))),"")</f>
        <v/>
      </c>
      <c r="AE25" s="512"/>
      <c r="AF25" s="512"/>
      <c r="AG25" s="9" t="s">
        <v>93</v>
      </c>
      <c r="AH25" s="9" t="s">
        <v>84</v>
      </c>
      <c r="AI25" s="8" t="s">
        <v>84</v>
      </c>
      <c r="AJ25" s="8" t="s">
        <v>94</v>
      </c>
      <c r="AK25" s="9" t="s">
        <v>95</v>
      </c>
      <c r="AL25" s="9" t="s">
        <v>93</v>
      </c>
      <c r="AM25" s="11" t="s">
        <v>93</v>
      </c>
      <c r="AN25" s="11" t="s">
        <v>93</v>
      </c>
      <c r="AO25" s="6"/>
      <c r="AP25" s="6"/>
      <c r="AQ25" s="24"/>
    </row>
    <row r="26" spans="1:70" s="713" customFormat="1" ht="33.950000000000003" customHeight="1" thickBot="1" x14ac:dyDescent="0.25">
      <c r="A26" s="152">
        <v>15</v>
      </c>
      <c r="B26" s="98"/>
      <c r="C26" s="108"/>
      <c r="D26" s="100"/>
      <c r="E26" s="101"/>
      <c r="F26" s="102"/>
      <c r="G26" s="127" t="str">
        <f t="shared" si="0"/>
        <v/>
      </c>
      <c r="H26" s="310"/>
      <c r="I26" s="859"/>
      <c r="J26" s="860"/>
      <c r="K26" s="103"/>
      <c r="L26" s="104"/>
      <c r="M26" s="130" t="str">
        <f t="shared" si="4"/>
        <v/>
      </c>
      <c r="N26" s="131">
        <f t="shared" si="5"/>
        <v>0</v>
      </c>
      <c r="O26" s="105"/>
      <c r="P26" s="139" t="str">
        <f t="shared" si="1"/>
        <v/>
      </c>
      <c r="Q26" s="140" t="str">
        <f t="shared" si="2"/>
        <v/>
      </c>
      <c r="R26" s="524" t="str">
        <f t="shared" si="3"/>
        <v/>
      </c>
      <c r="S26" s="141" t="str">
        <f t="shared" si="6"/>
        <v/>
      </c>
      <c r="T26" s="141" t="str">
        <f t="shared" si="7"/>
        <v/>
      </c>
      <c r="U26" s="142" t="str">
        <f t="shared" si="8"/>
        <v/>
      </c>
      <c r="V26" s="530" t="str">
        <f ca="1">IF('Extra look-up'!$H20="Work Type","Check Work Type",IF(AND(D26="",F26="",H26="",I26="",L26="",M26=""),"",IF(OR(D26="",F26="",H26="",I26="",L26="",M26="",$L$9&lt;&gt;"OK"),"Check all fields completed correctly",IF(AND(D26="",OR(F26&lt;&gt;"",H26&lt;&gt;"",I26&lt;&gt;"",L26&lt;&gt;"")),"Check all fields completed correctly","OK"))))</f>
        <v/>
      </c>
      <c r="W26" s="500" t="str">
        <f>IF(I26="","",IF(VLOOKUP(I26,'Eligible Technologies'!$D$7:$G$69,4,FALSE)&lt;$F$9,VLOOKUP(I26,'Eligible Technologies'!$D$7:$G$69,4,FALSE),$F$9))</f>
        <v/>
      </c>
      <c r="X26" s="501" t="str">
        <f t="shared" si="13"/>
        <v/>
      </c>
      <c r="Y26" s="501">
        <f t="shared" ca="1" si="10"/>
        <v>0</v>
      </c>
      <c r="Z26" s="501" t="str">
        <f>'Extra look-up'!F20</f>
        <v/>
      </c>
      <c r="AA26" s="501" t="str">
        <f ca="1">'Extra look-up'!H20</f>
        <v>OK</v>
      </c>
      <c r="AB26" s="501">
        <f t="shared" ca="1" si="11"/>
        <v>1</v>
      </c>
      <c r="AC26" s="515" t="e">
        <f t="shared" si="12"/>
        <v>#VALUE!</v>
      </c>
      <c r="AD26" s="518" t="str">
        <f ca="1">IFERROR(AVERAGE($AH$101:INDIRECT(CONCATENATE("AH"&amp;AC26))),"")</f>
        <v/>
      </c>
      <c r="AE26" s="512"/>
      <c r="AF26" s="512"/>
      <c r="AG26" s="9" t="s">
        <v>96</v>
      </c>
      <c r="AH26" s="9" t="s">
        <v>97</v>
      </c>
      <c r="AI26" s="8" t="s">
        <v>97</v>
      </c>
      <c r="AJ26" s="8" t="s">
        <v>92</v>
      </c>
      <c r="AK26" s="9" t="s">
        <v>98</v>
      </c>
      <c r="AL26" s="9" t="s">
        <v>99</v>
      </c>
      <c r="AM26" s="11" t="s">
        <v>99</v>
      </c>
      <c r="AN26" s="11" t="s">
        <v>99</v>
      </c>
      <c r="AO26" s="6"/>
      <c r="AP26" s="6"/>
      <c r="AQ26" s="6"/>
    </row>
    <row r="27" spans="1:70" s="713" customFormat="1" ht="33.950000000000003" hidden="1" customHeight="1" x14ac:dyDescent="0.2">
      <c r="A27" s="152">
        <v>16</v>
      </c>
      <c r="B27" s="98"/>
      <c r="C27" s="108"/>
      <c r="D27" s="100"/>
      <c r="E27" s="101"/>
      <c r="F27" s="102"/>
      <c r="G27" s="127" t="str">
        <f t="shared" si="0"/>
        <v/>
      </c>
      <c r="H27" s="310"/>
      <c r="I27" s="859"/>
      <c r="J27" s="860"/>
      <c r="K27" s="103"/>
      <c r="L27" s="104"/>
      <c r="M27" s="130" t="str">
        <f t="shared" si="4"/>
        <v/>
      </c>
      <c r="N27" s="131">
        <f t="shared" si="5"/>
        <v>0</v>
      </c>
      <c r="O27" s="105"/>
      <c r="P27" s="139" t="str">
        <f t="shared" si="1"/>
        <v/>
      </c>
      <c r="Q27" s="140" t="str">
        <f t="shared" si="2"/>
        <v/>
      </c>
      <c r="R27" s="524" t="str">
        <f t="shared" si="3"/>
        <v/>
      </c>
      <c r="S27" s="141" t="str">
        <f t="shared" si="6"/>
        <v/>
      </c>
      <c r="T27" s="141" t="str">
        <f t="shared" si="7"/>
        <v/>
      </c>
      <c r="U27" s="142" t="str">
        <f t="shared" si="8"/>
        <v/>
      </c>
      <c r="V27" s="530" t="str">
        <f ca="1">IF('Extra look-up'!$H21="Work Type","Check Work Type",IF(AND(D27="",F27="",H27="",I27="",L27="",M27=""),"",IF(OR(D27="",F27="",H27="",I27="",L27="",M27="",$L$9&lt;&gt;"OK"),"Check all fields completed correctly",IF(AND(D27="",OR(F27&lt;&gt;"",H27&lt;&gt;"",I27&lt;&gt;"",L27&lt;&gt;"")),"Check all fields completed correctly","OK"))))</f>
        <v/>
      </c>
      <c r="W27" s="500" t="str">
        <f>IF(I27="","",IF(VLOOKUP(I27,'Eligible Technologies'!$D$7:$G$69,4,FALSE)&lt;$F$9,VLOOKUP(I27,'Eligible Technologies'!$D$7:$G$69,4,FALSE),$F$9))</f>
        <v/>
      </c>
      <c r="X27" s="501" t="str">
        <f t="shared" si="13"/>
        <v/>
      </c>
      <c r="Y27" s="501">
        <f t="shared" ca="1" si="10"/>
        <v>0</v>
      </c>
      <c r="Z27" s="501" t="str">
        <f>'Extra look-up'!F21</f>
        <v/>
      </c>
      <c r="AA27" s="501" t="str">
        <f ca="1">'Extra look-up'!H21</f>
        <v>OK</v>
      </c>
      <c r="AB27" s="501">
        <f t="shared" ca="1" si="11"/>
        <v>1</v>
      </c>
      <c r="AC27" s="515" t="e">
        <f t="shared" si="12"/>
        <v>#VALUE!</v>
      </c>
      <c r="AD27" s="518" t="str">
        <f ca="1">IFERROR(AVERAGE($AH$101:INDIRECT(CONCATENATE("AH"&amp;AC27))),"")</f>
        <v/>
      </c>
      <c r="AE27" s="512"/>
      <c r="AF27" s="512"/>
      <c r="AG27" s="9" t="s">
        <v>100</v>
      </c>
      <c r="AH27" s="10" t="s">
        <v>95</v>
      </c>
      <c r="AI27" s="8" t="s">
        <v>95</v>
      </c>
      <c r="AJ27" s="8" t="s">
        <v>96</v>
      </c>
      <c r="AK27" s="9" t="s">
        <v>99</v>
      </c>
      <c r="AL27" s="9" t="s">
        <v>101</v>
      </c>
      <c r="AM27" s="6" t="s">
        <v>101</v>
      </c>
      <c r="AN27" s="6" t="s">
        <v>101</v>
      </c>
      <c r="AO27" s="6"/>
      <c r="AP27" s="6"/>
      <c r="AQ27" s="6"/>
    </row>
    <row r="28" spans="1:70" s="713" customFormat="1" ht="33.950000000000003" hidden="1" customHeight="1" x14ac:dyDescent="0.2">
      <c r="A28" s="152">
        <v>17</v>
      </c>
      <c r="B28" s="98"/>
      <c r="C28" s="108"/>
      <c r="D28" s="100"/>
      <c r="E28" s="101"/>
      <c r="F28" s="102"/>
      <c r="G28" s="127" t="str">
        <f t="shared" si="0"/>
        <v/>
      </c>
      <c r="H28" s="310"/>
      <c r="I28" s="859"/>
      <c r="J28" s="860"/>
      <c r="K28" s="103"/>
      <c r="L28" s="104"/>
      <c r="M28" s="130" t="str">
        <f t="shared" si="4"/>
        <v/>
      </c>
      <c r="N28" s="131">
        <f t="shared" si="5"/>
        <v>0</v>
      </c>
      <c r="O28" s="105"/>
      <c r="P28" s="139" t="str">
        <f t="shared" si="1"/>
        <v/>
      </c>
      <c r="Q28" s="140" t="str">
        <f t="shared" si="2"/>
        <v/>
      </c>
      <c r="R28" s="524" t="str">
        <f t="shared" si="3"/>
        <v/>
      </c>
      <c r="S28" s="141" t="str">
        <f t="shared" si="6"/>
        <v/>
      </c>
      <c r="T28" s="141" t="str">
        <f t="shared" si="7"/>
        <v/>
      </c>
      <c r="U28" s="142" t="str">
        <f t="shared" si="8"/>
        <v/>
      </c>
      <c r="V28" s="530" t="str">
        <f ca="1">IF('Extra look-up'!$H22="Work Type","Check Work Type",IF(AND(D28="",F28="",H28="",I28="",L28="",M28=""),"",IF(OR(D28="",F28="",H28="",I28="",L28="",M28="",$L$9&lt;&gt;"OK"),"Check all fields completed correctly",IF(AND(D28="",OR(F28&lt;&gt;"",H28&lt;&gt;"",I28&lt;&gt;"",L28&lt;&gt;"")),"Check all fields completed correctly","OK"))))</f>
        <v/>
      </c>
      <c r="W28" s="500" t="str">
        <f>IF(I28="","",IF(VLOOKUP(I28,'Eligible Technologies'!$D$7:$G$69,4,FALSE)&lt;$F$9,VLOOKUP(I28,'Eligible Technologies'!$D$7:$G$69,4,FALSE),$F$9))</f>
        <v/>
      </c>
      <c r="X28" s="501" t="str">
        <f t="shared" si="13"/>
        <v/>
      </c>
      <c r="Y28" s="501">
        <f t="shared" ca="1" si="10"/>
        <v>0</v>
      </c>
      <c r="Z28" s="501" t="str">
        <f>'Extra look-up'!F22</f>
        <v/>
      </c>
      <c r="AA28" s="501" t="str">
        <f ca="1">'Extra look-up'!H22</f>
        <v>OK</v>
      </c>
      <c r="AB28" s="501">
        <f t="shared" ca="1" si="11"/>
        <v>1</v>
      </c>
      <c r="AC28" s="515" t="e">
        <f t="shared" si="12"/>
        <v>#VALUE!</v>
      </c>
      <c r="AD28" s="518" t="str">
        <f ca="1">IFERROR(AVERAGE($AH$101:INDIRECT(CONCATENATE("AH"&amp;AC28))),"")</f>
        <v/>
      </c>
      <c r="AE28" s="512"/>
      <c r="AF28" s="512"/>
      <c r="AG28" s="10" t="s">
        <v>102</v>
      </c>
      <c r="AH28" s="12" t="s">
        <v>103</v>
      </c>
      <c r="AI28" s="10" t="s">
        <v>103</v>
      </c>
      <c r="AJ28" s="10" t="s">
        <v>101</v>
      </c>
      <c r="AK28" s="10" t="s">
        <v>100</v>
      </c>
      <c r="AL28" s="10" t="s">
        <v>100</v>
      </c>
      <c r="AM28" s="6" t="s">
        <v>100</v>
      </c>
      <c r="AN28" s="6" t="s">
        <v>100</v>
      </c>
      <c r="AO28" s="11"/>
      <c r="AP28" s="6"/>
      <c r="AQ28" s="6"/>
    </row>
    <row r="29" spans="1:70" s="713" customFormat="1" ht="33.950000000000003" hidden="1" customHeight="1" x14ac:dyDescent="0.2">
      <c r="A29" s="152">
        <v>18</v>
      </c>
      <c r="B29" s="98"/>
      <c r="C29" s="108"/>
      <c r="D29" s="100"/>
      <c r="E29" s="101"/>
      <c r="F29" s="102"/>
      <c r="G29" s="127" t="str">
        <f t="shared" si="0"/>
        <v/>
      </c>
      <c r="H29" s="310"/>
      <c r="I29" s="859"/>
      <c r="J29" s="860"/>
      <c r="K29" s="103"/>
      <c r="L29" s="104"/>
      <c r="M29" s="130" t="str">
        <f t="shared" si="4"/>
        <v/>
      </c>
      <c r="N29" s="131">
        <f t="shared" si="5"/>
        <v>0</v>
      </c>
      <c r="O29" s="105"/>
      <c r="P29" s="139" t="str">
        <f t="shared" si="1"/>
        <v/>
      </c>
      <c r="Q29" s="140" t="str">
        <f t="shared" si="2"/>
        <v/>
      </c>
      <c r="R29" s="524" t="str">
        <f t="shared" si="3"/>
        <v/>
      </c>
      <c r="S29" s="141" t="str">
        <f t="shared" si="6"/>
        <v/>
      </c>
      <c r="T29" s="141" t="str">
        <f t="shared" si="7"/>
        <v/>
      </c>
      <c r="U29" s="142" t="str">
        <f t="shared" si="8"/>
        <v/>
      </c>
      <c r="V29" s="530" t="str">
        <f ca="1">IF('Extra look-up'!$H23="Work Type","Check Work Type",IF(AND(D29="",F29="",H29="",I29="",L29="",M29=""),"",IF(OR(D29="",F29="",H29="",I29="",L29="",M29="",$L$9&lt;&gt;"OK"),"Check all fields completed correctly",IF(AND(D29="",OR(F29&lt;&gt;"",H29&lt;&gt;"",I29&lt;&gt;"",L29&lt;&gt;"")),"Check all fields completed correctly","OK"))))</f>
        <v/>
      </c>
      <c r="W29" s="500" t="str">
        <f>IF(I29="","",IF(VLOOKUP(I29,'Eligible Technologies'!$D$7:$G$69,4,FALSE)&lt;$F$9,VLOOKUP(I29,'Eligible Technologies'!$D$7:$G$69,4,FALSE),$F$9))</f>
        <v/>
      </c>
      <c r="X29" s="501" t="str">
        <f t="shared" si="13"/>
        <v/>
      </c>
      <c r="Y29" s="501">
        <f t="shared" ca="1" si="10"/>
        <v>0</v>
      </c>
      <c r="Z29" s="501" t="str">
        <f>'Extra look-up'!F23</f>
        <v/>
      </c>
      <c r="AA29" s="501" t="str">
        <f ca="1">'Extra look-up'!H23</f>
        <v>OK</v>
      </c>
      <c r="AB29" s="501">
        <f t="shared" ca="1" si="11"/>
        <v>1</v>
      </c>
      <c r="AC29" s="515" t="e">
        <f t="shared" si="12"/>
        <v>#VALUE!</v>
      </c>
      <c r="AD29" s="518" t="str">
        <f ca="1">IFERROR(AVERAGE($AH$101:INDIRECT(CONCATENATE("AH"&amp;AC29))),"")</f>
        <v/>
      </c>
      <c r="AE29" s="512"/>
      <c r="AF29" s="512"/>
      <c r="AG29" s="12" t="s">
        <v>104</v>
      </c>
      <c r="AH29" s="10" t="s">
        <v>93</v>
      </c>
      <c r="AI29" s="12" t="s">
        <v>93</v>
      </c>
      <c r="AJ29" s="12" t="s">
        <v>105</v>
      </c>
      <c r="AK29" s="12" t="s">
        <v>106</v>
      </c>
      <c r="AL29" s="12" t="s">
        <v>106</v>
      </c>
      <c r="AM29" s="6" t="s">
        <v>107</v>
      </c>
      <c r="AN29" s="6" t="s">
        <v>107</v>
      </c>
      <c r="AO29" s="11"/>
      <c r="AP29" s="11"/>
      <c r="AQ29" s="23"/>
      <c r="AR29" s="703"/>
      <c r="AS29" s="703"/>
      <c r="AT29" s="703"/>
      <c r="AU29" s="703"/>
      <c r="AV29" s="703"/>
      <c r="AW29" s="703"/>
      <c r="AX29" s="703"/>
      <c r="AY29" s="703"/>
      <c r="AZ29" s="703"/>
      <c r="BA29" s="703"/>
      <c r="BB29" s="703"/>
      <c r="BC29" s="703"/>
      <c r="BD29" s="703"/>
      <c r="BE29" s="703"/>
      <c r="BF29" s="703"/>
      <c r="BG29" s="703"/>
      <c r="BH29" s="703"/>
      <c r="BI29" s="703"/>
      <c r="BJ29" s="703"/>
      <c r="BK29" s="703"/>
      <c r="BL29" s="703"/>
      <c r="BM29" s="703"/>
      <c r="BN29" s="703"/>
      <c r="BO29" s="703"/>
      <c r="BP29" s="703"/>
      <c r="BQ29" s="703"/>
      <c r="BR29" s="703"/>
    </row>
    <row r="30" spans="1:70" s="713" customFormat="1" ht="33.950000000000003" hidden="1" customHeight="1" x14ac:dyDescent="0.2">
      <c r="A30" s="152">
        <v>19</v>
      </c>
      <c r="B30" s="98"/>
      <c r="C30" s="108"/>
      <c r="D30" s="100"/>
      <c r="E30" s="101"/>
      <c r="F30" s="102"/>
      <c r="G30" s="127" t="str">
        <f t="shared" si="0"/>
        <v/>
      </c>
      <c r="H30" s="310"/>
      <c r="I30" s="859"/>
      <c r="J30" s="860"/>
      <c r="K30" s="103"/>
      <c r="L30" s="104"/>
      <c r="M30" s="130" t="str">
        <f t="shared" si="4"/>
        <v/>
      </c>
      <c r="N30" s="131">
        <f t="shared" si="5"/>
        <v>0</v>
      </c>
      <c r="O30" s="105"/>
      <c r="P30" s="139" t="str">
        <f t="shared" si="1"/>
        <v/>
      </c>
      <c r="Q30" s="140" t="str">
        <f t="shared" si="2"/>
        <v/>
      </c>
      <c r="R30" s="524" t="str">
        <f t="shared" si="3"/>
        <v/>
      </c>
      <c r="S30" s="141" t="str">
        <f t="shared" si="6"/>
        <v/>
      </c>
      <c r="T30" s="141" t="str">
        <f t="shared" si="7"/>
        <v/>
      </c>
      <c r="U30" s="142" t="str">
        <f t="shared" si="8"/>
        <v/>
      </c>
      <c r="V30" s="530" t="str">
        <f ca="1">IF('Extra look-up'!$H24="Work Type","Check Work Type",IF(AND(D30="",F30="",H30="",I30="",L30="",M30=""),"",IF(OR(D30="",F30="",H30="",I30="",L30="",M30="",$L$9&lt;&gt;"OK"),"Check all fields completed correctly",IF(AND(D30="",OR(F30&lt;&gt;"",H30&lt;&gt;"",I30&lt;&gt;"",L30&lt;&gt;"")),"Check all fields completed correctly","OK"))))</f>
        <v/>
      </c>
      <c r="W30" s="500" t="str">
        <f>IF(I30="","",IF(VLOOKUP(I30,'Eligible Technologies'!$D$7:$G$69,4,FALSE)&lt;$F$9,VLOOKUP(I30,'Eligible Technologies'!$D$7:$G$69,4,FALSE),$F$9))</f>
        <v/>
      </c>
      <c r="X30" s="501" t="str">
        <f t="shared" si="13"/>
        <v/>
      </c>
      <c r="Y30" s="501">
        <f t="shared" ca="1" si="10"/>
        <v>0</v>
      </c>
      <c r="Z30" s="501" t="str">
        <f>'Extra look-up'!F24</f>
        <v/>
      </c>
      <c r="AA30" s="501" t="str">
        <f ca="1">'Extra look-up'!H24</f>
        <v>OK</v>
      </c>
      <c r="AB30" s="501">
        <f t="shared" ca="1" si="11"/>
        <v>1</v>
      </c>
      <c r="AC30" s="515" t="e">
        <f t="shared" si="12"/>
        <v>#VALUE!</v>
      </c>
      <c r="AD30" s="518" t="str">
        <f ca="1">IFERROR(AVERAGE($AH$101:INDIRECT(CONCATENATE("AH"&amp;AC30))),"")</f>
        <v/>
      </c>
      <c r="AE30" s="512"/>
      <c r="AF30" s="512"/>
      <c r="AG30" s="10" t="s">
        <v>106</v>
      </c>
      <c r="AH30" s="10" t="s">
        <v>96</v>
      </c>
      <c r="AI30" s="10" t="s">
        <v>96</v>
      </c>
      <c r="AJ30" s="10" t="s">
        <v>108</v>
      </c>
      <c r="AK30" s="10"/>
      <c r="AL30" s="10" t="s">
        <v>109</v>
      </c>
      <c r="AM30" s="11" t="s">
        <v>110</v>
      </c>
      <c r="AN30" s="11" t="s">
        <v>110</v>
      </c>
      <c r="AO30" s="11"/>
      <c r="AP30" s="11"/>
      <c r="AQ30" s="23"/>
      <c r="AR30" s="703"/>
      <c r="AS30" s="703"/>
      <c r="AT30" s="703"/>
      <c r="AU30" s="703"/>
      <c r="AV30" s="703"/>
      <c r="AW30" s="703"/>
      <c r="AX30" s="703"/>
      <c r="AY30" s="703"/>
      <c r="AZ30" s="703"/>
      <c r="BA30" s="703"/>
      <c r="BB30" s="703"/>
      <c r="BC30" s="703"/>
      <c r="BD30" s="703"/>
      <c r="BE30" s="703"/>
      <c r="BF30" s="703"/>
      <c r="BG30" s="703"/>
      <c r="BH30" s="703"/>
      <c r="BI30" s="703"/>
      <c r="BJ30" s="703"/>
      <c r="BK30" s="703"/>
      <c r="BL30" s="703"/>
      <c r="BM30" s="703"/>
      <c r="BN30" s="703"/>
      <c r="BO30" s="703"/>
      <c r="BP30" s="703"/>
      <c r="BQ30" s="703"/>
      <c r="BR30" s="703"/>
    </row>
    <row r="31" spans="1:70" s="713" customFormat="1" ht="33.950000000000003" hidden="1" customHeight="1" x14ac:dyDescent="0.2">
      <c r="A31" s="152">
        <v>20</v>
      </c>
      <c r="B31" s="98"/>
      <c r="C31" s="108"/>
      <c r="D31" s="100"/>
      <c r="E31" s="101"/>
      <c r="F31" s="102"/>
      <c r="G31" s="127" t="str">
        <f t="shared" si="0"/>
        <v/>
      </c>
      <c r="H31" s="310"/>
      <c r="I31" s="859"/>
      <c r="J31" s="860"/>
      <c r="K31" s="103"/>
      <c r="L31" s="104"/>
      <c r="M31" s="130" t="str">
        <f t="shared" si="4"/>
        <v/>
      </c>
      <c r="N31" s="131">
        <f t="shared" si="5"/>
        <v>0</v>
      </c>
      <c r="O31" s="105"/>
      <c r="P31" s="139" t="str">
        <f t="shared" si="1"/>
        <v/>
      </c>
      <c r="Q31" s="140" t="str">
        <f t="shared" si="2"/>
        <v/>
      </c>
      <c r="R31" s="524" t="str">
        <f t="shared" si="3"/>
        <v/>
      </c>
      <c r="S31" s="141" t="str">
        <f t="shared" si="6"/>
        <v/>
      </c>
      <c r="T31" s="141" t="str">
        <f t="shared" si="7"/>
        <v/>
      </c>
      <c r="U31" s="142" t="str">
        <f t="shared" si="8"/>
        <v/>
      </c>
      <c r="V31" s="530" t="str">
        <f ca="1">IF('Extra look-up'!$H25="Work Type","Check Work Type",IF(AND(D31="",F31="",H31="",I31="",L31="",M31=""),"",IF(OR(D31="",F31="",H31="",I31="",L31="",M31="",$L$9&lt;&gt;"OK"),"Check all fields completed correctly",IF(AND(D31="",OR(F31&lt;&gt;"",H31&lt;&gt;"",I31&lt;&gt;"",L31&lt;&gt;"")),"Check all fields completed correctly","OK"))))</f>
        <v/>
      </c>
      <c r="W31" s="500" t="str">
        <f>IF(I31="","",IF(VLOOKUP(I31,'Eligible Technologies'!$D$7:$G$69,4,FALSE)&lt;$F$9,VLOOKUP(I31,'Eligible Technologies'!$D$7:$G$69,4,FALSE),$F$9))</f>
        <v/>
      </c>
      <c r="X31" s="501" t="str">
        <f t="shared" si="13"/>
        <v/>
      </c>
      <c r="Y31" s="501">
        <f t="shared" ca="1" si="10"/>
        <v>0</v>
      </c>
      <c r="Z31" s="501" t="str">
        <f>'Extra look-up'!F25</f>
        <v/>
      </c>
      <c r="AA31" s="501" t="str">
        <f ca="1">'Extra look-up'!H25</f>
        <v>OK</v>
      </c>
      <c r="AB31" s="501">
        <f t="shared" ca="1" si="11"/>
        <v>1</v>
      </c>
      <c r="AC31" s="515" t="e">
        <f t="shared" si="12"/>
        <v>#VALUE!</v>
      </c>
      <c r="AD31" s="518" t="str">
        <f ca="1">IFERROR(AVERAGE($AH$101:INDIRECT(CONCATENATE("AH"&amp;AC31))),"")</f>
        <v/>
      </c>
      <c r="AE31" s="512"/>
      <c r="AF31" s="512"/>
      <c r="AG31" s="10"/>
      <c r="AH31" s="10" t="s">
        <v>101</v>
      </c>
      <c r="AI31" s="10" t="s">
        <v>101</v>
      </c>
      <c r="AJ31" s="10" t="s">
        <v>111</v>
      </c>
      <c r="AK31" s="10"/>
      <c r="AL31" s="10"/>
      <c r="AM31" s="11"/>
      <c r="AN31" s="6"/>
      <c r="AO31" s="11"/>
      <c r="AP31" s="11"/>
      <c r="AQ31" s="23"/>
      <c r="AR31" s="703"/>
      <c r="AS31" s="703"/>
      <c r="AT31" s="703"/>
      <c r="AU31" s="703"/>
      <c r="AV31" s="703"/>
      <c r="AW31" s="703"/>
      <c r="AX31" s="703"/>
      <c r="AY31" s="703"/>
      <c r="AZ31" s="703"/>
      <c r="BA31" s="703"/>
      <c r="BB31" s="703"/>
      <c r="BC31" s="703"/>
      <c r="BD31" s="703"/>
      <c r="BE31" s="703"/>
      <c r="BF31" s="703"/>
      <c r="BG31" s="703"/>
      <c r="BH31" s="703"/>
      <c r="BI31" s="703"/>
      <c r="BJ31" s="703"/>
      <c r="BK31" s="703"/>
      <c r="BL31" s="703"/>
      <c r="BM31" s="703"/>
      <c r="BN31" s="703"/>
      <c r="BO31" s="703"/>
      <c r="BP31" s="703"/>
      <c r="BQ31" s="703"/>
      <c r="BR31" s="703"/>
    </row>
    <row r="32" spans="1:70" s="713" customFormat="1" ht="33.950000000000003" hidden="1" customHeight="1" x14ac:dyDescent="0.2">
      <c r="A32" s="152">
        <v>21</v>
      </c>
      <c r="B32" s="98"/>
      <c r="C32" s="108"/>
      <c r="D32" s="100"/>
      <c r="E32" s="101"/>
      <c r="F32" s="102"/>
      <c r="G32" s="127" t="str">
        <f t="shared" si="0"/>
        <v/>
      </c>
      <c r="H32" s="310"/>
      <c r="I32" s="859"/>
      <c r="J32" s="860"/>
      <c r="K32" s="103"/>
      <c r="L32" s="104"/>
      <c r="M32" s="130" t="str">
        <f t="shared" si="4"/>
        <v/>
      </c>
      <c r="N32" s="131">
        <f t="shared" si="5"/>
        <v>0</v>
      </c>
      <c r="O32" s="105"/>
      <c r="P32" s="139" t="str">
        <f t="shared" si="1"/>
        <v/>
      </c>
      <c r="Q32" s="140" t="str">
        <f t="shared" si="2"/>
        <v/>
      </c>
      <c r="R32" s="524" t="str">
        <f t="shared" si="3"/>
        <v/>
      </c>
      <c r="S32" s="141" t="str">
        <f t="shared" si="6"/>
        <v/>
      </c>
      <c r="T32" s="141" t="str">
        <f t="shared" si="7"/>
        <v/>
      </c>
      <c r="U32" s="142" t="str">
        <f t="shared" si="8"/>
        <v/>
      </c>
      <c r="V32" s="530" t="str">
        <f ca="1">IF('Extra look-up'!$H26="Work Type","Check Work Type",IF(AND(D32="",F32="",H32="",I32="",L32="",M32=""),"",IF(OR(D32="",F32="",H32="",I32="",L32="",M32="",$L$9&lt;&gt;"OK"),"Check all fields completed correctly",IF(AND(D32="",OR(F32&lt;&gt;"",H32&lt;&gt;"",I32&lt;&gt;"",L32&lt;&gt;"")),"Check all fields completed correctly","OK"))))</f>
        <v/>
      </c>
      <c r="W32" s="500" t="str">
        <f>IF(I32="","",IF(VLOOKUP(I32,'Eligible Technologies'!$D$7:$G$69,4,FALSE)&lt;$F$9,VLOOKUP(I32,'Eligible Technologies'!$D$7:$G$69,4,FALSE),$F$9))</f>
        <v/>
      </c>
      <c r="X32" s="501" t="str">
        <f t="shared" si="13"/>
        <v/>
      </c>
      <c r="Y32" s="501">
        <f t="shared" ca="1" si="10"/>
        <v>0</v>
      </c>
      <c r="Z32" s="501" t="str">
        <f>'Extra look-up'!F26</f>
        <v/>
      </c>
      <c r="AA32" s="501" t="str">
        <f ca="1">'Extra look-up'!H26</f>
        <v>OK</v>
      </c>
      <c r="AB32" s="501">
        <f t="shared" ca="1" si="11"/>
        <v>1</v>
      </c>
      <c r="AC32" s="515" t="e">
        <f t="shared" si="12"/>
        <v>#VALUE!</v>
      </c>
      <c r="AD32" s="518" t="str">
        <f ca="1">IFERROR(AVERAGE($AH$101:INDIRECT(CONCATENATE("AH"&amp;AC32))),"")</f>
        <v/>
      </c>
      <c r="AE32" s="512"/>
      <c r="AF32" s="512"/>
      <c r="AG32" s="10"/>
      <c r="AH32" s="12" t="s">
        <v>100</v>
      </c>
      <c r="AI32" s="10" t="s">
        <v>100</v>
      </c>
      <c r="AJ32" s="10" t="s">
        <v>112</v>
      </c>
      <c r="AK32" s="10"/>
      <c r="AL32" s="10"/>
      <c r="AM32" s="11"/>
      <c r="AN32" s="6"/>
      <c r="AO32" s="11"/>
      <c r="AP32" s="11"/>
      <c r="AQ32" s="23"/>
      <c r="AR32" s="703"/>
      <c r="AS32" s="703"/>
      <c r="AT32" s="703"/>
      <c r="AU32" s="703"/>
      <c r="AV32" s="703"/>
      <c r="AW32" s="703"/>
      <c r="AX32" s="703"/>
      <c r="AY32" s="703"/>
      <c r="AZ32" s="703"/>
      <c r="BA32" s="703"/>
      <c r="BB32" s="703"/>
      <c r="BC32" s="703"/>
      <c r="BD32" s="703"/>
      <c r="BE32" s="703"/>
      <c r="BF32" s="703"/>
      <c r="BG32" s="703"/>
      <c r="BH32" s="703"/>
      <c r="BI32" s="703"/>
      <c r="BJ32" s="703"/>
      <c r="BK32" s="703"/>
      <c r="BL32" s="703"/>
      <c r="BM32" s="703"/>
      <c r="BN32" s="703"/>
      <c r="BO32" s="703"/>
      <c r="BP32" s="703"/>
      <c r="BQ32" s="703"/>
      <c r="BR32" s="703"/>
    </row>
    <row r="33" spans="1:70" s="713" customFormat="1" ht="33.950000000000003" hidden="1" customHeight="1" x14ac:dyDescent="0.2">
      <c r="A33" s="152">
        <v>22</v>
      </c>
      <c r="B33" s="98"/>
      <c r="C33" s="108"/>
      <c r="D33" s="100"/>
      <c r="E33" s="101"/>
      <c r="F33" s="102"/>
      <c r="G33" s="127" t="str">
        <f t="shared" si="0"/>
        <v/>
      </c>
      <c r="H33" s="310"/>
      <c r="I33" s="859"/>
      <c r="J33" s="860"/>
      <c r="K33" s="103"/>
      <c r="L33" s="104"/>
      <c r="M33" s="130" t="str">
        <f t="shared" si="4"/>
        <v/>
      </c>
      <c r="N33" s="131">
        <f t="shared" si="5"/>
        <v>0</v>
      </c>
      <c r="O33" s="105"/>
      <c r="P33" s="139" t="str">
        <f t="shared" si="1"/>
        <v/>
      </c>
      <c r="Q33" s="140" t="str">
        <f t="shared" si="2"/>
        <v/>
      </c>
      <c r="R33" s="524" t="str">
        <f t="shared" si="3"/>
        <v/>
      </c>
      <c r="S33" s="141" t="str">
        <f t="shared" si="6"/>
        <v/>
      </c>
      <c r="T33" s="141" t="str">
        <f t="shared" si="7"/>
        <v/>
      </c>
      <c r="U33" s="142" t="str">
        <f t="shared" si="8"/>
        <v/>
      </c>
      <c r="V33" s="530" t="str">
        <f ca="1">IF('Extra look-up'!$H27="Work Type","Check Work Type",IF(AND(D33="",F33="",H33="",I33="",L33="",M33=""),"",IF(OR(D33="",F33="",H33="",I33="",L33="",M33="",$L$9&lt;&gt;"OK"),"Check all fields completed correctly",IF(AND(D33="",OR(F33&lt;&gt;"",H33&lt;&gt;"",I33&lt;&gt;"",L33&lt;&gt;"")),"Check all fields completed correctly","OK"))))</f>
        <v/>
      </c>
      <c r="W33" s="500" t="str">
        <f>IF(I33="","",IF(VLOOKUP(I33,'Eligible Technologies'!$D$7:$G$69,4,FALSE)&lt;$F$9,VLOOKUP(I33,'Eligible Technologies'!$D$7:$G$69,4,FALSE),$F$9))</f>
        <v/>
      </c>
      <c r="X33" s="501" t="str">
        <f t="shared" si="13"/>
        <v/>
      </c>
      <c r="Y33" s="501">
        <f t="shared" ca="1" si="10"/>
        <v>0</v>
      </c>
      <c r="Z33" s="501" t="str">
        <f>'Extra look-up'!F27</f>
        <v/>
      </c>
      <c r="AA33" s="501" t="str">
        <f ca="1">'Extra look-up'!H27</f>
        <v>OK</v>
      </c>
      <c r="AB33" s="501">
        <f t="shared" ca="1" si="11"/>
        <v>1</v>
      </c>
      <c r="AC33" s="515" t="e">
        <f t="shared" si="12"/>
        <v>#VALUE!</v>
      </c>
      <c r="AD33" s="518" t="str">
        <f ca="1">IFERROR(AVERAGE($AH$101:INDIRECT(CONCATENATE("AH"&amp;AC33))),"")</f>
        <v/>
      </c>
      <c r="AE33" s="512"/>
      <c r="AF33" s="512"/>
      <c r="AG33" s="12"/>
      <c r="AH33" s="12" t="s">
        <v>108</v>
      </c>
      <c r="AI33" s="12" t="s">
        <v>108</v>
      </c>
      <c r="AJ33" s="12" t="s">
        <v>113</v>
      </c>
      <c r="AK33" s="12"/>
      <c r="AL33" s="12"/>
      <c r="AM33" s="11"/>
      <c r="AN33" s="11"/>
      <c r="AO33" s="11"/>
      <c r="AP33" s="11"/>
      <c r="AQ33" s="23"/>
      <c r="AR33" s="703"/>
      <c r="AS33" s="703"/>
      <c r="AT33" s="703"/>
      <c r="AU33" s="703"/>
      <c r="AV33" s="703"/>
      <c r="AW33" s="703"/>
      <c r="AX33" s="703"/>
      <c r="AY33" s="703"/>
      <c r="AZ33" s="703"/>
      <c r="BA33" s="703"/>
      <c r="BB33" s="703"/>
      <c r="BC33" s="703"/>
      <c r="BD33" s="703"/>
      <c r="BE33" s="703"/>
      <c r="BF33" s="703"/>
      <c r="BG33" s="703"/>
      <c r="BH33" s="703"/>
      <c r="BI33" s="703"/>
      <c r="BJ33" s="703"/>
      <c r="BK33" s="703"/>
      <c r="BL33" s="703"/>
      <c r="BM33" s="703"/>
      <c r="BN33" s="703"/>
      <c r="BO33" s="703"/>
      <c r="BP33" s="703"/>
      <c r="BQ33" s="703"/>
      <c r="BR33" s="703"/>
    </row>
    <row r="34" spans="1:70" s="713" customFormat="1" ht="33.950000000000003" hidden="1" customHeight="1" x14ac:dyDescent="0.2">
      <c r="A34" s="152">
        <v>23</v>
      </c>
      <c r="B34" s="98"/>
      <c r="C34" s="108"/>
      <c r="D34" s="100"/>
      <c r="E34" s="101"/>
      <c r="F34" s="102"/>
      <c r="G34" s="127" t="str">
        <f t="shared" si="0"/>
        <v/>
      </c>
      <c r="H34" s="310"/>
      <c r="I34" s="859"/>
      <c r="J34" s="860"/>
      <c r="K34" s="103"/>
      <c r="L34" s="104"/>
      <c r="M34" s="130" t="str">
        <f t="shared" si="4"/>
        <v/>
      </c>
      <c r="N34" s="131">
        <f t="shared" si="5"/>
        <v>0</v>
      </c>
      <c r="O34" s="105"/>
      <c r="P34" s="139" t="str">
        <f t="shared" si="1"/>
        <v/>
      </c>
      <c r="Q34" s="140" t="str">
        <f t="shared" si="2"/>
        <v/>
      </c>
      <c r="R34" s="524" t="str">
        <f t="shared" si="3"/>
        <v/>
      </c>
      <c r="S34" s="141" t="str">
        <f t="shared" si="6"/>
        <v/>
      </c>
      <c r="T34" s="141" t="str">
        <f t="shared" si="7"/>
        <v/>
      </c>
      <c r="U34" s="142" t="str">
        <f t="shared" si="8"/>
        <v/>
      </c>
      <c r="V34" s="530" t="str">
        <f ca="1">IF('Extra look-up'!$H28="Work Type","Check Work Type",IF(AND(D34="",F34="",H34="",I34="",L34="",M34=""),"",IF(OR(D34="",F34="",H34="",I34="",L34="",M34="",$L$9&lt;&gt;"OK"),"Check all fields completed correctly",IF(AND(D34="",OR(F34&lt;&gt;"",H34&lt;&gt;"",I34&lt;&gt;"",L34&lt;&gt;"")),"Check all fields completed correctly","OK"))))</f>
        <v/>
      </c>
      <c r="W34" s="500" t="str">
        <f>IF(I34="","",IF(VLOOKUP(I34,'Eligible Technologies'!$D$7:$G$69,4,FALSE)&lt;$F$9,VLOOKUP(I34,'Eligible Technologies'!$D$7:$G$69,4,FALSE),$F$9))</f>
        <v/>
      </c>
      <c r="X34" s="501" t="str">
        <f t="shared" si="13"/>
        <v/>
      </c>
      <c r="Y34" s="501">
        <f t="shared" ca="1" si="10"/>
        <v>0</v>
      </c>
      <c r="Z34" s="501" t="str">
        <f>'Extra look-up'!F28</f>
        <v/>
      </c>
      <c r="AA34" s="501" t="str">
        <f ca="1">'Extra look-up'!H28</f>
        <v>OK</v>
      </c>
      <c r="AB34" s="501">
        <f t="shared" ca="1" si="11"/>
        <v>1</v>
      </c>
      <c r="AC34" s="515" t="e">
        <f t="shared" si="12"/>
        <v>#VALUE!</v>
      </c>
      <c r="AD34" s="518" t="str">
        <f ca="1">IFERROR(AVERAGE($AH$101:INDIRECT(CONCATENATE("AH"&amp;AC34))),"")</f>
        <v/>
      </c>
      <c r="AE34" s="512"/>
      <c r="AF34" s="512"/>
      <c r="AG34" s="12"/>
      <c r="AH34" s="12" t="s">
        <v>104</v>
      </c>
      <c r="AI34" s="12" t="s">
        <v>104</v>
      </c>
      <c r="AJ34" s="12"/>
      <c r="AK34" s="12"/>
      <c r="AL34" s="12"/>
      <c r="AM34" s="11"/>
      <c r="AN34" s="11"/>
      <c r="AO34" s="11"/>
      <c r="AP34" s="11"/>
      <c r="AQ34" s="23"/>
      <c r="AR34" s="703"/>
      <c r="AS34" s="703"/>
      <c r="AT34" s="703"/>
      <c r="AU34" s="703"/>
      <c r="AV34" s="703"/>
      <c r="AW34" s="703"/>
      <c r="AX34" s="703"/>
      <c r="AY34" s="703"/>
      <c r="AZ34" s="703"/>
      <c r="BA34" s="703"/>
      <c r="BB34" s="703"/>
      <c r="BC34" s="703"/>
      <c r="BD34" s="703"/>
      <c r="BE34" s="703"/>
      <c r="BF34" s="703"/>
      <c r="BG34" s="703"/>
      <c r="BH34" s="703"/>
      <c r="BI34" s="703"/>
      <c r="BJ34" s="703"/>
      <c r="BK34" s="703"/>
      <c r="BL34" s="703"/>
      <c r="BM34" s="703"/>
      <c r="BN34" s="703"/>
      <c r="BO34" s="703"/>
      <c r="BP34" s="703"/>
      <c r="BQ34" s="703"/>
      <c r="BR34" s="703"/>
    </row>
    <row r="35" spans="1:70" s="713" customFormat="1" ht="33.950000000000003" hidden="1" customHeight="1" x14ac:dyDescent="0.2">
      <c r="A35" s="152">
        <v>24</v>
      </c>
      <c r="B35" s="98"/>
      <c r="C35" s="108"/>
      <c r="D35" s="100"/>
      <c r="E35" s="101"/>
      <c r="F35" s="102"/>
      <c r="G35" s="127" t="str">
        <f t="shared" si="0"/>
        <v/>
      </c>
      <c r="H35" s="310"/>
      <c r="I35" s="859"/>
      <c r="J35" s="860"/>
      <c r="K35" s="103"/>
      <c r="L35" s="104"/>
      <c r="M35" s="130" t="str">
        <f t="shared" si="4"/>
        <v/>
      </c>
      <c r="N35" s="131">
        <f t="shared" si="5"/>
        <v>0</v>
      </c>
      <c r="O35" s="105"/>
      <c r="P35" s="139" t="str">
        <f t="shared" si="1"/>
        <v/>
      </c>
      <c r="Q35" s="140" t="str">
        <f t="shared" si="2"/>
        <v/>
      </c>
      <c r="R35" s="524" t="str">
        <f t="shared" si="3"/>
        <v/>
      </c>
      <c r="S35" s="141" t="str">
        <f t="shared" si="6"/>
        <v/>
      </c>
      <c r="T35" s="141" t="str">
        <f t="shared" si="7"/>
        <v/>
      </c>
      <c r="U35" s="142" t="str">
        <f t="shared" si="8"/>
        <v/>
      </c>
      <c r="V35" s="530" t="str">
        <f ca="1">IF('Extra look-up'!$H29="Work Type","Check Work Type",IF(AND(D35="",F35="",H35="",I35="",L35="",M35=""),"",IF(OR(D35="",F35="",H35="",I35="",L35="",M35="",$L$9&lt;&gt;"OK"),"Check all fields completed correctly",IF(AND(D35="",OR(F35&lt;&gt;"",H35&lt;&gt;"",I35&lt;&gt;"",L35&lt;&gt;"")),"Check all fields completed correctly","OK"))))</f>
        <v/>
      </c>
      <c r="W35" s="500" t="str">
        <f>IF(I35="","",IF(VLOOKUP(I35,'Eligible Technologies'!$D$7:$G$69,4,FALSE)&lt;$F$9,VLOOKUP(I35,'Eligible Technologies'!$D$7:$G$69,4,FALSE),$F$9))</f>
        <v/>
      </c>
      <c r="X35" s="501" t="str">
        <f t="shared" si="13"/>
        <v/>
      </c>
      <c r="Y35" s="501">
        <f t="shared" ca="1" si="10"/>
        <v>0</v>
      </c>
      <c r="Z35" s="501" t="str">
        <f>'Extra look-up'!F29</f>
        <v/>
      </c>
      <c r="AA35" s="501" t="str">
        <f ca="1">'Extra look-up'!H29</f>
        <v>OK</v>
      </c>
      <c r="AB35" s="501">
        <f t="shared" ca="1" si="11"/>
        <v>1</v>
      </c>
      <c r="AC35" s="515" t="e">
        <f t="shared" si="12"/>
        <v>#VALUE!</v>
      </c>
      <c r="AD35" s="518" t="str">
        <f ca="1">IFERROR(AVERAGE($AH$101:INDIRECT(CONCATENATE("AH"&amp;AC35))),"")</f>
        <v/>
      </c>
      <c r="AE35" s="512"/>
      <c r="AF35" s="512"/>
      <c r="AG35" s="12"/>
      <c r="AH35" s="12" t="s">
        <v>106</v>
      </c>
      <c r="AI35" s="12" t="s">
        <v>106</v>
      </c>
      <c r="AJ35" s="12"/>
      <c r="AK35" s="12"/>
      <c r="AL35" s="12"/>
      <c r="AM35" s="11"/>
      <c r="AN35" s="11"/>
      <c r="AO35" s="11"/>
      <c r="AP35" s="11"/>
      <c r="AQ35" s="23"/>
      <c r="AR35" s="703"/>
      <c r="AS35" s="703"/>
      <c r="AT35" s="703"/>
      <c r="AU35" s="703"/>
      <c r="AV35" s="703"/>
      <c r="AW35" s="703"/>
      <c r="AX35" s="703"/>
      <c r="AY35" s="703"/>
      <c r="AZ35" s="703"/>
      <c r="BA35" s="703"/>
      <c r="BB35" s="703"/>
      <c r="BC35" s="703"/>
      <c r="BD35" s="703"/>
      <c r="BE35" s="703"/>
      <c r="BF35" s="703"/>
      <c r="BG35" s="703"/>
      <c r="BH35" s="703"/>
      <c r="BI35" s="703"/>
      <c r="BJ35" s="703"/>
      <c r="BK35" s="703"/>
      <c r="BL35" s="703"/>
      <c r="BM35" s="703"/>
      <c r="BN35" s="703"/>
      <c r="BO35" s="703"/>
      <c r="BP35" s="703"/>
      <c r="BQ35" s="703"/>
      <c r="BR35" s="703"/>
    </row>
    <row r="36" spans="1:70" s="713" customFormat="1" ht="33.950000000000003" hidden="1" customHeight="1" x14ac:dyDescent="0.2">
      <c r="A36" s="152">
        <v>25</v>
      </c>
      <c r="B36" s="98"/>
      <c r="C36" s="108"/>
      <c r="D36" s="100"/>
      <c r="E36" s="101"/>
      <c r="F36" s="102"/>
      <c r="G36" s="127" t="str">
        <f t="shared" si="0"/>
        <v/>
      </c>
      <c r="H36" s="310"/>
      <c r="I36" s="859"/>
      <c r="J36" s="860"/>
      <c r="K36" s="103"/>
      <c r="L36" s="104"/>
      <c r="M36" s="130" t="str">
        <f t="shared" si="4"/>
        <v/>
      </c>
      <c r="N36" s="131">
        <f t="shared" si="5"/>
        <v>0</v>
      </c>
      <c r="O36" s="105"/>
      <c r="P36" s="139" t="str">
        <f t="shared" si="1"/>
        <v/>
      </c>
      <c r="Q36" s="140" t="str">
        <f t="shared" si="2"/>
        <v/>
      </c>
      <c r="R36" s="524" t="str">
        <f t="shared" si="3"/>
        <v/>
      </c>
      <c r="S36" s="141" t="str">
        <f t="shared" si="6"/>
        <v/>
      </c>
      <c r="T36" s="141" t="str">
        <f t="shared" si="7"/>
        <v/>
      </c>
      <c r="U36" s="142" t="str">
        <f t="shared" si="8"/>
        <v/>
      </c>
      <c r="V36" s="530" t="str">
        <f ca="1">IF('Extra look-up'!$H30="Work Type","Check Work Type",IF(AND(D36="",F36="",H36="",I36="",L36="",M36=""),"",IF(OR(D36="",F36="",H36="",I36="",L36="",M36="",$L$9&lt;&gt;"OK"),"Check all fields completed correctly",IF(AND(D36="",OR(F36&lt;&gt;"",H36&lt;&gt;"",I36&lt;&gt;"",L36&lt;&gt;"")),"Check all fields completed correctly","OK"))))</f>
        <v/>
      </c>
      <c r="W36" s="500" t="str">
        <f>IF(I36="","",IF(VLOOKUP(I36,'Eligible Technologies'!$D$7:$G$69,4,FALSE)&lt;$F$9,VLOOKUP(I36,'Eligible Technologies'!$D$7:$G$69,4,FALSE),$F$9))</f>
        <v/>
      </c>
      <c r="X36" s="501" t="str">
        <f t="shared" si="13"/>
        <v/>
      </c>
      <c r="Y36" s="501">
        <f t="shared" ca="1" si="10"/>
        <v>0</v>
      </c>
      <c r="Z36" s="501" t="str">
        <f>'Extra look-up'!F30</f>
        <v/>
      </c>
      <c r="AA36" s="501" t="str">
        <f ca="1">'Extra look-up'!H30</f>
        <v>OK</v>
      </c>
      <c r="AB36" s="501">
        <f t="shared" ca="1" si="11"/>
        <v>1</v>
      </c>
      <c r="AC36" s="515" t="e">
        <f t="shared" si="12"/>
        <v>#VALUE!</v>
      </c>
      <c r="AD36" s="518" t="str">
        <f ca="1">IFERROR(AVERAGE($AH$101:INDIRECT(CONCATENATE("AH"&amp;AC36))),"")</f>
        <v/>
      </c>
      <c r="AE36" s="512"/>
      <c r="AF36" s="512"/>
      <c r="AG36" s="12"/>
      <c r="AH36" s="12" t="s">
        <v>114</v>
      </c>
      <c r="AI36" s="12" t="s">
        <v>110</v>
      </c>
      <c r="AJ36" s="12"/>
      <c r="AK36" s="12"/>
      <c r="AL36" s="12"/>
      <c r="AM36" s="23"/>
      <c r="AN36" s="11"/>
      <c r="AO36" s="11"/>
      <c r="AP36" s="11"/>
      <c r="AQ36" s="23"/>
      <c r="AR36" s="703"/>
      <c r="AS36" s="703"/>
      <c r="AT36" s="703"/>
      <c r="AU36" s="703"/>
      <c r="AV36" s="703"/>
      <c r="AW36" s="703"/>
      <c r="AX36" s="703"/>
      <c r="AY36" s="703"/>
      <c r="AZ36" s="703"/>
      <c r="BA36" s="703"/>
      <c r="BB36" s="703"/>
      <c r="BC36" s="703"/>
      <c r="BD36" s="703"/>
      <c r="BE36" s="703"/>
      <c r="BF36" s="703"/>
      <c r="BG36" s="703"/>
      <c r="BH36" s="703"/>
      <c r="BI36" s="703"/>
      <c r="BJ36" s="703"/>
      <c r="BK36" s="703"/>
      <c r="BL36" s="703"/>
      <c r="BM36" s="703"/>
      <c r="BN36" s="703"/>
      <c r="BO36" s="703"/>
      <c r="BP36" s="703"/>
      <c r="BQ36" s="703"/>
      <c r="BR36" s="703"/>
    </row>
    <row r="37" spans="1:70" s="713" customFormat="1" ht="33.950000000000003" hidden="1" customHeight="1" x14ac:dyDescent="0.2">
      <c r="A37" s="152">
        <v>26</v>
      </c>
      <c r="B37" s="98"/>
      <c r="C37" s="108"/>
      <c r="D37" s="100"/>
      <c r="E37" s="101"/>
      <c r="F37" s="102"/>
      <c r="G37" s="127" t="str">
        <f t="shared" si="0"/>
        <v/>
      </c>
      <c r="H37" s="310"/>
      <c r="I37" s="859"/>
      <c r="J37" s="860"/>
      <c r="K37" s="103"/>
      <c r="L37" s="104"/>
      <c r="M37" s="130" t="str">
        <f t="shared" si="4"/>
        <v/>
      </c>
      <c r="N37" s="131">
        <f t="shared" si="5"/>
        <v>0</v>
      </c>
      <c r="O37" s="105"/>
      <c r="P37" s="139" t="str">
        <f t="shared" si="1"/>
        <v/>
      </c>
      <c r="Q37" s="140" t="str">
        <f t="shared" si="2"/>
        <v/>
      </c>
      <c r="R37" s="524" t="str">
        <f t="shared" si="3"/>
        <v/>
      </c>
      <c r="S37" s="141" t="str">
        <f t="shared" si="6"/>
        <v/>
      </c>
      <c r="T37" s="141" t="str">
        <f t="shared" si="7"/>
        <v/>
      </c>
      <c r="U37" s="142" t="str">
        <f t="shared" si="8"/>
        <v/>
      </c>
      <c r="V37" s="530" t="str">
        <f ca="1">IF('Extra look-up'!$H31="Work Type","Check Work Type",IF(AND(D37="",F37="",H37="",I37="",L37="",M37=""),"",IF(OR(D37="",F37="",H37="",I37="",L37="",M37="",$L$9&lt;&gt;"OK"),"Check all fields completed correctly",IF(AND(D37="",OR(F37&lt;&gt;"",H37&lt;&gt;"",I37&lt;&gt;"",L37&lt;&gt;"")),"Check all fields completed correctly","OK"))))</f>
        <v/>
      </c>
      <c r="W37" s="500" t="str">
        <f>IF(I37="","",IF(VLOOKUP(I37,'Eligible Technologies'!$D$7:$G$69,4,FALSE)&lt;$F$9,VLOOKUP(I37,'Eligible Technologies'!$D$7:$G$69,4,FALSE),$F$9))</f>
        <v/>
      </c>
      <c r="X37" s="501" t="str">
        <f t="shared" si="13"/>
        <v/>
      </c>
      <c r="Y37" s="501">
        <f t="shared" ca="1" si="10"/>
        <v>0</v>
      </c>
      <c r="Z37" s="501" t="str">
        <f>'Extra look-up'!F31</f>
        <v/>
      </c>
      <c r="AA37" s="501" t="str">
        <f ca="1">'Extra look-up'!H31</f>
        <v>OK</v>
      </c>
      <c r="AB37" s="501">
        <f t="shared" ca="1" si="11"/>
        <v>1</v>
      </c>
      <c r="AC37" s="515" t="e">
        <f t="shared" si="12"/>
        <v>#VALUE!</v>
      </c>
      <c r="AD37" s="518" t="str">
        <f ca="1">IFERROR(AVERAGE($AH$101:INDIRECT(CONCATENATE("AH"&amp;AC37))),"")</f>
        <v/>
      </c>
      <c r="AE37" s="512"/>
      <c r="AF37" s="512"/>
      <c r="AG37" s="12"/>
      <c r="AH37" s="11" t="s">
        <v>115</v>
      </c>
      <c r="AI37" s="12" t="s">
        <v>115</v>
      </c>
      <c r="AJ37" s="12"/>
      <c r="AK37" s="23"/>
      <c r="AL37" s="23"/>
      <c r="AM37" s="23"/>
      <c r="AN37" s="11"/>
      <c r="AO37" s="11"/>
      <c r="AP37" s="11"/>
      <c r="AQ37" s="23"/>
      <c r="AR37" s="703"/>
      <c r="AS37" s="703"/>
      <c r="AT37" s="703"/>
      <c r="AU37" s="703"/>
      <c r="AV37" s="703"/>
      <c r="AW37" s="703"/>
      <c r="AX37" s="703"/>
      <c r="AY37" s="703"/>
      <c r="AZ37" s="703"/>
      <c r="BA37" s="703"/>
      <c r="BB37" s="703"/>
      <c r="BC37" s="703"/>
      <c r="BD37" s="703"/>
      <c r="BE37" s="703"/>
      <c r="BF37" s="703"/>
      <c r="BG37" s="703"/>
      <c r="BH37" s="703"/>
      <c r="BI37" s="703"/>
      <c r="BJ37" s="703"/>
      <c r="BK37" s="703"/>
      <c r="BL37" s="703"/>
      <c r="BM37" s="703"/>
      <c r="BN37" s="703"/>
      <c r="BO37" s="703"/>
      <c r="BP37" s="703"/>
      <c r="BQ37" s="703"/>
      <c r="BR37" s="703"/>
    </row>
    <row r="38" spans="1:70" s="713" customFormat="1" ht="33.950000000000003" hidden="1" customHeight="1" x14ac:dyDescent="0.2">
      <c r="A38" s="152">
        <v>27</v>
      </c>
      <c r="B38" s="98"/>
      <c r="C38" s="108"/>
      <c r="D38" s="100"/>
      <c r="E38" s="101"/>
      <c r="F38" s="102"/>
      <c r="G38" s="127" t="str">
        <f t="shared" si="0"/>
        <v/>
      </c>
      <c r="H38" s="310"/>
      <c r="I38" s="859"/>
      <c r="J38" s="860"/>
      <c r="K38" s="103"/>
      <c r="L38" s="104"/>
      <c r="M38" s="130" t="str">
        <f t="shared" si="4"/>
        <v/>
      </c>
      <c r="N38" s="131">
        <f t="shared" si="5"/>
        <v>0</v>
      </c>
      <c r="O38" s="105"/>
      <c r="P38" s="139" t="str">
        <f t="shared" si="1"/>
        <v/>
      </c>
      <c r="Q38" s="140" t="str">
        <f t="shared" si="2"/>
        <v/>
      </c>
      <c r="R38" s="524" t="str">
        <f t="shared" si="3"/>
        <v/>
      </c>
      <c r="S38" s="141" t="str">
        <f t="shared" si="6"/>
        <v/>
      </c>
      <c r="T38" s="141" t="str">
        <f t="shared" si="7"/>
        <v/>
      </c>
      <c r="U38" s="142" t="str">
        <f t="shared" si="8"/>
        <v/>
      </c>
      <c r="V38" s="530" t="str">
        <f ca="1">IF('Extra look-up'!$H32="Work Type","Check Work Type",IF(AND(D38="",F38="",H38="",I38="",L38="",M38=""),"",IF(OR(D38="",F38="",H38="",I38="",L38="",M38="",$L$9&lt;&gt;"OK"),"Check all fields completed correctly",IF(AND(D38="",OR(F38&lt;&gt;"",H38&lt;&gt;"",I38&lt;&gt;"",L38&lt;&gt;"")),"Check all fields completed correctly","OK"))))</f>
        <v/>
      </c>
      <c r="W38" s="500" t="str">
        <f>IF(I38="","",IF(VLOOKUP(I38,'Eligible Technologies'!$D$7:$G$69,4,FALSE)&lt;$F$9,VLOOKUP(I38,'Eligible Technologies'!$D$7:$G$69,4,FALSE),$F$9))</f>
        <v/>
      </c>
      <c r="X38" s="501" t="str">
        <f t="shared" si="13"/>
        <v/>
      </c>
      <c r="Y38" s="501">
        <f t="shared" ca="1" si="10"/>
        <v>0</v>
      </c>
      <c r="Z38" s="501" t="str">
        <f>'Extra look-up'!F32</f>
        <v/>
      </c>
      <c r="AA38" s="501" t="str">
        <f ca="1">'Extra look-up'!H32</f>
        <v>OK</v>
      </c>
      <c r="AB38" s="501">
        <f t="shared" ca="1" si="11"/>
        <v>1</v>
      </c>
      <c r="AC38" s="515" t="e">
        <f t="shared" si="12"/>
        <v>#VALUE!</v>
      </c>
      <c r="AD38" s="518" t="str">
        <f ca="1">IFERROR(AVERAGE($AH$101:INDIRECT(CONCATENATE("AH"&amp;AC38))),"")</f>
        <v/>
      </c>
      <c r="AE38" s="512"/>
      <c r="AF38" s="512"/>
      <c r="AG38" s="11"/>
      <c r="AH38" s="23"/>
      <c r="AI38" s="11"/>
      <c r="AJ38" s="11"/>
      <c r="AK38" s="11"/>
      <c r="AL38" s="11"/>
      <c r="AM38" s="23"/>
      <c r="AN38" s="11"/>
      <c r="AO38" s="11"/>
      <c r="AP38" s="11"/>
      <c r="AQ38" s="23"/>
      <c r="AR38" s="703"/>
      <c r="AS38" s="703"/>
      <c r="AT38" s="703"/>
      <c r="AU38" s="703"/>
      <c r="AV38" s="703"/>
      <c r="AW38" s="703"/>
      <c r="AX38" s="703"/>
      <c r="AY38" s="703"/>
      <c r="AZ38" s="703"/>
      <c r="BA38" s="703"/>
      <c r="BB38" s="703"/>
      <c r="BC38" s="703"/>
      <c r="BD38" s="703"/>
      <c r="BE38" s="703"/>
      <c r="BF38" s="703"/>
      <c r="BG38" s="703"/>
      <c r="BH38" s="703"/>
      <c r="BI38" s="703"/>
      <c r="BJ38" s="703"/>
      <c r="BK38" s="703"/>
      <c r="BL38" s="703"/>
      <c r="BM38" s="703"/>
      <c r="BN38" s="703"/>
      <c r="BO38" s="703"/>
      <c r="BP38" s="703"/>
      <c r="BQ38" s="703"/>
      <c r="BR38" s="703"/>
    </row>
    <row r="39" spans="1:70" s="713" customFormat="1" ht="33.950000000000003" hidden="1" customHeight="1" x14ac:dyDescent="0.2">
      <c r="A39" s="152">
        <v>28</v>
      </c>
      <c r="B39" s="98"/>
      <c r="C39" s="108"/>
      <c r="D39" s="100"/>
      <c r="E39" s="101"/>
      <c r="F39" s="102"/>
      <c r="G39" s="127" t="str">
        <f t="shared" si="0"/>
        <v/>
      </c>
      <c r="H39" s="310"/>
      <c r="I39" s="859"/>
      <c r="J39" s="860"/>
      <c r="K39" s="103"/>
      <c r="L39" s="104"/>
      <c r="M39" s="130" t="str">
        <f t="shared" si="4"/>
        <v/>
      </c>
      <c r="N39" s="131">
        <f t="shared" si="5"/>
        <v>0</v>
      </c>
      <c r="O39" s="105"/>
      <c r="P39" s="139" t="str">
        <f t="shared" si="1"/>
        <v/>
      </c>
      <c r="Q39" s="140" t="str">
        <f t="shared" si="2"/>
        <v/>
      </c>
      <c r="R39" s="524" t="str">
        <f t="shared" si="3"/>
        <v/>
      </c>
      <c r="S39" s="141" t="str">
        <f t="shared" si="6"/>
        <v/>
      </c>
      <c r="T39" s="141" t="str">
        <f t="shared" si="7"/>
        <v/>
      </c>
      <c r="U39" s="142" t="str">
        <f t="shared" si="8"/>
        <v/>
      </c>
      <c r="V39" s="530" t="str">
        <f ca="1">IF('Extra look-up'!$H33="Work Type","Check Work Type",IF(AND(D39="",F39="",H39="",I39="",L39="",M39=""),"",IF(OR(D39="",F39="",H39="",I39="",L39="",M39="",$L$9&lt;&gt;"OK"),"Check all fields completed correctly",IF(AND(D39="",OR(F39&lt;&gt;"",H39&lt;&gt;"",I39&lt;&gt;"",L39&lt;&gt;"")),"Check all fields completed correctly","OK"))))</f>
        <v/>
      </c>
      <c r="W39" s="500" t="str">
        <f>IF(I39="","",IF(VLOOKUP(I39,'Eligible Technologies'!$D$7:$G$69,4,FALSE)&lt;$F$9,VLOOKUP(I39,'Eligible Technologies'!$D$7:$G$69,4,FALSE),$F$9))</f>
        <v/>
      </c>
      <c r="X39" s="501" t="str">
        <f t="shared" si="13"/>
        <v/>
      </c>
      <c r="Y39" s="501">
        <f t="shared" ca="1" si="10"/>
        <v>0</v>
      </c>
      <c r="Z39" s="501" t="str">
        <f>'Extra look-up'!F33</f>
        <v/>
      </c>
      <c r="AA39" s="501" t="str">
        <f ca="1">'Extra look-up'!H33</f>
        <v>OK</v>
      </c>
      <c r="AB39" s="501">
        <f t="shared" ca="1" si="11"/>
        <v>1</v>
      </c>
      <c r="AC39" s="515" t="e">
        <f t="shared" si="12"/>
        <v>#VALUE!</v>
      </c>
      <c r="AD39" s="518" t="str">
        <f ca="1">IFERROR(AVERAGE($AH$101:INDIRECT(CONCATENATE("AH"&amp;AC39))),"")</f>
        <v/>
      </c>
      <c r="AE39" s="512"/>
      <c r="AF39" s="512"/>
      <c r="AG39" s="23"/>
      <c r="AH39" s="23"/>
      <c r="AI39" s="23"/>
      <c r="AJ39" s="23"/>
      <c r="AK39" s="23"/>
      <c r="AL39" s="23"/>
      <c r="AM39" s="23"/>
      <c r="AN39" s="23"/>
      <c r="AO39" s="11"/>
      <c r="AP39" s="11"/>
      <c r="AQ39" s="23"/>
      <c r="AR39" s="703"/>
      <c r="AS39" s="703"/>
      <c r="AT39" s="703"/>
      <c r="AU39" s="703"/>
      <c r="AV39" s="703"/>
      <c r="AW39" s="703"/>
      <c r="AX39" s="703"/>
      <c r="AY39" s="703"/>
      <c r="AZ39" s="703"/>
      <c r="BA39" s="703"/>
      <c r="BB39" s="703"/>
      <c r="BC39" s="703"/>
      <c r="BD39" s="703"/>
      <c r="BE39" s="703"/>
      <c r="BF39" s="703"/>
      <c r="BG39" s="703"/>
      <c r="BH39" s="703"/>
      <c r="BI39" s="703"/>
      <c r="BJ39" s="703"/>
      <c r="BK39" s="703"/>
      <c r="BL39" s="703"/>
      <c r="BM39" s="703"/>
      <c r="BN39" s="703"/>
      <c r="BO39" s="703"/>
      <c r="BP39" s="703"/>
      <c r="BQ39" s="703"/>
      <c r="BR39" s="703"/>
    </row>
    <row r="40" spans="1:70" s="713" customFormat="1" ht="33.950000000000003" hidden="1" customHeight="1" x14ac:dyDescent="0.2">
      <c r="A40" s="152">
        <v>29</v>
      </c>
      <c r="B40" s="98"/>
      <c r="C40" s="108"/>
      <c r="D40" s="100"/>
      <c r="E40" s="101"/>
      <c r="F40" s="102"/>
      <c r="G40" s="127" t="str">
        <f t="shared" si="0"/>
        <v/>
      </c>
      <c r="H40" s="310"/>
      <c r="I40" s="859"/>
      <c r="J40" s="860"/>
      <c r="K40" s="103"/>
      <c r="L40" s="104"/>
      <c r="M40" s="130" t="str">
        <f t="shared" si="4"/>
        <v/>
      </c>
      <c r="N40" s="131">
        <f t="shared" si="5"/>
        <v>0</v>
      </c>
      <c r="O40" s="105"/>
      <c r="P40" s="139" t="str">
        <f t="shared" si="1"/>
        <v/>
      </c>
      <c r="Q40" s="140" t="str">
        <f t="shared" si="2"/>
        <v/>
      </c>
      <c r="R40" s="524" t="str">
        <f t="shared" si="3"/>
        <v/>
      </c>
      <c r="S40" s="141" t="str">
        <f t="shared" si="6"/>
        <v/>
      </c>
      <c r="T40" s="141" t="str">
        <f t="shared" si="7"/>
        <v/>
      </c>
      <c r="U40" s="142" t="str">
        <f t="shared" si="8"/>
        <v/>
      </c>
      <c r="V40" s="530" t="str">
        <f ca="1">IF('Extra look-up'!$H34="Work Type","Check Work Type",IF(AND(D40="",F40="",H40="",I40="",L40="",M40=""),"",IF(OR(D40="",F40="",H40="",I40="",L40="",M40="",$L$9&lt;&gt;"OK"),"Check all fields completed correctly",IF(AND(D40="",OR(F40&lt;&gt;"",H40&lt;&gt;"",I40&lt;&gt;"",L40&lt;&gt;"")),"Check all fields completed correctly","OK"))))</f>
        <v/>
      </c>
      <c r="W40" s="500" t="str">
        <f>IF(I40="","",IF(VLOOKUP(I40,'Eligible Technologies'!$D$7:$G$69,4,FALSE)&lt;$F$9,VLOOKUP(I40,'Eligible Technologies'!$D$7:$G$69,4,FALSE),$F$9))</f>
        <v/>
      </c>
      <c r="X40" s="501" t="str">
        <f t="shared" si="13"/>
        <v/>
      </c>
      <c r="Y40" s="501">
        <f t="shared" ca="1" si="10"/>
        <v>0</v>
      </c>
      <c r="Z40" s="501" t="str">
        <f>'Extra look-up'!F34</f>
        <v/>
      </c>
      <c r="AA40" s="501" t="str">
        <f ca="1">'Extra look-up'!H34</f>
        <v>OK</v>
      </c>
      <c r="AB40" s="501">
        <f t="shared" ca="1" si="11"/>
        <v>1</v>
      </c>
      <c r="AC40" s="515" t="e">
        <f t="shared" si="12"/>
        <v>#VALUE!</v>
      </c>
      <c r="AD40" s="518" t="str">
        <f ca="1">IFERROR(AVERAGE($AH$101:INDIRECT(CONCATENATE("AH"&amp;AC40))),"")</f>
        <v/>
      </c>
      <c r="AE40" s="512"/>
      <c r="AF40" s="512"/>
      <c r="AG40" s="23"/>
      <c r="AH40" s="23"/>
      <c r="AI40" s="23"/>
      <c r="AJ40" s="23"/>
      <c r="AK40" s="23"/>
      <c r="AL40" s="23"/>
      <c r="AM40" s="23"/>
      <c r="AN40" s="23"/>
      <c r="AO40" s="11"/>
      <c r="AP40" s="11"/>
      <c r="AQ40" s="23"/>
      <c r="AR40" s="703"/>
      <c r="AS40" s="703"/>
      <c r="AT40" s="703"/>
      <c r="AU40" s="703"/>
      <c r="AV40" s="703"/>
      <c r="AW40" s="703"/>
      <c r="AX40" s="703"/>
      <c r="AY40" s="703"/>
      <c r="AZ40" s="703"/>
      <c r="BA40" s="703"/>
      <c r="BB40" s="703"/>
      <c r="BC40" s="703"/>
      <c r="BD40" s="703"/>
      <c r="BE40" s="703"/>
      <c r="BF40" s="703"/>
      <c r="BG40" s="703"/>
      <c r="BH40" s="703"/>
      <c r="BI40" s="703"/>
      <c r="BJ40" s="703"/>
      <c r="BK40" s="703"/>
      <c r="BL40" s="703"/>
      <c r="BM40" s="703"/>
      <c r="BN40" s="703"/>
      <c r="BO40" s="703"/>
      <c r="BP40" s="703"/>
      <c r="BQ40" s="703"/>
      <c r="BR40" s="703"/>
    </row>
    <row r="41" spans="1:70" s="713" customFormat="1" ht="33.950000000000003" hidden="1" customHeight="1" x14ac:dyDescent="0.2">
      <c r="A41" s="152">
        <v>30</v>
      </c>
      <c r="B41" s="98"/>
      <c r="C41" s="108"/>
      <c r="D41" s="100"/>
      <c r="E41" s="101"/>
      <c r="F41" s="102"/>
      <c r="G41" s="127" t="str">
        <f t="shared" si="0"/>
        <v/>
      </c>
      <c r="H41" s="310"/>
      <c r="I41" s="859"/>
      <c r="J41" s="860"/>
      <c r="K41" s="103"/>
      <c r="L41" s="104"/>
      <c r="M41" s="130" t="str">
        <f t="shared" si="4"/>
        <v/>
      </c>
      <c r="N41" s="131">
        <f t="shared" si="5"/>
        <v>0</v>
      </c>
      <c r="O41" s="105"/>
      <c r="P41" s="139" t="str">
        <f t="shared" si="1"/>
        <v/>
      </c>
      <c r="Q41" s="140" t="str">
        <f t="shared" si="2"/>
        <v/>
      </c>
      <c r="R41" s="524" t="str">
        <f t="shared" si="3"/>
        <v/>
      </c>
      <c r="S41" s="141" t="str">
        <f t="shared" si="6"/>
        <v/>
      </c>
      <c r="T41" s="141" t="str">
        <f t="shared" si="7"/>
        <v/>
      </c>
      <c r="U41" s="142" t="str">
        <f t="shared" si="8"/>
        <v/>
      </c>
      <c r="V41" s="530" t="str">
        <f ca="1">IF('Extra look-up'!$H35="Work Type","Check Work Type",IF(AND(D41="",F41="",H41="",I41="",L41="",M41=""),"",IF(OR(D41="",F41="",H41="",I41="",L41="",M41="",$L$9&lt;&gt;"OK"),"Check all fields completed correctly",IF(AND(D41="",OR(F41&lt;&gt;"",H41&lt;&gt;"",I41&lt;&gt;"",L41&lt;&gt;"")),"Check all fields completed correctly","OK"))))</f>
        <v/>
      </c>
      <c r="W41" s="500" t="str">
        <f>IF(I41="","",IF(VLOOKUP(I41,'Eligible Technologies'!$D$7:$G$69,4,FALSE)&lt;$F$9,VLOOKUP(I41,'Eligible Technologies'!$D$7:$G$69,4,FALSE),$F$9))</f>
        <v/>
      </c>
      <c r="X41" s="501" t="str">
        <f t="shared" si="13"/>
        <v/>
      </c>
      <c r="Y41" s="501">
        <f t="shared" ca="1" si="10"/>
        <v>0</v>
      </c>
      <c r="Z41" s="501" t="str">
        <f>'Extra look-up'!F35</f>
        <v/>
      </c>
      <c r="AA41" s="501" t="str">
        <f ca="1">'Extra look-up'!H35</f>
        <v>OK</v>
      </c>
      <c r="AB41" s="501">
        <f t="shared" ca="1" si="11"/>
        <v>1</v>
      </c>
      <c r="AC41" s="515" t="e">
        <f t="shared" si="12"/>
        <v>#VALUE!</v>
      </c>
      <c r="AD41" s="518" t="str">
        <f ca="1">IFERROR(AVERAGE($AH$101:INDIRECT(CONCATENATE("AH"&amp;AC41))),"")</f>
        <v/>
      </c>
      <c r="AE41" s="512"/>
      <c r="AF41" s="512"/>
      <c r="AG41" s="23"/>
      <c r="AH41" s="23"/>
      <c r="AI41" s="23"/>
      <c r="AJ41" s="23"/>
      <c r="AK41" s="23"/>
      <c r="AL41" s="23"/>
      <c r="AM41" s="23"/>
      <c r="AN41" s="23"/>
      <c r="AO41" s="23"/>
      <c r="AP41" s="23"/>
      <c r="AQ41" s="23"/>
      <c r="AR41" s="703"/>
      <c r="AS41" s="703"/>
      <c r="AT41" s="703"/>
      <c r="AU41" s="703"/>
      <c r="AV41" s="703"/>
      <c r="AW41" s="703"/>
      <c r="AX41" s="703"/>
      <c r="AY41" s="703"/>
      <c r="AZ41" s="703"/>
      <c r="BA41" s="703"/>
      <c r="BB41" s="703"/>
      <c r="BC41" s="703"/>
      <c r="BD41" s="703"/>
      <c r="BE41" s="703"/>
      <c r="BF41" s="703"/>
      <c r="BG41" s="703"/>
      <c r="BH41" s="703"/>
      <c r="BI41" s="703"/>
      <c r="BJ41" s="703"/>
      <c r="BK41" s="703"/>
      <c r="BL41" s="703"/>
      <c r="BM41" s="703"/>
      <c r="BN41" s="703"/>
      <c r="BO41" s="703"/>
      <c r="BP41" s="703"/>
      <c r="BQ41" s="703"/>
      <c r="BR41" s="703"/>
    </row>
    <row r="42" spans="1:70" s="713" customFormat="1" ht="33.950000000000003" hidden="1" customHeight="1" x14ac:dyDescent="0.2">
      <c r="A42" s="152">
        <v>31</v>
      </c>
      <c r="B42" s="98"/>
      <c r="C42" s="108"/>
      <c r="D42" s="100"/>
      <c r="E42" s="101"/>
      <c r="F42" s="102"/>
      <c r="G42" s="127" t="str">
        <f t="shared" si="0"/>
        <v/>
      </c>
      <c r="H42" s="310"/>
      <c r="I42" s="859"/>
      <c r="J42" s="860"/>
      <c r="K42" s="103"/>
      <c r="L42" s="104"/>
      <c r="M42" s="130" t="str">
        <f t="shared" si="4"/>
        <v/>
      </c>
      <c r="N42" s="131">
        <f t="shared" si="5"/>
        <v>0</v>
      </c>
      <c r="O42" s="105"/>
      <c r="P42" s="139" t="str">
        <f t="shared" si="1"/>
        <v/>
      </c>
      <c r="Q42" s="140" t="str">
        <f t="shared" si="2"/>
        <v/>
      </c>
      <c r="R42" s="524" t="str">
        <f t="shared" si="3"/>
        <v/>
      </c>
      <c r="S42" s="141" t="str">
        <f t="shared" si="6"/>
        <v/>
      </c>
      <c r="T42" s="141" t="str">
        <f t="shared" si="7"/>
        <v/>
      </c>
      <c r="U42" s="142" t="str">
        <f t="shared" si="8"/>
        <v/>
      </c>
      <c r="V42" s="530" t="str">
        <f ca="1">IF('Extra look-up'!$H36="Work Type","Check Work Type",IF(AND(D42="",F42="",H42="",I42="",L42="",M42=""),"",IF(OR(D42="",F42="",H42="",I42="",L42="",M42="",$L$9&lt;&gt;"OK"),"Check all fields completed correctly",IF(AND(D42="",OR(F42&lt;&gt;"",H42&lt;&gt;"",I42&lt;&gt;"",L42&lt;&gt;"")),"Check all fields completed correctly","OK"))))</f>
        <v/>
      </c>
      <c r="W42" s="500" t="str">
        <f>IF(I42="","",IF(VLOOKUP(I42,'Eligible Technologies'!$D$7:$G$69,4,FALSE)&lt;$F$9,VLOOKUP(I42,'Eligible Technologies'!$D$7:$G$69,4,FALSE),$F$9))</f>
        <v/>
      </c>
      <c r="X42" s="501" t="str">
        <f t="shared" si="13"/>
        <v/>
      </c>
      <c r="Y42" s="501">
        <f t="shared" ca="1" si="10"/>
        <v>0</v>
      </c>
      <c r="Z42" s="501" t="str">
        <f>'Extra look-up'!F36</f>
        <v/>
      </c>
      <c r="AA42" s="501" t="str">
        <f ca="1">'Extra look-up'!H36</f>
        <v>OK</v>
      </c>
      <c r="AB42" s="501">
        <f t="shared" ca="1" si="11"/>
        <v>1</v>
      </c>
      <c r="AC42" s="515" t="e">
        <f t="shared" si="12"/>
        <v>#VALUE!</v>
      </c>
      <c r="AD42" s="518" t="str">
        <f ca="1">IFERROR(AVERAGE($AH$101:INDIRECT(CONCATENATE("AH"&amp;AC42))),"")</f>
        <v/>
      </c>
      <c r="AE42" s="512"/>
      <c r="AF42" s="512"/>
      <c r="AG42" s="23"/>
      <c r="AH42" s="23"/>
      <c r="AI42" s="23"/>
      <c r="AJ42" s="23"/>
      <c r="AK42" s="23"/>
      <c r="AL42" s="23"/>
      <c r="AM42" s="23"/>
      <c r="AN42" s="23"/>
      <c r="AO42" s="23"/>
      <c r="AP42" s="23"/>
      <c r="AQ42" s="23"/>
      <c r="AR42" s="703"/>
      <c r="AS42" s="703"/>
      <c r="AT42" s="703"/>
      <c r="AU42" s="703"/>
      <c r="AV42" s="703"/>
      <c r="AW42" s="703"/>
      <c r="AX42" s="703"/>
      <c r="AY42" s="703"/>
      <c r="AZ42" s="703"/>
      <c r="BA42" s="703"/>
      <c r="BB42" s="703"/>
      <c r="BC42" s="703"/>
      <c r="BD42" s="703"/>
      <c r="BE42" s="703"/>
      <c r="BF42" s="703"/>
      <c r="BG42" s="703"/>
      <c r="BH42" s="703"/>
      <c r="BI42" s="703"/>
      <c r="BJ42" s="703"/>
      <c r="BK42" s="703"/>
      <c r="BL42" s="703"/>
      <c r="BM42" s="703"/>
      <c r="BN42" s="703"/>
      <c r="BO42" s="703"/>
      <c r="BP42" s="703"/>
      <c r="BQ42" s="703"/>
      <c r="BR42" s="703"/>
    </row>
    <row r="43" spans="1:70" s="713" customFormat="1" ht="33.950000000000003" hidden="1" customHeight="1" x14ac:dyDescent="0.2">
      <c r="A43" s="152">
        <v>32</v>
      </c>
      <c r="B43" s="98"/>
      <c r="C43" s="108"/>
      <c r="D43" s="100"/>
      <c r="E43" s="101"/>
      <c r="F43" s="102"/>
      <c r="G43" s="127" t="str">
        <f t="shared" si="0"/>
        <v/>
      </c>
      <c r="H43" s="310"/>
      <c r="I43" s="859"/>
      <c r="J43" s="860"/>
      <c r="K43" s="103"/>
      <c r="L43" s="104"/>
      <c r="M43" s="130" t="str">
        <f t="shared" si="4"/>
        <v/>
      </c>
      <c r="N43" s="131">
        <f t="shared" si="5"/>
        <v>0</v>
      </c>
      <c r="O43" s="105"/>
      <c r="P43" s="139" t="str">
        <f t="shared" si="1"/>
        <v/>
      </c>
      <c r="Q43" s="140" t="str">
        <f t="shared" si="2"/>
        <v/>
      </c>
      <c r="R43" s="524" t="str">
        <f t="shared" si="3"/>
        <v/>
      </c>
      <c r="S43" s="141" t="str">
        <f t="shared" si="6"/>
        <v/>
      </c>
      <c r="T43" s="141" t="str">
        <f t="shared" si="7"/>
        <v/>
      </c>
      <c r="U43" s="142" t="str">
        <f t="shared" si="8"/>
        <v/>
      </c>
      <c r="V43" s="530" t="str">
        <f ca="1">IF('Extra look-up'!$H37="Work Type","Check Work Type",IF(AND(D43="",F43="",H43="",I43="",L43="",M43=""),"",IF(OR(D43="",F43="",H43="",I43="",L43="",M43="",$L$9&lt;&gt;"OK"),"Check all fields completed correctly",IF(AND(D43="",OR(F43&lt;&gt;"",H43&lt;&gt;"",I43&lt;&gt;"",L43&lt;&gt;"")),"Check all fields completed correctly","OK"))))</f>
        <v/>
      </c>
      <c r="W43" s="500" t="str">
        <f>IF(I43="","",IF(VLOOKUP(I43,'Eligible Technologies'!$D$7:$G$69,4,FALSE)&lt;$F$9,VLOOKUP(I43,'Eligible Technologies'!$D$7:$G$69,4,FALSE),$F$9))</f>
        <v/>
      </c>
      <c r="X43" s="501" t="str">
        <f t="shared" si="13"/>
        <v/>
      </c>
      <c r="Y43" s="501">
        <f t="shared" ca="1" si="10"/>
        <v>0</v>
      </c>
      <c r="Z43" s="501" t="str">
        <f>'Extra look-up'!F37</f>
        <v/>
      </c>
      <c r="AA43" s="501" t="str">
        <f ca="1">'Extra look-up'!H37</f>
        <v>OK</v>
      </c>
      <c r="AB43" s="501">
        <f t="shared" ca="1" si="11"/>
        <v>1</v>
      </c>
      <c r="AC43" s="515" t="e">
        <f t="shared" si="12"/>
        <v>#VALUE!</v>
      </c>
      <c r="AD43" s="518" t="str">
        <f ca="1">IFERROR(AVERAGE($AH$101:INDIRECT(CONCATENATE("AH"&amp;AC43))),"")</f>
        <v/>
      </c>
      <c r="AE43" s="512"/>
      <c r="AF43" s="512"/>
      <c r="AG43" s="23"/>
      <c r="AH43" s="23"/>
      <c r="AI43" s="23"/>
      <c r="AJ43" s="23"/>
      <c r="AK43" s="23"/>
      <c r="AL43" s="23"/>
      <c r="AM43" s="23"/>
      <c r="AN43" s="23"/>
      <c r="AO43" s="23"/>
      <c r="AP43" s="23"/>
      <c r="AQ43" s="23"/>
      <c r="AR43" s="703"/>
      <c r="AS43" s="703"/>
      <c r="AT43" s="703"/>
      <c r="AU43" s="703"/>
      <c r="AV43" s="703"/>
      <c r="AW43" s="703"/>
      <c r="AX43" s="703"/>
      <c r="AY43" s="703"/>
      <c r="AZ43" s="703"/>
      <c r="BA43" s="703"/>
      <c r="BB43" s="703"/>
      <c r="BC43" s="703"/>
      <c r="BD43" s="703"/>
      <c r="BE43" s="703"/>
      <c r="BF43" s="703"/>
      <c r="BG43" s="703"/>
      <c r="BH43" s="703"/>
      <c r="BI43" s="703"/>
      <c r="BJ43" s="703"/>
      <c r="BK43" s="703"/>
      <c r="BL43" s="703"/>
      <c r="BM43" s="703"/>
      <c r="BN43" s="703"/>
      <c r="BO43" s="703"/>
      <c r="BP43" s="703"/>
      <c r="BQ43" s="703"/>
      <c r="BR43" s="703"/>
    </row>
    <row r="44" spans="1:70" s="713" customFormat="1" ht="33.950000000000003" hidden="1" customHeight="1" x14ac:dyDescent="0.2">
      <c r="A44" s="152">
        <v>33</v>
      </c>
      <c r="B44" s="98"/>
      <c r="C44" s="108"/>
      <c r="D44" s="100"/>
      <c r="E44" s="101"/>
      <c r="F44" s="102"/>
      <c r="G44" s="127" t="str">
        <f t="shared" ref="G44:G61" si="14">IFERROR(((F44/E44)^(1/X44))-1,"")</f>
        <v/>
      </c>
      <c r="H44" s="310"/>
      <c r="I44" s="859"/>
      <c r="J44" s="860"/>
      <c r="K44" s="103"/>
      <c r="L44" s="104"/>
      <c r="M44" s="130" t="str">
        <f t="shared" si="4"/>
        <v/>
      </c>
      <c r="N44" s="131">
        <f t="shared" si="5"/>
        <v>0</v>
      </c>
      <c r="O44" s="105"/>
      <c r="P44" s="139" t="str">
        <f t="shared" ref="P44:P61" si="15">IF(OR(F44="",M44=""),"",M44*F44/100)</f>
        <v/>
      </c>
      <c r="Q44" s="140" t="str">
        <f t="shared" si="2"/>
        <v/>
      </c>
      <c r="R44" s="524" t="str">
        <f t="shared" ref="R44:R61" si="16">IFERROR(IF(D44="Electricity",AD44,HLOOKUP(D44,$AH$100:$AQ$140,2,FALSE)),"")</f>
        <v/>
      </c>
      <c r="S44" s="141" t="str">
        <f t="shared" ref="S44:S61" si="17">IF(OR(D44="",M44="",R44=""),"",M44*R44/1000)</f>
        <v/>
      </c>
      <c r="T44" s="141" t="str">
        <f t="shared" si="7"/>
        <v/>
      </c>
      <c r="U44" s="142" t="str">
        <f t="shared" si="8"/>
        <v/>
      </c>
      <c r="V44" s="530" t="str">
        <f ca="1">IF('Extra look-up'!$H38="Work Type","Check Work Type",IF(AND(D44="",F44="",H44="",I44="",L44="",M44=""),"",IF(OR(D44="",F44="",H44="",I44="",L44="",M44="",$L$9&lt;&gt;"OK"),"Check all fields completed correctly",IF(AND(D44="",OR(F44&lt;&gt;"",H44&lt;&gt;"",I44&lt;&gt;"",L44&lt;&gt;"")),"Check all fields completed correctly","OK"))))</f>
        <v/>
      </c>
      <c r="W44" s="500" t="str">
        <f>IF(I44="","",IF(VLOOKUP(I44,'Eligible Technologies'!$D$7:$G$69,4,FALSE)&lt;$F$9,VLOOKUP(I44,'Eligible Technologies'!$D$7:$G$69,4,FALSE),$F$9))</f>
        <v/>
      </c>
      <c r="X44" s="501" t="str">
        <f t="shared" si="13"/>
        <v/>
      </c>
      <c r="Y44" s="501">
        <f t="shared" ca="1" si="10"/>
        <v>0</v>
      </c>
      <c r="Z44" s="501" t="str">
        <f>'Extra look-up'!F38</f>
        <v/>
      </c>
      <c r="AA44" s="501" t="str">
        <f ca="1">'Extra look-up'!H38</f>
        <v>OK</v>
      </c>
      <c r="AB44" s="501">
        <f t="shared" ca="1" si="11"/>
        <v>1</v>
      </c>
      <c r="AC44" s="515" t="e">
        <f t="shared" si="12"/>
        <v>#VALUE!</v>
      </c>
      <c r="AD44" s="518" t="str">
        <f ca="1">IFERROR(AVERAGE($AH$101:INDIRECT(CONCATENATE("AH"&amp;AC44))),"")</f>
        <v/>
      </c>
      <c r="AE44" s="512"/>
      <c r="AF44" s="512"/>
      <c r="AG44" s="23"/>
      <c r="AH44" s="23"/>
      <c r="AI44" s="23"/>
      <c r="AJ44" s="23"/>
      <c r="AK44" s="23"/>
      <c r="AL44" s="23"/>
      <c r="AM44" s="23"/>
      <c r="AN44" s="23"/>
      <c r="AO44" s="23"/>
      <c r="AP44" s="23"/>
      <c r="AQ44" s="23"/>
      <c r="AR44" s="703"/>
      <c r="AS44" s="703"/>
      <c r="AT44" s="703"/>
      <c r="AU44" s="703"/>
      <c r="AV44" s="703"/>
      <c r="AW44" s="703"/>
      <c r="AX44" s="703"/>
      <c r="AY44" s="703"/>
      <c r="AZ44" s="703"/>
      <c r="BA44" s="703"/>
      <c r="BB44" s="703"/>
      <c r="BC44" s="703"/>
      <c r="BD44" s="703"/>
      <c r="BE44" s="703"/>
      <c r="BF44" s="703"/>
      <c r="BG44" s="703"/>
      <c r="BH44" s="703"/>
      <c r="BI44" s="703"/>
      <c r="BJ44" s="703"/>
      <c r="BK44" s="703"/>
      <c r="BL44" s="703"/>
      <c r="BM44" s="703"/>
      <c r="BN44" s="703"/>
      <c r="BO44" s="703"/>
      <c r="BP44" s="703"/>
      <c r="BQ44" s="703"/>
      <c r="BR44" s="703"/>
    </row>
    <row r="45" spans="1:70" s="713" customFormat="1" ht="33.950000000000003" hidden="1" customHeight="1" x14ac:dyDescent="0.2">
      <c r="A45" s="152">
        <v>34</v>
      </c>
      <c r="B45" s="98"/>
      <c r="C45" s="108"/>
      <c r="D45" s="100"/>
      <c r="E45" s="101"/>
      <c r="F45" s="102"/>
      <c r="G45" s="127" t="str">
        <f t="shared" si="14"/>
        <v/>
      </c>
      <c r="H45" s="310"/>
      <c r="I45" s="859"/>
      <c r="J45" s="860"/>
      <c r="K45" s="103"/>
      <c r="L45" s="104"/>
      <c r="M45" s="130" t="str">
        <f t="shared" si="4"/>
        <v/>
      </c>
      <c r="N45" s="131">
        <f t="shared" si="5"/>
        <v>0</v>
      </c>
      <c r="O45" s="105"/>
      <c r="P45" s="139" t="str">
        <f t="shared" si="15"/>
        <v/>
      </c>
      <c r="Q45" s="140" t="str">
        <f t="shared" si="2"/>
        <v/>
      </c>
      <c r="R45" s="524" t="str">
        <f t="shared" si="16"/>
        <v/>
      </c>
      <c r="S45" s="141" t="str">
        <f t="shared" si="17"/>
        <v/>
      </c>
      <c r="T45" s="141" t="str">
        <f t="shared" si="7"/>
        <v/>
      </c>
      <c r="U45" s="142" t="str">
        <f t="shared" si="8"/>
        <v/>
      </c>
      <c r="V45" s="530" t="str">
        <f ca="1">IF('Extra look-up'!$H39="Work Type","Check Work Type",IF(AND(D45="",F45="",H45="",I45="",L45="",M45=""),"",IF(OR(D45="",F45="",H45="",I45="",L45="",M45="",$L$9&lt;&gt;"OK"),"Check all fields completed correctly",IF(AND(D45="",OR(F45&lt;&gt;"",H45&lt;&gt;"",I45&lt;&gt;"",L45&lt;&gt;"")),"Check all fields completed correctly","OK"))))</f>
        <v/>
      </c>
      <c r="W45" s="500" t="str">
        <f>IF(I45="","",IF(VLOOKUP(I45,'Eligible Technologies'!$D$7:$G$69,4,FALSE)&lt;$F$9,VLOOKUP(I45,'Eligible Technologies'!$D$7:$G$69,4,FALSE),$F$9))</f>
        <v/>
      </c>
      <c r="X45" s="501" t="str">
        <f t="shared" si="13"/>
        <v/>
      </c>
      <c r="Y45" s="501">
        <f t="shared" ca="1" si="10"/>
        <v>0</v>
      </c>
      <c r="Z45" s="501" t="str">
        <f>'Extra look-up'!F39</f>
        <v/>
      </c>
      <c r="AA45" s="501" t="str">
        <f ca="1">'Extra look-up'!H39</f>
        <v>OK</v>
      </c>
      <c r="AB45" s="501">
        <f t="shared" ca="1" si="11"/>
        <v>1</v>
      </c>
      <c r="AC45" s="515" t="e">
        <f t="shared" si="12"/>
        <v>#VALUE!</v>
      </c>
      <c r="AD45" s="518" t="str">
        <f ca="1">IFERROR(AVERAGE($AH$101:INDIRECT(CONCATENATE("AH"&amp;AC45))),"")</f>
        <v/>
      </c>
      <c r="AE45" s="512"/>
      <c r="AF45" s="512"/>
      <c r="AG45" s="23"/>
      <c r="AH45" s="23"/>
      <c r="AI45" s="23"/>
      <c r="AJ45" s="23"/>
      <c r="AK45" s="23"/>
      <c r="AL45" s="23"/>
      <c r="AM45" s="23"/>
      <c r="AN45" s="23"/>
      <c r="AO45" s="23"/>
      <c r="AP45" s="23"/>
      <c r="AQ45" s="23"/>
      <c r="AR45" s="703"/>
      <c r="AS45" s="703"/>
      <c r="AT45" s="703"/>
      <c r="AU45" s="703"/>
      <c r="AV45" s="703"/>
      <c r="AW45" s="703"/>
      <c r="AX45" s="703"/>
      <c r="AY45" s="703"/>
      <c r="AZ45" s="703"/>
      <c r="BA45" s="703"/>
      <c r="BB45" s="703"/>
      <c r="BC45" s="703"/>
      <c r="BD45" s="703"/>
      <c r="BE45" s="703"/>
      <c r="BF45" s="703"/>
      <c r="BG45" s="703"/>
      <c r="BH45" s="703"/>
      <c r="BI45" s="703"/>
      <c r="BJ45" s="703"/>
      <c r="BK45" s="703"/>
      <c r="BL45" s="703"/>
      <c r="BM45" s="703"/>
      <c r="BN45" s="703"/>
      <c r="BO45" s="703"/>
      <c r="BP45" s="703"/>
      <c r="BQ45" s="703"/>
      <c r="BR45" s="703"/>
    </row>
    <row r="46" spans="1:70" s="713" customFormat="1" ht="33.950000000000003" hidden="1" customHeight="1" x14ac:dyDescent="0.2">
      <c r="A46" s="152">
        <v>35</v>
      </c>
      <c r="B46" s="98"/>
      <c r="C46" s="108"/>
      <c r="D46" s="100"/>
      <c r="E46" s="101"/>
      <c r="F46" s="102"/>
      <c r="G46" s="127" t="str">
        <f t="shared" si="14"/>
        <v/>
      </c>
      <c r="H46" s="310"/>
      <c r="I46" s="859"/>
      <c r="J46" s="860"/>
      <c r="K46" s="103"/>
      <c r="L46" s="104"/>
      <c r="M46" s="130" t="str">
        <f t="shared" si="4"/>
        <v/>
      </c>
      <c r="N46" s="131">
        <f t="shared" si="5"/>
        <v>0</v>
      </c>
      <c r="O46" s="105"/>
      <c r="P46" s="139" t="str">
        <f t="shared" si="15"/>
        <v/>
      </c>
      <c r="Q46" s="140" t="str">
        <f t="shared" si="2"/>
        <v/>
      </c>
      <c r="R46" s="524" t="str">
        <f t="shared" si="16"/>
        <v/>
      </c>
      <c r="S46" s="141" t="str">
        <f t="shared" si="17"/>
        <v/>
      </c>
      <c r="T46" s="141" t="str">
        <f t="shared" si="7"/>
        <v/>
      </c>
      <c r="U46" s="142" t="str">
        <f t="shared" si="8"/>
        <v/>
      </c>
      <c r="V46" s="530" t="str">
        <f ca="1">IF('Extra look-up'!$H40="Work Type","Check Work Type",IF(AND(D46="",F46="",H46="",I46="",L46="",M46=""),"",IF(OR(D46="",F46="",H46="",I46="",L46="",M46="",$L$9&lt;&gt;"OK"),"Check all fields completed correctly",IF(AND(D46="",OR(F46&lt;&gt;"",H46&lt;&gt;"",I46&lt;&gt;"",L46&lt;&gt;"")),"Check all fields completed correctly","OK"))))</f>
        <v/>
      </c>
      <c r="W46" s="500" t="str">
        <f>IF(I46="","",IF(VLOOKUP(I46,'Eligible Technologies'!$D$7:$G$69,4,FALSE)&lt;$F$9,VLOOKUP(I46,'Eligible Technologies'!$D$7:$G$69,4,FALSE),$F$9))</f>
        <v/>
      </c>
      <c r="X46" s="501" t="str">
        <f t="shared" si="13"/>
        <v/>
      </c>
      <c r="Y46" s="501">
        <f t="shared" ca="1" si="10"/>
        <v>0</v>
      </c>
      <c r="Z46" s="501" t="str">
        <f>'Extra look-up'!F40</f>
        <v/>
      </c>
      <c r="AA46" s="501" t="str">
        <f ca="1">'Extra look-up'!H40</f>
        <v>OK</v>
      </c>
      <c r="AB46" s="501">
        <f t="shared" ca="1" si="11"/>
        <v>1</v>
      </c>
      <c r="AC46" s="515" t="e">
        <f t="shared" si="12"/>
        <v>#VALUE!</v>
      </c>
      <c r="AD46" s="518" t="str">
        <f ca="1">IFERROR(AVERAGE($AH$101:INDIRECT(CONCATENATE("AH"&amp;AC46))),"")</f>
        <v/>
      </c>
      <c r="AE46" s="512"/>
      <c r="AF46" s="512"/>
      <c r="AG46" s="23"/>
      <c r="AH46" s="23"/>
      <c r="AI46" s="23"/>
      <c r="AJ46" s="23"/>
      <c r="AK46" s="23"/>
      <c r="AL46" s="23"/>
      <c r="AM46" s="23"/>
      <c r="AN46" s="23"/>
      <c r="AO46" s="23"/>
      <c r="AP46" s="23"/>
      <c r="AQ46" s="23"/>
      <c r="AR46" s="703"/>
      <c r="AS46" s="703"/>
      <c r="AT46" s="703"/>
      <c r="AU46" s="703"/>
      <c r="AV46" s="703"/>
      <c r="AW46" s="703"/>
      <c r="AX46" s="703"/>
      <c r="AY46" s="703"/>
      <c r="AZ46" s="703"/>
      <c r="BA46" s="703"/>
      <c r="BB46" s="703"/>
      <c r="BC46" s="703"/>
      <c r="BD46" s="703"/>
      <c r="BE46" s="703"/>
      <c r="BF46" s="703"/>
      <c r="BG46" s="703"/>
      <c r="BH46" s="703"/>
      <c r="BI46" s="703"/>
      <c r="BJ46" s="703"/>
      <c r="BK46" s="703"/>
      <c r="BL46" s="703"/>
      <c r="BM46" s="703"/>
      <c r="BN46" s="703"/>
      <c r="BO46" s="703"/>
      <c r="BP46" s="703"/>
      <c r="BQ46" s="703"/>
      <c r="BR46" s="703"/>
    </row>
    <row r="47" spans="1:70" s="713" customFormat="1" ht="33.950000000000003" hidden="1" customHeight="1" x14ac:dyDescent="0.2">
      <c r="A47" s="152">
        <v>36</v>
      </c>
      <c r="B47" s="98"/>
      <c r="C47" s="108"/>
      <c r="D47" s="100"/>
      <c r="E47" s="101"/>
      <c r="F47" s="102"/>
      <c r="G47" s="127" t="str">
        <f t="shared" si="14"/>
        <v/>
      </c>
      <c r="H47" s="310"/>
      <c r="I47" s="859"/>
      <c r="J47" s="860"/>
      <c r="K47" s="103"/>
      <c r="L47" s="104"/>
      <c r="M47" s="130" t="str">
        <f t="shared" si="4"/>
        <v/>
      </c>
      <c r="N47" s="131">
        <f t="shared" si="5"/>
        <v>0</v>
      </c>
      <c r="O47" s="105"/>
      <c r="P47" s="139" t="str">
        <f t="shared" si="15"/>
        <v/>
      </c>
      <c r="Q47" s="140" t="str">
        <f t="shared" si="2"/>
        <v/>
      </c>
      <c r="R47" s="524" t="str">
        <f t="shared" si="16"/>
        <v/>
      </c>
      <c r="S47" s="141" t="str">
        <f t="shared" si="17"/>
        <v/>
      </c>
      <c r="T47" s="141" t="str">
        <f t="shared" si="7"/>
        <v/>
      </c>
      <c r="U47" s="142" t="str">
        <f t="shared" si="8"/>
        <v/>
      </c>
      <c r="V47" s="530" t="str">
        <f ca="1">IF('Extra look-up'!$H41="Work Type","Check Work Type",IF(AND(D47="",F47="",H47="",I47="",L47="",M47=""),"",IF(OR(D47="",F47="",H47="",I47="",L47="",M47="",$L$9&lt;&gt;"OK"),"Check all fields completed correctly",IF(AND(D47="",OR(F47&lt;&gt;"",H47&lt;&gt;"",I47&lt;&gt;"",L47&lt;&gt;"")),"Check all fields completed correctly","OK"))))</f>
        <v/>
      </c>
      <c r="W47" s="500" t="str">
        <f>IF(I47="","",IF(VLOOKUP(I47,'Eligible Technologies'!$D$7:$G$69,4,FALSE)&lt;$F$9,VLOOKUP(I47,'Eligible Technologies'!$D$7:$G$69,4,FALSE),$F$9))</f>
        <v/>
      </c>
      <c r="X47" s="501" t="str">
        <f t="shared" si="13"/>
        <v/>
      </c>
      <c r="Y47" s="501">
        <f t="shared" ca="1" si="10"/>
        <v>0</v>
      </c>
      <c r="Z47" s="501" t="str">
        <f>'Extra look-up'!F41</f>
        <v/>
      </c>
      <c r="AA47" s="501" t="str">
        <f ca="1">'Extra look-up'!H41</f>
        <v>OK</v>
      </c>
      <c r="AB47" s="501">
        <f t="shared" ca="1" si="11"/>
        <v>1</v>
      </c>
      <c r="AC47" s="515" t="e">
        <f t="shared" si="12"/>
        <v>#VALUE!</v>
      </c>
      <c r="AD47" s="518" t="str">
        <f ca="1">IFERROR(AVERAGE($AH$101:INDIRECT(CONCATENATE("AH"&amp;AC47))),"")</f>
        <v/>
      </c>
      <c r="AE47" s="512"/>
      <c r="AF47" s="512"/>
      <c r="AG47" s="24"/>
      <c r="AH47" s="24"/>
      <c r="AI47" s="24"/>
      <c r="AJ47" s="24"/>
      <c r="AK47" s="24"/>
      <c r="AL47" s="24"/>
      <c r="AM47" s="24"/>
      <c r="AN47" s="24"/>
      <c r="AO47" s="24"/>
      <c r="AP47" s="24"/>
      <c r="AQ47" s="24"/>
      <c r="AR47" s="703"/>
      <c r="AS47" s="703"/>
      <c r="AT47" s="703"/>
      <c r="AU47" s="703"/>
      <c r="AV47" s="703"/>
      <c r="AW47" s="703"/>
      <c r="AX47" s="703"/>
      <c r="AY47" s="703"/>
      <c r="AZ47" s="703"/>
      <c r="BA47" s="703"/>
      <c r="BB47" s="703"/>
      <c r="BC47" s="703"/>
      <c r="BD47" s="703"/>
      <c r="BE47" s="703"/>
      <c r="BF47" s="703"/>
      <c r="BG47" s="703"/>
      <c r="BH47" s="703"/>
      <c r="BI47" s="703"/>
      <c r="BJ47" s="703"/>
      <c r="BK47" s="703"/>
      <c r="BL47" s="703"/>
      <c r="BM47" s="703"/>
      <c r="BN47" s="703"/>
      <c r="BO47" s="703"/>
      <c r="BP47" s="703"/>
      <c r="BQ47" s="703"/>
      <c r="BR47" s="703"/>
    </row>
    <row r="48" spans="1:70" s="713" customFormat="1" ht="33.950000000000003" hidden="1" customHeight="1" x14ac:dyDescent="0.2">
      <c r="A48" s="152">
        <v>37</v>
      </c>
      <c r="B48" s="98"/>
      <c r="C48" s="108"/>
      <c r="D48" s="100"/>
      <c r="E48" s="101"/>
      <c r="F48" s="102"/>
      <c r="G48" s="127" t="str">
        <f t="shared" si="14"/>
        <v/>
      </c>
      <c r="H48" s="310"/>
      <c r="I48" s="859"/>
      <c r="J48" s="860"/>
      <c r="K48" s="103"/>
      <c r="L48" s="104"/>
      <c r="M48" s="130" t="str">
        <f t="shared" si="4"/>
        <v/>
      </c>
      <c r="N48" s="131">
        <f t="shared" si="5"/>
        <v>0</v>
      </c>
      <c r="O48" s="105"/>
      <c r="P48" s="139" t="str">
        <f t="shared" si="15"/>
        <v/>
      </c>
      <c r="Q48" s="140" t="str">
        <f t="shared" si="2"/>
        <v/>
      </c>
      <c r="R48" s="524" t="str">
        <f t="shared" si="16"/>
        <v/>
      </c>
      <c r="S48" s="141" t="str">
        <f t="shared" si="17"/>
        <v/>
      </c>
      <c r="T48" s="141" t="str">
        <f t="shared" si="7"/>
        <v/>
      </c>
      <c r="U48" s="142" t="str">
        <f t="shared" si="8"/>
        <v/>
      </c>
      <c r="V48" s="530" t="str">
        <f ca="1">IF('Extra look-up'!$H42="Work Type","Check Work Type",IF(AND(D48="",F48="",H48="",I48="",L48="",M48=""),"",IF(OR(D48="",F48="",H48="",I48="",L48="",M48="",$L$9&lt;&gt;"OK"),"Check all fields completed correctly",IF(AND(D48="",OR(F48&lt;&gt;"",H48&lt;&gt;"",I48&lt;&gt;"",L48&lt;&gt;"")),"Check all fields completed correctly","OK"))))</f>
        <v/>
      </c>
      <c r="W48" s="500" t="str">
        <f>IF(I48="","",IF(VLOOKUP(I48,'Eligible Technologies'!$D$7:$G$69,4,FALSE)&lt;$F$9,VLOOKUP(I48,'Eligible Technologies'!$D$7:$G$69,4,FALSE),$F$9))</f>
        <v/>
      </c>
      <c r="X48" s="501" t="str">
        <f t="shared" si="13"/>
        <v/>
      </c>
      <c r="Y48" s="501">
        <f t="shared" ca="1" si="10"/>
        <v>0</v>
      </c>
      <c r="Z48" s="501" t="str">
        <f>'Extra look-up'!F42</f>
        <v/>
      </c>
      <c r="AA48" s="501" t="str">
        <f ca="1">'Extra look-up'!H42</f>
        <v>OK</v>
      </c>
      <c r="AB48" s="501">
        <f t="shared" ca="1" si="11"/>
        <v>1</v>
      </c>
      <c r="AC48" s="515" t="e">
        <f t="shared" si="12"/>
        <v>#VALUE!</v>
      </c>
      <c r="AD48" s="518" t="str">
        <f ca="1">IFERROR(AVERAGE($AH$101:INDIRECT(CONCATENATE("AH"&amp;AC48))),"")</f>
        <v/>
      </c>
      <c r="AE48" s="512"/>
      <c r="AF48" s="512"/>
      <c r="AG48" s="24"/>
      <c r="AH48" s="24"/>
      <c r="AI48" s="24"/>
      <c r="AJ48" s="24"/>
      <c r="AK48" s="24"/>
      <c r="AL48" s="24"/>
      <c r="AM48" s="24"/>
      <c r="AN48" s="24"/>
      <c r="AO48" s="24"/>
      <c r="AP48" s="24"/>
      <c r="AQ48" s="24"/>
      <c r="AR48" s="703"/>
      <c r="AS48" s="703"/>
      <c r="AT48" s="703"/>
      <c r="AU48" s="703"/>
      <c r="AV48" s="703"/>
      <c r="AW48" s="703"/>
      <c r="AX48" s="703"/>
      <c r="AY48" s="703"/>
      <c r="AZ48" s="703"/>
      <c r="BA48" s="703"/>
      <c r="BB48" s="703"/>
      <c r="BC48" s="703"/>
      <c r="BD48" s="703"/>
      <c r="BE48" s="703"/>
      <c r="BF48" s="703"/>
      <c r="BG48" s="703"/>
      <c r="BH48" s="703"/>
      <c r="BI48" s="703"/>
      <c r="BJ48" s="703"/>
      <c r="BK48" s="703"/>
      <c r="BL48" s="703"/>
      <c r="BM48" s="703"/>
      <c r="BN48" s="703"/>
      <c r="BO48" s="703"/>
      <c r="BP48" s="703"/>
      <c r="BQ48" s="703"/>
      <c r="BR48" s="703"/>
    </row>
    <row r="49" spans="1:70" s="713" customFormat="1" ht="33.950000000000003" hidden="1" customHeight="1" x14ac:dyDescent="0.2">
      <c r="A49" s="152">
        <v>38</v>
      </c>
      <c r="B49" s="98"/>
      <c r="C49" s="108"/>
      <c r="D49" s="100"/>
      <c r="E49" s="101"/>
      <c r="F49" s="102"/>
      <c r="G49" s="127" t="str">
        <f t="shared" si="14"/>
        <v/>
      </c>
      <c r="H49" s="310"/>
      <c r="I49" s="859"/>
      <c r="J49" s="860"/>
      <c r="K49" s="103"/>
      <c r="L49" s="104"/>
      <c r="M49" s="130" t="str">
        <f t="shared" si="4"/>
        <v/>
      </c>
      <c r="N49" s="131">
        <f t="shared" si="5"/>
        <v>0</v>
      </c>
      <c r="O49" s="105"/>
      <c r="P49" s="139" t="str">
        <f t="shared" si="15"/>
        <v/>
      </c>
      <c r="Q49" s="140" t="str">
        <f t="shared" si="2"/>
        <v/>
      </c>
      <c r="R49" s="524" t="str">
        <f t="shared" si="16"/>
        <v/>
      </c>
      <c r="S49" s="141" t="str">
        <f t="shared" si="17"/>
        <v/>
      </c>
      <c r="T49" s="141" t="str">
        <f t="shared" si="7"/>
        <v/>
      </c>
      <c r="U49" s="142" t="str">
        <f t="shared" si="8"/>
        <v/>
      </c>
      <c r="V49" s="530" t="str">
        <f ca="1">IF('Extra look-up'!$H43="Work Type","Check Work Type",IF(AND(D49="",F49="",H49="",I49="",L49="",M49=""),"",IF(OR(D49="",F49="",H49="",I49="",L49="",M49="",$L$9&lt;&gt;"OK"),"Check all fields completed correctly",IF(AND(D49="",OR(F49&lt;&gt;"",H49&lt;&gt;"",I49&lt;&gt;"",L49&lt;&gt;"")),"Check all fields completed correctly","OK"))))</f>
        <v/>
      </c>
      <c r="W49" s="500" t="str">
        <f>IF(I49="","",IF(VLOOKUP(I49,'Eligible Technologies'!$D$7:$G$69,4,FALSE)&lt;$F$9,VLOOKUP(I49,'Eligible Technologies'!$D$7:$G$69,4,FALSE),$F$9))</f>
        <v/>
      </c>
      <c r="X49" s="501" t="str">
        <f t="shared" si="13"/>
        <v/>
      </c>
      <c r="Y49" s="501">
        <f t="shared" ca="1" si="10"/>
        <v>0</v>
      </c>
      <c r="Z49" s="501" t="str">
        <f>'Extra look-up'!F43</f>
        <v/>
      </c>
      <c r="AA49" s="501" t="str">
        <f ca="1">'Extra look-up'!H43</f>
        <v>OK</v>
      </c>
      <c r="AB49" s="501">
        <f t="shared" ca="1" si="11"/>
        <v>1</v>
      </c>
      <c r="AC49" s="515" t="e">
        <f t="shared" si="12"/>
        <v>#VALUE!</v>
      </c>
      <c r="AD49" s="518" t="str">
        <f ca="1">IFERROR(AVERAGE($AH$101:INDIRECT(CONCATENATE("AH"&amp;AC49))),"")</f>
        <v/>
      </c>
      <c r="AE49" s="512"/>
      <c r="AF49" s="512"/>
      <c r="AG49" s="24"/>
      <c r="AH49" s="24"/>
      <c r="AI49" s="24"/>
      <c r="AJ49" s="24"/>
      <c r="AK49" s="24"/>
      <c r="AL49" s="24"/>
      <c r="AM49" s="24"/>
      <c r="AN49" s="24"/>
      <c r="AO49" s="24"/>
      <c r="AP49" s="24"/>
      <c r="AQ49" s="24"/>
      <c r="AR49" s="703"/>
      <c r="AS49" s="703"/>
      <c r="AT49" s="703"/>
      <c r="AU49" s="703"/>
      <c r="AV49" s="703"/>
      <c r="AW49" s="703"/>
      <c r="AX49" s="703"/>
      <c r="AY49" s="703"/>
      <c r="AZ49" s="703"/>
      <c r="BA49" s="703"/>
      <c r="BB49" s="703"/>
      <c r="BC49" s="703"/>
      <c r="BD49" s="703"/>
      <c r="BE49" s="703"/>
      <c r="BF49" s="703"/>
      <c r="BG49" s="703"/>
      <c r="BH49" s="703"/>
      <c r="BI49" s="703"/>
      <c r="BJ49" s="703"/>
      <c r="BK49" s="703"/>
      <c r="BL49" s="703"/>
      <c r="BM49" s="703"/>
      <c r="BN49" s="703"/>
      <c r="BO49" s="703"/>
      <c r="BP49" s="703"/>
      <c r="BQ49" s="703"/>
      <c r="BR49" s="703"/>
    </row>
    <row r="50" spans="1:70" s="713" customFormat="1" ht="33.950000000000003" hidden="1" customHeight="1" x14ac:dyDescent="0.2">
      <c r="A50" s="152">
        <v>39</v>
      </c>
      <c r="B50" s="98"/>
      <c r="C50" s="108"/>
      <c r="D50" s="100"/>
      <c r="E50" s="101"/>
      <c r="F50" s="102"/>
      <c r="G50" s="127" t="str">
        <f t="shared" si="14"/>
        <v/>
      </c>
      <c r="H50" s="310"/>
      <c r="I50" s="859"/>
      <c r="J50" s="860"/>
      <c r="K50" s="103"/>
      <c r="L50" s="104"/>
      <c r="M50" s="130" t="str">
        <f t="shared" si="4"/>
        <v/>
      </c>
      <c r="N50" s="131">
        <f t="shared" si="5"/>
        <v>0</v>
      </c>
      <c r="O50" s="105"/>
      <c r="P50" s="139" t="str">
        <f t="shared" si="15"/>
        <v/>
      </c>
      <c r="Q50" s="140" t="str">
        <f t="shared" si="2"/>
        <v/>
      </c>
      <c r="R50" s="524" t="str">
        <f t="shared" si="16"/>
        <v/>
      </c>
      <c r="S50" s="141" t="str">
        <f t="shared" si="17"/>
        <v/>
      </c>
      <c r="T50" s="141" t="str">
        <f t="shared" si="7"/>
        <v/>
      </c>
      <c r="U50" s="142" t="str">
        <f t="shared" si="8"/>
        <v/>
      </c>
      <c r="V50" s="530" t="str">
        <f ca="1">IF('Extra look-up'!$H44="Work Type","Check Work Type",IF(AND(D50="",F50="",H50="",I50="",L50="",M50=""),"",IF(OR(D50="",F50="",H50="",I50="",L50="",M50="",$L$9&lt;&gt;"OK"),"Check all fields completed correctly",IF(AND(D50="",OR(F50&lt;&gt;"",H50&lt;&gt;"",I50&lt;&gt;"",L50&lt;&gt;"")),"Check all fields completed correctly","OK"))))</f>
        <v/>
      </c>
      <c r="W50" s="500" t="str">
        <f>IF(I50="","",IF(VLOOKUP(I50,'Eligible Technologies'!$D$7:$G$69,4,FALSE)&lt;$F$9,VLOOKUP(I50,'Eligible Technologies'!$D$7:$G$69,4,FALSE),$F$9))</f>
        <v/>
      </c>
      <c r="X50" s="501" t="str">
        <f t="shared" si="13"/>
        <v/>
      </c>
      <c r="Y50" s="501">
        <f t="shared" ca="1" si="10"/>
        <v>0</v>
      </c>
      <c r="Z50" s="501" t="str">
        <f>'Extra look-up'!F44</f>
        <v/>
      </c>
      <c r="AA50" s="501" t="str">
        <f ca="1">'Extra look-up'!H44</f>
        <v>OK</v>
      </c>
      <c r="AB50" s="501">
        <f t="shared" ca="1" si="11"/>
        <v>1</v>
      </c>
      <c r="AC50" s="515" t="e">
        <f t="shared" si="12"/>
        <v>#VALUE!</v>
      </c>
      <c r="AD50" s="518" t="str">
        <f ca="1">IFERROR(AVERAGE($AH$101:INDIRECT(CONCATENATE("AH"&amp;AC50))),"")</f>
        <v/>
      </c>
      <c r="AE50" s="512"/>
      <c r="AF50" s="512"/>
      <c r="AG50" s="24"/>
      <c r="AH50" s="24"/>
      <c r="AI50" s="24"/>
      <c r="AJ50" s="24"/>
      <c r="AK50" s="24"/>
      <c r="AL50" s="24"/>
      <c r="AM50" s="24"/>
      <c r="AN50" s="24"/>
      <c r="AO50" s="24"/>
      <c r="AP50" s="24"/>
      <c r="AQ50" s="24"/>
      <c r="AR50" s="703"/>
      <c r="AS50" s="703"/>
      <c r="AT50" s="703"/>
      <c r="AU50" s="703"/>
      <c r="AV50" s="703"/>
      <c r="AW50" s="703"/>
      <c r="AX50" s="703"/>
      <c r="AY50" s="703"/>
      <c r="AZ50" s="703"/>
      <c r="BA50" s="703"/>
      <c r="BB50" s="703"/>
      <c r="BC50" s="703"/>
      <c r="BD50" s="703"/>
      <c r="BE50" s="703"/>
      <c r="BF50" s="703"/>
      <c r="BG50" s="703"/>
      <c r="BH50" s="703"/>
      <c r="BI50" s="703"/>
      <c r="BJ50" s="703"/>
      <c r="BK50" s="703"/>
      <c r="BL50" s="703"/>
      <c r="BM50" s="703"/>
      <c r="BN50" s="703"/>
      <c r="BO50" s="703"/>
      <c r="BP50" s="703"/>
      <c r="BQ50" s="703"/>
      <c r="BR50" s="703"/>
    </row>
    <row r="51" spans="1:70" s="713" customFormat="1" ht="33.950000000000003" hidden="1" customHeight="1" x14ac:dyDescent="0.2">
      <c r="A51" s="152">
        <v>40</v>
      </c>
      <c r="B51" s="98"/>
      <c r="C51" s="108"/>
      <c r="D51" s="100"/>
      <c r="E51" s="101"/>
      <c r="F51" s="102"/>
      <c r="G51" s="127" t="str">
        <f t="shared" si="14"/>
        <v/>
      </c>
      <c r="H51" s="310"/>
      <c r="I51" s="859"/>
      <c r="J51" s="860"/>
      <c r="K51" s="103"/>
      <c r="L51" s="104"/>
      <c r="M51" s="130" t="str">
        <f t="shared" si="4"/>
        <v/>
      </c>
      <c r="N51" s="131">
        <f t="shared" si="5"/>
        <v>0</v>
      </c>
      <c r="O51" s="105"/>
      <c r="P51" s="139" t="str">
        <f t="shared" si="15"/>
        <v/>
      </c>
      <c r="Q51" s="140" t="str">
        <f t="shared" si="2"/>
        <v/>
      </c>
      <c r="R51" s="524" t="str">
        <f t="shared" si="16"/>
        <v/>
      </c>
      <c r="S51" s="141" t="str">
        <f t="shared" si="17"/>
        <v/>
      </c>
      <c r="T51" s="141" t="str">
        <f t="shared" si="7"/>
        <v/>
      </c>
      <c r="U51" s="142" t="str">
        <f t="shared" si="8"/>
        <v/>
      </c>
      <c r="V51" s="530" t="str">
        <f ca="1">IF('Extra look-up'!$H45="Work Type","Check Work Type",IF(AND(D51="",F51="",H51="",I51="",L51="",M51=""),"",IF(OR(D51="",F51="",H51="",I51="",L51="",M51="",$L$9&lt;&gt;"OK"),"Check all fields completed correctly",IF(AND(D51="",OR(F51&lt;&gt;"",H51&lt;&gt;"",I51&lt;&gt;"",L51&lt;&gt;"")),"Check all fields completed correctly","OK"))))</f>
        <v/>
      </c>
      <c r="W51" s="500" t="str">
        <f>IF(I51="","",IF(VLOOKUP(I51,'Eligible Technologies'!$D$7:$G$69,4,FALSE)&lt;$F$9,VLOOKUP(I51,'Eligible Technologies'!$D$7:$G$69,4,FALSE),$F$9))</f>
        <v/>
      </c>
      <c r="X51" s="501" t="str">
        <f t="shared" si="13"/>
        <v/>
      </c>
      <c r="Y51" s="501">
        <f t="shared" ca="1" si="10"/>
        <v>0</v>
      </c>
      <c r="Z51" s="501" t="str">
        <f>'Extra look-up'!F45</f>
        <v/>
      </c>
      <c r="AA51" s="501" t="str">
        <f ca="1">'Extra look-up'!H45</f>
        <v>OK</v>
      </c>
      <c r="AB51" s="501">
        <f t="shared" ca="1" si="11"/>
        <v>1</v>
      </c>
      <c r="AC51" s="515" t="e">
        <f t="shared" si="12"/>
        <v>#VALUE!</v>
      </c>
      <c r="AD51" s="518" t="str">
        <f ca="1">IFERROR(AVERAGE($AH$101:INDIRECT(CONCATENATE("AH"&amp;AC51))),"")</f>
        <v/>
      </c>
      <c r="AE51" s="512"/>
      <c r="AF51" s="512"/>
      <c r="AG51" s="24"/>
      <c r="AH51" s="24"/>
      <c r="AI51" s="24"/>
      <c r="AJ51" s="24"/>
      <c r="AK51" s="24"/>
      <c r="AL51" s="24"/>
      <c r="AM51" s="24"/>
      <c r="AN51" s="24"/>
      <c r="AO51" s="24"/>
      <c r="AP51" s="24"/>
      <c r="AQ51" s="24"/>
      <c r="AR51" s="703"/>
      <c r="AS51" s="703"/>
      <c r="AT51" s="703"/>
      <c r="AU51" s="703"/>
      <c r="AV51" s="703"/>
      <c r="AW51" s="703"/>
      <c r="AX51" s="703"/>
      <c r="AY51" s="703"/>
      <c r="AZ51" s="703"/>
      <c r="BA51" s="703"/>
      <c r="BB51" s="703"/>
      <c r="BC51" s="703"/>
      <c r="BD51" s="703"/>
      <c r="BE51" s="703"/>
      <c r="BF51" s="703"/>
      <c r="BG51" s="703"/>
      <c r="BH51" s="703"/>
      <c r="BI51" s="703"/>
      <c r="BJ51" s="703"/>
      <c r="BK51" s="703"/>
      <c r="BL51" s="703"/>
      <c r="BM51" s="703"/>
      <c r="BN51" s="703"/>
      <c r="BO51" s="703"/>
      <c r="BP51" s="703"/>
      <c r="BQ51" s="703"/>
      <c r="BR51" s="703"/>
    </row>
    <row r="52" spans="1:70" s="713" customFormat="1" ht="33.950000000000003" hidden="1" customHeight="1" x14ac:dyDescent="0.2">
      <c r="A52" s="152">
        <v>41</v>
      </c>
      <c r="B52" s="98"/>
      <c r="C52" s="108"/>
      <c r="D52" s="100"/>
      <c r="E52" s="101"/>
      <c r="F52" s="102"/>
      <c r="G52" s="127" t="str">
        <f t="shared" si="14"/>
        <v/>
      </c>
      <c r="H52" s="310"/>
      <c r="I52" s="859"/>
      <c r="J52" s="860"/>
      <c r="K52" s="103"/>
      <c r="L52" s="104"/>
      <c r="M52" s="130" t="str">
        <f t="shared" si="4"/>
        <v/>
      </c>
      <c r="N52" s="131">
        <f t="shared" si="5"/>
        <v>0</v>
      </c>
      <c r="O52" s="105"/>
      <c r="P52" s="139" t="str">
        <f t="shared" si="15"/>
        <v/>
      </c>
      <c r="Q52" s="140" t="str">
        <f t="shared" si="2"/>
        <v/>
      </c>
      <c r="R52" s="524" t="str">
        <f t="shared" si="16"/>
        <v/>
      </c>
      <c r="S52" s="141" t="str">
        <f t="shared" si="17"/>
        <v/>
      </c>
      <c r="T52" s="141" t="str">
        <f t="shared" si="7"/>
        <v/>
      </c>
      <c r="U52" s="142" t="str">
        <f t="shared" si="8"/>
        <v/>
      </c>
      <c r="V52" s="530" t="str">
        <f ca="1">IF('Extra look-up'!$H46="Work Type","Check Work Type",IF(AND(D52="",F52="",H52="",I52="",L52="",M52=""),"",IF(OR(D52="",F52="",H52="",I52="",L52="",M52="",$L$9&lt;&gt;"OK"),"Check all fields completed correctly",IF(AND(D52="",OR(F52&lt;&gt;"",H52&lt;&gt;"",I52&lt;&gt;"",L52&lt;&gt;"")),"Check all fields completed correctly","OK"))))</f>
        <v/>
      </c>
      <c r="W52" s="500" t="str">
        <f>IF(I52="","",IF(VLOOKUP(I52,'Eligible Technologies'!$D$7:$G$69,4,FALSE)&lt;$F$9,VLOOKUP(I52,'Eligible Technologies'!$D$7:$G$69,4,FALSE),$F$9))</f>
        <v/>
      </c>
      <c r="X52" s="501" t="str">
        <f t="shared" si="13"/>
        <v/>
      </c>
      <c r="Y52" s="501">
        <f t="shared" ca="1" si="10"/>
        <v>0</v>
      </c>
      <c r="Z52" s="501" t="str">
        <f>'Extra look-up'!F46</f>
        <v/>
      </c>
      <c r="AA52" s="501" t="str">
        <f ca="1">'Extra look-up'!H46</f>
        <v>OK</v>
      </c>
      <c r="AB52" s="501">
        <f t="shared" ca="1" si="11"/>
        <v>1</v>
      </c>
      <c r="AC52" s="515" t="e">
        <f t="shared" si="12"/>
        <v>#VALUE!</v>
      </c>
      <c r="AD52" s="518" t="str">
        <f ca="1">IFERROR(AVERAGE($AH$101:INDIRECT(CONCATENATE("AH"&amp;AC52))),"")</f>
        <v/>
      </c>
      <c r="AE52" s="512"/>
      <c r="AF52" s="512"/>
      <c r="AG52" s="24"/>
      <c r="AH52" s="24"/>
      <c r="AI52" s="24"/>
      <c r="AJ52" s="24"/>
      <c r="AK52" s="24"/>
      <c r="AL52" s="24"/>
      <c r="AM52" s="24"/>
      <c r="AN52" s="24"/>
      <c r="AO52" s="24"/>
      <c r="AP52" s="24"/>
      <c r="AQ52" s="24"/>
      <c r="AR52" s="703"/>
      <c r="AS52" s="703"/>
      <c r="AT52" s="703"/>
      <c r="AU52" s="703"/>
      <c r="AV52" s="703"/>
      <c r="AW52" s="703"/>
      <c r="AX52" s="703"/>
      <c r="AY52" s="703"/>
      <c r="AZ52" s="703"/>
      <c r="BA52" s="703"/>
      <c r="BB52" s="703"/>
      <c r="BC52" s="703"/>
      <c r="BD52" s="703"/>
      <c r="BE52" s="703"/>
      <c r="BF52" s="703"/>
      <c r="BG52" s="703"/>
      <c r="BH52" s="703"/>
      <c r="BI52" s="703"/>
      <c r="BJ52" s="703"/>
      <c r="BK52" s="703"/>
      <c r="BL52" s="703"/>
      <c r="BM52" s="703"/>
      <c r="BN52" s="703"/>
      <c r="BO52" s="703"/>
      <c r="BP52" s="703"/>
      <c r="BQ52" s="703"/>
      <c r="BR52" s="703"/>
    </row>
    <row r="53" spans="1:70" s="713" customFormat="1" ht="33.950000000000003" hidden="1" customHeight="1" x14ac:dyDescent="0.2">
      <c r="A53" s="152">
        <v>42</v>
      </c>
      <c r="B53" s="98"/>
      <c r="C53" s="108"/>
      <c r="D53" s="100"/>
      <c r="E53" s="101"/>
      <c r="F53" s="102"/>
      <c r="G53" s="127" t="str">
        <f t="shared" si="14"/>
        <v/>
      </c>
      <c r="H53" s="310"/>
      <c r="I53" s="859"/>
      <c r="J53" s="860"/>
      <c r="K53" s="103"/>
      <c r="L53" s="104"/>
      <c r="M53" s="130" t="str">
        <f t="shared" si="4"/>
        <v/>
      </c>
      <c r="N53" s="131">
        <f t="shared" si="5"/>
        <v>0</v>
      </c>
      <c r="O53" s="105"/>
      <c r="P53" s="139" t="str">
        <f t="shared" si="15"/>
        <v/>
      </c>
      <c r="Q53" s="140" t="str">
        <f t="shared" si="2"/>
        <v/>
      </c>
      <c r="R53" s="524" t="str">
        <f t="shared" si="16"/>
        <v/>
      </c>
      <c r="S53" s="141" t="str">
        <f t="shared" si="17"/>
        <v/>
      </c>
      <c r="T53" s="141" t="str">
        <f t="shared" si="7"/>
        <v/>
      </c>
      <c r="U53" s="142" t="str">
        <f t="shared" si="8"/>
        <v/>
      </c>
      <c r="V53" s="530" t="str">
        <f ca="1">IF('Extra look-up'!$H47="Work Type","Check Work Type",IF(AND(D53="",F53="",H53="",I53="",L53="",M53=""),"",IF(OR(D53="",F53="",H53="",I53="",L53="",M53="",$L$9&lt;&gt;"OK"),"Check all fields completed correctly",IF(AND(D53="",OR(F53&lt;&gt;"",H53&lt;&gt;"",I53&lt;&gt;"",L53&lt;&gt;"")),"Check all fields completed correctly","OK"))))</f>
        <v/>
      </c>
      <c r="W53" s="500" t="str">
        <f>IF(I53="","",IF(VLOOKUP(I53,'Eligible Technologies'!$D$7:$G$69,4,FALSE)&lt;$F$9,VLOOKUP(I53,'Eligible Technologies'!$D$7:$G$69,4,FALSE),$F$9))</f>
        <v/>
      </c>
      <c r="X53" s="501" t="str">
        <f t="shared" si="13"/>
        <v/>
      </c>
      <c r="Y53" s="501">
        <f t="shared" ca="1" si="10"/>
        <v>0</v>
      </c>
      <c r="Z53" s="501" t="str">
        <f>'Extra look-up'!F47</f>
        <v/>
      </c>
      <c r="AA53" s="501" t="str">
        <f ca="1">'Extra look-up'!H47</f>
        <v>OK</v>
      </c>
      <c r="AB53" s="501">
        <f t="shared" ca="1" si="11"/>
        <v>1</v>
      </c>
      <c r="AC53" s="515" t="e">
        <f t="shared" si="12"/>
        <v>#VALUE!</v>
      </c>
      <c r="AD53" s="518" t="str">
        <f ca="1">IFERROR(AVERAGE($AH$101:INDIRECT(CONCATENATE("AH"&amp;AC53))),"")</f>
        <v/>
      </c>
      <c r="AE53" s="512"/>
      <c r="AF53" s="512"/>
      <c r="AG53" s="24"/>
      <c r="AH53" s="24"/>
      <c r="AI53" s="24"/>
      <c r="AJ53" s="24"/>
      <c r="AK53" s="24"/>
      <c r="AL53" s="24"/>
      <c r="AM53" s="24"/>
      <c r="AN53" s="24"/>
      <c r="AO53" s="24"/>
      <c r="AP53" s="24"/>
      <c r="AQ53" s="24"/>
      <c r="AR53" s="703"/>
      <c r="AS53" s="703"/>
      <c r="AT53" s="703"/>
      <c r="AU53" s="703"/>
      <c r="AV53" s="703"/>
      <c r="AW53" s="703"/>
      <c r="AX53" s="703"/>
      <c r="AY53" s="703"/>
      <c r="AZ53" s="703"/>
      <c r="BA53" s="703"/>
      <c r="BB53" s="703"/>
      <c r="BC53" s="703"/>
      <c r="BD53" s="703"/>
      <c r="BE53" s="703"/>
      <c r="BF53" s="703"/>
      <c r="BG53" s="703"/>
      <c r="BH53" s="703"/>
      <c r="BI53" s="703"/>
      <c r="BJ53" s="703"/>
      <c r="BK53" s="703"/>
      <c r="BL53" s="703"/>
      <c r="BM53" s="703"/>
      <c r="BN53" s="703"/>
      <c r="BO53" s="703"/>
      <c r="BP53" s="703"/>
      <c r="BQ53" s="703"/>
      <c r="BR53" s="703"/>
    </row>
    <row r="54" spans="1:70" s="713" customFormat="1" ht="33.950000000000003" hidden="1" customHeight="1" x14ac:dyDescent="0.2">
      <c r="A54" s="152">
        <v>43</v>
      </c>
      <c r="B54" s="98"/>
      <c r="C54" s="108"/>
      <c r="D54" s="100"/>
      <c r="E54" s="101"/>
      <c r="F54" s="102"/>
      <c r="G54" s="127" t="str">
        <f t="shared" si="14"/>
        <v/>
      </c>
      <c r="H54" s="310"/>
      <c r="I54" s="859"/>
      <c r="J54" s="860"/>
      <c r="K54" s="103"/>
      <c r="L54" s="104"/>
      <c r="M54" s="130" t="str">
        <f t="shared" si="4"/>
        <v/>
      </c>
      <c r="N54" s="131">
        <f t="shared" si="5"/>
        <v>0</v>
      </c>
      <c r="O54" s="105"/>
      <c r="P54" s="139" t="str">
        <f t="shared" si="15"/>
        <v/>
      </c>
      <c r="Q54" s="140" t="str">
        <f t="shared" si="2"/>
        <v/>
      </c>
      <c r="R54" s="524" t="str">
        <f t="shared" si="16"/>
        <v/>
      </c>
      <c r="S54" s="141" t="str">
        <f t="shared" si="17"/>
        <v/>
      </c>
      <c r="T54" s="141" t="str">
        <f t="shared" si="7"/>
        <v/>
      </c>
      <c r="U54" s="142" t="str">
        <f t="shared" si="8"/>
        <v/>
      </c>
      <c r="V54" s="530" t="str">
        <f ca="1">IF('Extra look-up'!$H48="Work Type","Check Work Type",IF(AND(D54="",F54="",H54="",I54="",L54="",M54=""),"",IF(OR(D54="",F54="",H54="",I54="",L54="",M54="",$L$9&lt;&gt;"OK"),"Check all fields completed correctly",IF(AND(D54="",OR(F54&lt;&gt;"",H54&lt;&gt;"",I54&lt;&gt;"",L54&lt;&gt;"")),"Check all fields completed correctly","OK"))))</f>
        <v/>
      </c>
      <c r="W54" s="500" t="str">
        <f>IF(I54="","",IF(VLOOKUP(I54,'Eligible Technologies'!$D$7:$G$69,4,FALSE)&lt;$F$9,VLOOKUP(I54,'Eligible Technologies'!$D$7:$G$69,4,FALSE),$F$9))</f>
        <v/>
      </c>
      <c r="X54" s="501" t="str">
        <f t="shared" si="13"/>
        <v/>
      </c>
      <c r="Y54" s="501">
        <f t="shared" ca="1" si="10"/>
        <v>0</v>
      </c>
      <c r="Z54" s="501" t="str">
        <f>'Extra look-up'!F48</f>
        <v/>
      </c>
      <c r="AA54" s="501" t="str">
        <f ca="1">'Extra look-up'!H48</f>
        <v>OK</v>
      </c>
      <c r="AB54" s="501">
        <f t="shared" ca="1" si="11"/>
        <v>1</v>
      </c>
      <c r="AC54" s="515" t="e">
        <f t="shared" si="12"/>
        <v>#VALUE!</v>
      </c>
      <c r="AD54" s="518" t="str">
        <f ca="1">IFERROR(AVERAGE($AH$101:INDIRECT(CONCATENATE("AH"&amp;AC54))),"")</f>
        <v/>
      </c>
      <c r="AE54" s="512"/>
      <c r="AF54" s="512"/>
      <c r="AG54" s="24"/>
      <c r="AH54" s="24"/>
      <c r="AI54" s="24"/>
      <c r="AJ54" s="24"/>
      <c r="AK54" s="24"/>
      <c r="AL54" s="24"/>
      <c r="AM54" s="24"/>
      <c r="AN54" s="24"/>
      <c r="AO54" s="24"/>
      <c r="AP54" s="24"/>
      <c r="AQ54" s="24"/>
      <c r="AR54" s="703"/>
      <c r="AS54" s="703"/>
      <c r="AT54" s="703"/>
      <c r="AU54" s="703"/>
      <c r="AV54" s="703"/>
      <c r="AW54" s="703"/>
      <c r="AX54" s="703"/>
      <c r="AY54" s="703"/>
      <c r="AZ54" s="703"/>
      <c r="BA54" s="703"/>
      <c r="BB54" s="703"/>
      <c r="BC54" s="703"/>
      <c r="BD54" s="703"/>
      <c r="BE54" s="703"/>
      <c r="BF54" s="703"/>
      <c r="BG54" s="703"/>
      <c r="BH54" s="703"/>
      <c r="BI54" s="703"/>
      <c r="BJ54" s="703"/>
      <c r="BK54" s="703"/>
      <c r="BL54" s="703"/>
      <c r="BM54" s="703"/>
      <c r="BN54" s="703"/>
      <c r="BO54" s="703"/>
      <c r="BP54" s="703"/>
      <c r="BQ54" s="703"/>
      <c r="BR54" s="703"/>
    </row>
    <row r="55" spans="1:70" s="713" customFormat="1" ht="33.950000000000003" hidden="1" customHeight="1" x14ac:dyDescent="0.2">
      <c r="A55" s="152">
        <v>44</v>
      </c>
      <c r="B55" s="98"/>
      <c r="C55" s="108"/>
      <c r="D55" s="100"/>
      <c r="E55" s="101"/>
      <c r="F55" s="102"/>
      <c r="G55" s="127" t="str">
        <f t="shared" si="14"/>
        <v/>
      </c>
      <c r="H55" s="310"/>
      <c r="I55" s="859"/>
      <c r="J55" s="860"/>
      <c r="K55" s="103"/>
      <c r="L55" s="104"/>
      <c r="M55" s="130" t="str">
        <f t="shared" si="4"/>
        <v/>
      </c>
      <c r="N55" s="131">
        <f t="shared" si="5"/>
        <v>0</v>
      </c>
      <c r="O55" s="105"/>
      <c r="P55" s="139" t="str">
        <f t="shared" si="15"/>
        <v/>
      </c>
      <c r="Q55" s="140" t="str">
        <f t="shared" si="2"/>
        <v/>
      </c>
      <c r="R55" s="524" t="str">
        <f t="shared" si="16"/>
        <v/>
      </c>
      <c r="S55" s="141" t="str">
        <f t="shared" si="17"/>
        <v/>
      </c>
      <c r="T55" s="141" t="str">
        <f t="shared" si="7"/>
        <v/>
      </c>
      <c r="U55" s="142" t="str">
        <f t="shared" si="8"/>
        <v/>
      </c>
      <c r="V55" s="530" t="str">
        <f ca="1">IF('Extra look-up'!$H49="Work Type","Check Work Type",IF(AND(D55="",F55="",H55="",I55="",L55="",M55=""),"",IF(OR(D55="",F55="",H55="",I55="",L55="",M55="",$L$9&lt;&gt;"OK"),"Check all fields completed correctly",IF(AND(D55="",OR(F55&lt;&gt;"",H55&lt;&gt;"",I55&lt;&gt;"",L55&lt;&gt;"")),"Check all fields completed correctly","OK"))))</f>
        <v/>
      </c>
      <c r="W55" s="500" t="str">
        <f>IF(I55="","",IF(VLOOKUP(I55,'Eligible Technologies'!$D$7:$G$69,4,FALSE)&lt;$F$9,VLOOKUP(I55,'Eligible Technologies'!$D$7:$G$69,4,FALSE),$F$9))</f>
        <v/>
      </c>
      <c r="X55" s="501" t="str">
        <f t="shared" si="13"/>
        <v/>
      </c>
      <c r="Y55" s="501">
        <f t="shared" ca="1" si="10"/>
        <v>0</v>
      </c>
      <c r="Z55" s="501" t="str">
        <f>'Extra look-up'!F49</f>
        <v/>
      </c>
      <c r="AA55" s="501" t="str">
        <f ca="1">'Extra look-up'!H49</f>
        <v>OK</v>
      </c>
      <c r="AB55" s="501">
        <f t="shared" ca="1" si="11"/>
        <v>1</v>
      </c>
      <c r="AC55" s="515" t="e">
        <f t="shared" si="12"/>
        <v>#VALUE!</v>
      </c>
      <c r="AD55" s="518" t="str">
        <f ca="1">IFERROR(AVERAGE($AH$101:INDIRECT(CONCATENATE("AH"&amp;AC55))),"")</f>
        <v/>
      </c>
      <c r="AE55" s="512"/>
      <c r="AF55" s="512"/>
      <c r="AG55" s="24"/>
      <c r="AH55" s="24"/>
      <c r="AI55" s="24"/>
      <c r="AJ55" s="24"/>
      <c r="AK55" s="24"/>
      <c r="AL55" s="24"/>
      <c r="AM55" s="24"/>
      <c r="AN55" s="24"/>
      <c r="AO55" s="24"/>
      <c r="AP55" s="24"/>
      <c r="AQ55" s="24"/>
      <c r="AR55" s="703"/>
      <c r="AS55" s="703"/>
      <c r="AT55" s="703"/>
      <c r="AU55" s="703"/>
      <c r="AV55" s="703"/>
      <c r="AW55" s="703"/>
      <c r="AX55" s="703"/>
      <c r="AY55" s="703"/>
      <c r="AZ55" s="703"/>
      <c r="BA55" s="703"/>
      <c r="BB55" s="703"/>
      <c r="BC55" s="703"/>
      <c r="BD55" s="703"/>
      <c r="BE55" s="703"/>
      <c r="BF55" s="703"/>
      <c r="BG55" s="703"/>
      <c r="BH55" s="703"/>
      <c r="BI55" s="703"/>
      <c r="BJ55" s="703"/>
      <c r="BK55" s="703"/>
      <c r="BL55" s="703"/>
      <c r="BM55" s="703"/>
      <c r="BN55" s="703"/>
      <c r="BO55" s="703"/>
      <c r="BP55" s="703"/>
      <c r="BQ55" s="703"/>
      <c r="BR55" s="703"/>
    </row>
    <row r="56" spans="1:70" s="713" customFormat="1" ht="33.950000000000003" hidden="1" customHeight="1" x14ac:dyDescent="0.2">
      <c r="A56" s="152">
        <v>45</v>
      </c>
      <c r="B56" s="98"/>
      <c r="C56" s="108"/>
      <c r="D56" s="100"/>
      <c r="E56" s="101"/>
      <c r="F56" s="102"/>
      <c r="G56" s="127" t="str">
        <f t="shared" si="14"/>
        <v/>
      </c>
      <c r="H56" s="310"/>
      <c r="I56" s="859"/>
      <c r="J56" s="860"/>
      <c r="K56" s="103"/>
      <c r="L56" s="104"/>
      <c r="M56" s="130" t="str">
        <f t="shared" si="4"/>
        <v/>
      </c>
      <c r="N56" s="131">
        <f t="shared" si="5"/>
        <v>0</v>
      </c>
      <c r="O56" s="105"/>
      <c r="P56" s="139" t="str">
        <f t="shared" si="15"/>
        <v/>
      </c>
      <c r="Q56" s="140" t="str">
        <f t="shared" si="2"/>
        <v/>
      </c>
      <c r="R56" s="524" t="str">
        <f t="shared" si="16"/>
        <v/>
      </c>
      <c r="S56" s="141" t="str">
        <f t="shared" si="17"/>
        <v/>
      </c>
      <c r="T56" s="141" t="str">
        <f t="shared" si="7"/>
        <v/>
      </c>
      <c r="U56" s="142" t="str">
        <f t="shared" si="8"/>
        <v/>
      </c>
      <c r="V56" s="530" t="str">
        <f ca="1">IF('Extra look-up'!$H50="Work Type","Check Work Type",IF(AND(D56="",F56="",H56="",I56="",L56="",M56=""),"",IF(OR(D56="",F56="",H56="",I56="",L56="",M56="",$L$9&lt;&gt;"OK"),"Check all fields completed correctly",IF(AND(D56="",OR(F56&lt;&gt;"",H56&lt;&gt;"",I56&lt;&gt;"",L56&lt;&gt;"")),"Check all fields completed correctly","OK"))))</f>
        <v/>
      </c>
      <c r="W56" s="500" t="str">
        <f>IF(I56="","",IF(VLOOKUP(I56,'Eligible Technologies'!$D$7:$G$69,4,FALSE)&lt;$F$9,VLOOKUP(I56,'Eligible Technologies'!$D$7:$G$69,4,FALSE),$F$9))</f>
        <v/>
      </c>
      <c r="X56" s="501" t="str">
        <f t="shared" si="13"/>
        <v/>
      </c>
      <c r="Y56" s="501">
        <f t="shared" ca="1" si="10"/>
        <v>0</v>
      </c>
      <c r="Z56" s="501" t="str">
        <f>'Extra look-up'!F50</f>
        <v/>
      </c>
      <c r="AA56" s="501" t="str">
        <f ca="1">'Extra look-up'!H50</f>
        <v>OK</v>
      </c>
      <c r="AB56" s="501">
        <f t="shared" ca="1" si="11"/>
        <v>1</v>
      </c>
      <c r="AC56" s="515" t="e">
        <f t="shared" si="12"/>
        <v>#VALUE!</v>
      </c>
      <c r="AD56" s="518" t="str">
        <f ca="1">IFERROR(AVERAGE($AH$101:INDIRECT(CONCATENATE("AH"&amp;AC56))),"")</f>
        <v/>
      </c>
      <c r="AE56" s="512"/>
      <c r="AF56" s="512"/>
      <c r="AG56" s="24"/>
      <c r="AH56" s="24"/>
      <c r="AI56" s="24"/>
      <c r="AJ56" s="24"/>
      <c r="AK56" s="24"/>
      <c r="AL56" s="24"/>
      <c r="AM56" s="24"/>
      <c r="AN56" s="24"/>
      <c r="AO56" s="24"/>
      <c r="AP56" s="24"/>
      <c r="AQ56" s="24"/>
      <c r="AR56" s="703"/>
      <c r="AS56" s="703"/>
      <c r="AT56" s="703"/>
      <c r="AU56" s="703"/>
      <c r="AV56" s="703"/>
      <c r="AW56" s="703"/>
      <c r="AX56" s="703"/>
      <c r="AY56" s="703"/>
      <c r="AZ56" s="703"/>
      <c r="BA56" s="703"/>
      <c r="BB56" s="703"/>
      <c r="BC56" s="703"/>
      <c r="BD56" s="703"/>
      <c r="BE56" s="703"/>
      <c r="BF56" s="703"/>
      <c r="BG56" s="703"/>
      <c r="BH56" s="703"/>
      <c r="BI56" s="703"/>
      <c r="BJ56" s="703"/>
      <c r="BK56" s="703"/>
      <c r="BL56" s="703"/>
      <c r="BM56" s="703"/>
      <c r="BN56" s="703"/>
      <c r="BO56" s="703"/>
      <c r="BP56" s="703"/>
      <c r="BQ56" s="703"/>
      <c r="BR56" s="703"/>
    </row>
    <row r="57" spans="1:70" s="713" customFormat="1" ht="33.950000000000003" hidden="1" customHeight="1" x14ac:dyDescent="0.2">
      <c r="A57" s="152">
        <v>46</v>
      </c>
      <c r="B57" s="98"/>
      <c r="C57" s="108"/>
      <c r="D57" s="100"/>
      <c r="E57" s="101"/>
      <c r="F57" s="102"/>
      <c r="G57" s="127" t="str">
        <f t="shared" si="14"/>
        <v/>
      </c>
      <c r="H57" s="310"/>
      <c r="I57" s="859"/>
      <c r="J57" s="860"/>
      <c r="K57" s="103"/>
      <c r="L57" s="104"/>
      <c r="M57" s="130" t="str">
        <f t="shared" si="4"/>
        <v/>
      </c>
      <c r="N57" s="131">
        <f t="shared" si="5"/>
        <v>0</v>
      </c>
      <c r="O57" s="105"/>
      <c r="P57" s="139" t="str">
        <f t="shared" si="15"/>
        <v/>
      </c>
      <c r="Q57" s="140" t="str">
        <f t="shared" si="2"/>
        <v/>
      </c>
      <c r="R57" s="524" t="str">
        <f t="shared" si="16"/>
        <v/>
      </c>
      <c r="S57" s="141" t="str">
        <f t="shared" si="17"/>
        <v/>
      </c>
      <c r="T57" s="141" t="str">
        <f t="shared" si="7"/>
        <v/>
      </c>
      <c r="U57" s="142" t="str">
        <f t="shared" si="8"/>
        <v/>
      </c>
      <c r="V57" s="530" t="str">
        <f ca="1">IF('Extra look-up'!$H51="Work Type","Check Work Type",IF(AND(D57="",F57="",H57="",I57="",L57="",M57=""),"",IF(OR(D57="",F57="",H57="",I57="",L57="",M57="",$L$9&lt;&gt;"OK"),"Check all fields completed correctly",IF(AND(D57="",OR(F57&lt;&gt;"",H57&lt;&gt;"",I57&lt;&gt;"",L57&lt;&gt;"")),"Check all fields completed correctly","OK"))))</f>
        <v/>
      </c>
      <c r="W57" s="500" t="str">
        <f>IF(I57="","",IF(VLOOKUP(I57,'Eligible Technologies'!$D$7:$G$69,4,FALSE)&lt;$F$9,VLOOKUP(I57,'Eligible Technologies'!$D$7:$G$69,4,FALSE),$F$9))</f>
        <v/>
      </c>
      <c r="X57" s="501" t="str">
        <f t="shared" si="13"/>
        <v/>
      </c>
      <c r="Y57" s="501">
        <f t="shared" ca="1" si="10"/>
        <v>0</v>
      </c>
      <c r="Z57" s="501" t="str">
        <f>'Extra look-up'!F51</f>
        <v/>
      </c>
      <c r="AA57" s="501" t="str">
        <f ca="1">'Extra look-up'!H51</f>
        <v>OK</v>
      </c>
      <c r="AB57" s="501">
        <f t="shared" ca="1" si="11"/>
        <v>1</v>
      </c>
      <c r="AC57" s="515" t="e">
        <f t="shared" si="12"/>
        <v>#VALUE!</v>
      </c>
      <c r="AD57" s="518" t="str">
        <f ca="1">IFERROR(AVERAGE($AH$101:INDIRECT(CONCATENATE("AH"&amp;AC57))),"")</f>
        <v/>
      </c>
      <c r="AE57" s="512"/>
      <c r="AF57" s="512"/>
      <c r="AG57" s="24"/>
      <c r="AH57" s="24"/>
      <c r="AI57" s="24"/>
      <c r="AJ57" s="24"/>
      <c r="AK57" s="24"/>
      <c r="AL57" s="24"/>
      <c r="AM57" s="24"/>
      <c r="AN57" s="24"/>
      <c r="AO57" s="24"/>
      <c r="AP57" s="24"/>
      <c r="AQ57" s="24"/>
      <c r="AR57" s="703"/>
      <c r="AS57" s="703"/>
      <c r="AT57" s="703"/>
      <c r="AU57" s="703"/>
      <c r="AV57" s="703"/>
      <c r="AW57" s="703"/>
      <c r="AX57" s="703"/>
      <c r="AY57" s="703"/>
      <c r="AZ57" s="703"/>
      <c r="BA57" s="703"/>
      <c r="BB57" s="703"/>
      <c r="BC57" s="703"/>
      <c r="BD57" s="703"/>
      <c r="BE57" s="703"/>
      <c r="BF57" s="703"/>
      <c r="BG57" s="703"/>
      <c r="BH57" s="703"/>
      <c r="BI57" s="703"/>
      <c r="BJ57" s="703"/>
      <c r="BK57" s="703"/>
      <c r="BL57" s="703"/>
      <c r="BM57" s="703"/>
      <c r="BN57" s="703"/>
      <c r="BO57" s="703"/>
      <c r="BP57" s="703"/>
      <c r="BQ57" s="703"/>
      <c r="BR57" s="703"/>
    </row>
    <row r="58" spans="1:70" s="713" customFormat="1" ht="33.950000000000003" hidden="1" customHeight="1" x14ac:dyDescent="0.2">
      <c r="A58" s="152">
        <v>47</v>
      </c>
      <c r="B58" s="98"/>
      <c r="C58" s="108"/>
      <c r="D58" s="100"/>
      <c r="E58" s="101"/>
      <c r="F58" s="102"/>
      <c r="G58" s="127" t="str">
        <f t="shared" si="14"/>
        <v/>
      </c>
      <c r="H58" s="310"/>
      <c r="I58" s="859"/>
      <c r="J58" s="860"/>
      <c r="K58" s="103"/>
      <c r="L58" s="104"/>
      <c r="M58" s="130" t="str">
        <f t="shared" si="4"/>
        <v/>
      </c>
      <c r="N58" s="131">
        <f t="shared" si="5"/>
        <v>0</v>
      </c>
      <c r="O58" s="105"/>
      <c r="P58" s="139" t="str">
        <f t="shared" si="15"/>
        <v/>
      </c>
      <c r="Q58" s="140" t="str">
        <f t="shared" si="2"/>
        <v/>
      </c>
      <c r="R58" s="524" t="str">
        <f t="shared" si="16"/>
        <v/>
      </c>
      <c r="S58" s="141" t="str">
        <f t="shared" si="17"/>
        <v/>
      </c>
      <c r="T58" s="141" t="str">
        <f t="shared" si="7"/>
        <v/>
      </c>
      <c r="U58" s="142" t="str">
        <f t="shared" si="8"/>
        <v/>
      </c>
      <c r="V58" s="530" t="str">
        <f ca="1">IF('Extra look-up'!$H52="Work Type","Check Work Type",IF(AND(D58="",F58="",H58="",I58="",L58="",M58=""),"",IF(OR(D58="",F58="",H58="",I58="",L58="",M58="",$L$9&lt;&gt;"OK"),"Check all fields completed correctly",IF(AND(D58="",OR(F58&lt;&gt;"",H58&lt;&gt;"",I58&lt;&gt;"",L58&lt;&gt;"")),"Check all fields completed correctly","OK"))))</f>
        <v/>
      </c>
      <c r="W58" s="500" t="str">
        <f>IF(I58="","",IF(VLOOKUP(I58,'Eligible Technologies'!$D$7:$G$69,4,FALSE)&lt;$F$9,VLOOKUP(I58,'Eligible Technologies'!$D$7:$G$69,4,FALSE),$F$9))</f>
        <v/>
      </c>
      <c r="X58" s="501" t="str">
        <f t="shared" si="13"/>
        <v/>
      </c>
      <c r="Y58" s="501">
        <f t="shared" ca="1" si="10"/>
        <v>0</v>
      </c>
      <c r="Z58" s="501" t="str">
        <f>'Extra look-up'!F52</f>
        <v/>
      </c>
      <c r="AA58" s="501" t="str">
        <f ca="1">'Extra look-up'!H52</f>
        <v>OK</v>
      </c>
      <c r="AB58" s="501">
        <f t="shared" ca="1" si="11"/>
        <v>1</v>
      </c>
      <c r="AC58" s="515" t="e">
        <f t="shared" si="12"/>
        <v>#VALUE!</v>
      </c>
      <c r="AD58" s="518" t="str">
        <f ca="1">IFERROR(AVERAGE($AH$101:INDIRECT(CONCATENATE("AH"&amp;AC58))),"")</f>
        <v/>
      </c>
      <c r="AE58" s="512"/>
      <c r="AF58" s="512"/>
      <c r="AG58" s="24"/>
      <c r="AH58" s="24"/>
      <c r="AI58" s="24"/>
      <c r="AJ58" s="24"/>
      <c r="AK58" s="24"/>
      <c r="AL58" s="24"/>
      <c r="AM58" s="24"/>
      <c r="AN58" s="24"/>
      <c r="AO58" s="24"/>
      <c r="AP58" s="24"/>
      <c r="AQ58" s="24"/>
      <c r="AR58" s="703"/>
      <c r="AS58" s="703"/>
      <c r="AT58" s="703"/>
      <c r="AU58" s="703"/>
      <c r="AV58" s="703"/>
      <c r="AW58" s="703"/>
      <c r="AX58" s="703"/>
      <c r="AY58" s="703"/>
      <c r="AZ58" s="703"/>
      <c r="BA58" s="703"/>
      <c r="BB58" s="703"/>
      <c r="BC58" s="703"/>
      <c r="BD58" s="703"/>
      <c r="BE58" s="703"/>
      <c r="BF58" s="703"/>
      <c r="BG58" s="703"/>
      <c r="BH58" s="703"/>
      <c r="BI58" s="703"/>
      <c r="BJ58" s="703"/>
      <c r="BK58" s="703"/>
      <c r="BL58" s="703"/>
      <c r="BM58" s="703"/>
      <c r="BN58" s="703"/>
      <c r="BO58" s="703"/>
      <c r="BP58" s="703"/>
      <c r="BQ58" s="703"/>
      <c r="BR58" s="703"/>
    </row>
    <row r="59" spans="1:70" s="713" customFormat="1" ht="33.950000000000003" hidden="1" customHeight="1" x14ac:dyDescent="0.2">
      <c r="A59" s="152">
        <v>48</v>
      </c>
      <c r="B59" s="98"/>
      <c r="C59" s="108"/>
      <c r="D59" s="100"/>
      <c r="E59" s="101"/>
      <c r="F59" s="102"/>
      <c r="G59" s="127" t="str">
        <f t="shared" si="14"/>
        <v/>
      </c>
      <c r="H59" s="310"/>
      <c r="I59" s="859"/>
      <c r="J59" s="860"/>
      <c r="K59" s="103"/>
      <c r="L59" s="104"/>
      <c r="M59" s="130" t="str">
        <f t="shared" si="4"/>
        <v/>
      </c>
      <c r="N59" s="131">
        <f t="shared" si="5"/>
        <v>0</v>
      </c>
      <c r="O59" s="105"/>
      <c r="P59" s="139" t="str">
        <f t="shared" si="15"/>
        <v/>
      </c>
      <c r="Q59" s="140" t="str">
        <f t="shared" si="2"/>
        <v/>
      </c>
      <c r="R59" s="524" t="str">
        <f t="shared" si="16"/>
        <v/>
      </c>
      <c r="S59" s="141" t="str">
        <f t="shared" si="17"/>
        <v/>
      </c>
      <c r="T59" s="141" t="str">
        <f t="shared" si="7"/>
        <v/>
      </c>
      <c r="U59" s="142" t="str">
        <f t="shared" si="8"/>
        <v/>
      </c>
      <c r="V59" s="530" t="str">
        <f ca="1">IF('Extra look-up'!$H53="Work Type","Check Work Type",IF(AND(D59="",F59="",H59="",I59="",L59="",M59=""),"",IF(OR(D59="",F59="",H59="",I59="",L59="",M59="",$L$9&lt;&gt;"OK"),"Check all fields completed correctly",IF(AND(D59="",OR(F59&lt;&gt;"",H59&lt;&gt;"",I59&lt;&gt;"",L59&lt;&gt;"")),"Check all fields completed correctly","OK"))))</f>
        <v/>
      </c>
      <c r="W59" s="500" t="str">
        <f>IF(I59="","",IF(VLOOKUP(I59,'Eligible Technologies'!$D$7:$G$69,4,FALSE)&lt;$F$9,VLOOKUP(I59,'Eligible Technologies'!$D$7:$G$69,4,FALSE),$F$9))</f>
        <v/>
      </c>
      <c r="X59" s="501" t="str">
        <f t="shared" si="13"/>
        <v/>
      </c>
      <c r="Y59" s="501">
        <f t="shared" ca="1" si="10"/>
        <v>0</v>
      </c>
      <c r="Z59" s="501" t="str">
        <f>'Extra look-up'!F53</f>
        <v/>
      </c>
      <c r="AA59" s="501" t="str">
        <f ca="1">'Extra look-up'!H53</f>
        <v>OK</v>
      </c>
      <c r="AB59" s="501">
        <f t="shared" ca="1" si="11"/>
        <v>1</v>
      </c>
      <c r="AC59" s="515" t="e">
        <f t="shared" si="12"/>
        <v>#VALUE!</v>
      </c>
      <c r="AD59" s="518" t="str">
        <f ca="1">IFERROR(AVERAGE($AH$101:INDIRECT(CONCATENATE("AH"&amp;AC59))),"")</f>
        <v/>
      </c>
      <c r="AE59" s="512"/>
      <c r="AF59" s="512"/>
      <c r="AG59" s="24"/>
      <c r="AH59" s="24"/>
      <c r="AI59" s="24"/>
      <c r="AJ59" s="24"/>
      <c r="AK59" s="24"/>
      <c r="AL59" s="24"/>
      <c r="AM59" s="24"/>
      <c r="AN59" s="24"/>
      <c r="AO59" s="24"/>
      <c r="AP59" s="24"/>
      <c r="AQ59" s="24"/>
      <c r="AR59" s="703"/>
      <c r="AS59" s="703"/>
      <c r="AT59" s="703"/>
      <c r="AU59" s="703"/>
      <c r="AV59" s="703"/>
      <c r="AW59" s="703"/>
      <c r="AX59" s="703"/>
      <c r="AY59" s="703"/>
      <c r="AZ59" s="703"/>
      <c r="BA59" s="703"/>
      <c r="BB59" s="703"/>
      <c r="BC59" s="703"/>
      <c r="BD59" s="703"/>
      <c r="BE59" s="703"/>
      <c r="BF59" s="703"/>
      <c r="BG59" s="703"/>
      <c r="BH59" s="703"/>
      <c r="BI59" s="703"/>
      <c r="BJ59" s="703"/>
      <c r="BK59" s="703"/>
      <c r="BL59" s="703"/>
      <c r="BM59" s="703"/>
      <c r="BN59" s="703"/>
      <c r="BO59" s="703"/>
      <c r="BP59" s="703"/>
      <c r="BQ59" s="703"/>
      <c r="BR59" s="703"/>
    </row>
    <row r="60" spans="1:70" s="713" customFormat="1" ht="33.950000000000003" hidden="1" customHeight="1" x14ac:dyDescent="0.2">
      <c r="A60" s="152">
        <v>49</v>
      </c>
      <c r="B60" s="98"/>
      <c r="C60" s="108"/>
      <c r="D60" s="100"/>
      <c r="E60" s="101"/>
      <c r="F60" s="102"/>
      <c r="G60" s="127" t="str">
        <f t="shared" si="14"/>
        <v/>
      </c>
      <c r="H60" s="310"/>
      <c r="I60" s="859"/>
      <c r="J60" s="860"/>
      <c r="K60" s="103"/>
      <c r="L60" s="104"/>
      <c r="M60" s="130" t="str">
        <f t="shared" si="4"/>
        <v/>
      </c>
      <c r="N60" s="131">
        <f t="shared" si="5"/>
        <v>0</v>
      </c>
      <c r="O60" s="105"/>
      <c r="P60" s="139" t="str">
        <f t="shared" si="15"/>
        <v/>
      </c>
      <c r="Q60" s="140" t="str">
        <f t="shared" si="2"/>
        <v/>
      </c>
      <c r="R60" s="524" t="str">
        <f t="shared" si="16"/>
        <v/>
      </c>
      <c r="S60" s="141" t="str">
        <f t="shared" si="17"/>
        <v/>
      </c>
      <c r="T60" s="141" t="str">
        <f t="shared" si="7"/>
        <v/>
      </c>
      <c r="U60" s="142" t="str">
        <f t="shared" si="8"/>
        <v/>
      </c>
      <c r="V60" s="530" t="str">
        <f ca="1">IF('Extra look-up'!$H54="Work Type","Check Work Type",IF(AND(D60="",F60="",H60="",I60="",L60="",M60=""),"",IF(OR(D60="",F60="",H60="",I60="",L60="",M60="",$L$9&lt;&gt;"OK"),"Check all fields completed correctly",IF(AND(D60="",OR(F60&lt;&gt;"",H60&lt;&gt;"",I60&lt;&gt;"",L60&lt;&gt;"")),"Check all fields completed correctly","OK"))))</f>
        <v/>
      </c>
      <c r="W60" s="500" t="str">
        <f>IF(I60="","",IF(VLOOKUP(I60,'Eligible Technologies'!$D$7:$G$69,4,FALSE)&lt;$F$9,VLOOKUP(I60,'Eligible Technologies'!$D$7:$G$69,4,FALSE),$F$9))</f>
        <v/>
      </c>
      <c r="X60" s="501" t="str">
        <f t="shared" si="13"/>
        <v/>
      </c>
      <c r="Y60" s="501">
        <f t="shared" ca="1" si="10"/>
        <v>0</v>
      </c>
      <c r="Z60" s="501" t="str">
        <f>'Extra look-up'!F54</f>
        <v/>
      </c>
      <c r="AA60" s="501" t="str">
        <f ca="1">'Extra look-up'!H54</f>
        <v>OK</v>
      </c>
      <c r="AB60" s="501">
        <f t="shared" ca="1" si="11"/>
        <v>1</v>
      </c>
      <c r="AC60" s="515" t="e">
        <f t="shared" si="12"/>
        <v>#VALUE!</v>
      </c>
      <c r="AD60" s="518" t="str">
        <f ca="1">IFERROR(AVERAGE($AH$101:INDIRECT(CONCATENATE("AH"&amp;AC60))),"")</f>
        <v/>
      </c>
      <c r="AE60" s="512"/>
      <c r="AF60" s="512"/>
      <c r="AG60" s="24"/>
      <c r="AH60" s="24"/>
      <c r="AI60" s="24"/>
      <c r="AJ60" s="24"/>
      <c r="AK60" s="24"/>
      <c r="AL60" s="24"/>
      <c r="AM60" s="24"/>
      <c r="AN60" s="24"/>
      <c r="AO60" s="24"/>
      <c r="AP60" s="24"/>
      <c r="AQ60" s="24"/>
      <c r="AR60" s="703"/>
      <c r="AS60" s="703"/>
      <c r="AT60" s="703"/>
      <c r="AU60" s="703"/>
      <c r="AV60" s="703"/>
      <c r="AW60" s="703"/>
      <c r="AX60" s="703"/>
      <c r="AY60" s="703"/>
      <c r="AZ60" s="703"/>
      <c r="BA60" s="703"/>
      <c r="BB60" s="703"/>
      <c r="BC60" s="703"/>
      <c r="BD60" s="703"/>
      <c r="BE60" s="703"/>
      <c r="BF60" s="703"/>
      <c r="BG60" s="703"/>
      <c r="BH60" s="703"/>
      <c r="BI60" s="703"/>
      <c r="BJ60" s="703"/>
      <c r="BK60" s="703"/>
      <c r="BL60" s="703"/>
      <c r="BM60" s="703"/>
      <c r="BN60" s="703"/>
      <c r="BO60" s="703"/>
      <c r="BP60" s="703"/>
      <c r="BQ60" s="703"/>
      <c r="BR60" s="703"/>
    </row>
    <row r="61" spans="1:70" s="713" customFormat="1" ht="2.4500000000000002" hidden="1" customHeight="1" thickBot="1" x14ac:dyDescent="0.25">
      <c r="A61" s="152">
        <v>50</v>
      </c>
      <c r="B61" s="98"/>
      <c r="C61" s="106"/>
      <c r="D61" s="100"/>
      <c r="E61" s="101"/>
      <c r="F61" s="102"/>
      <c r="G61" s="127" t="str">
        <f t="shared" si="14"/>
        <v/>
      </c>
      <c r="H61" s="310"/>
      <c r="I61" s="859"/>
      <c r="J61" s="860"/>
      <c r="K61" s="103"/>
      <c r="L61" s="104"/>
      <c r="M61" s="130" t="str">
        <f t="shared" si="4"/>
        <v/>
      </c>
      <c r="N61" s="131">
        <f t="shared" si="5"/>
        <v>0</v>
      </c>
      <c r="O61" s="105"/>
      <c r="P61" s="139" t="str">
        <f t="shared" si="15"/>
        <v/>
      </c>
      <c r="Q61" s="140" t="str">
        <f t="shared" si="2"/>
        <v/>
      </c>
      <c r="R61" s="524" t="str">
        <f t="shared" si="16"/>
        <v/>
      </c>
      <c r="S61" s="141" t="str">
        <f t="shared" si="17"/>
        <v/>
      </c>
      <c r="T61" s="141" t="str">
        <f t="shared" si="7"/>
        <v/>
      </c>
      <c r="U61" s="142" t="str">
        <f t="shared" si="8"/>
        <v/>
      </c>
      <c r="V61" s="531" t="str">
        <f>IF('Extra look-up'!$H80="Work Type","Check Work Type",IF(AND(D61="",F61="",H61="",I61="",L61="",M61=""),"",IF(OR(D61="",F61="",H61="",I61="",L61="",M61="",$L$9&lt;&gt;"OK"),"Check all fields completed correctly",IF(AND(D61="",OR(F61&lt;&gt;"",H61&lt;&gt;"",I61&lt;&gt;"",L61&lt;&gt;"")),"Check all fields completed correctly","OK"))))</f>
        <v/>
      </c>
      <c r="W61" s="502" t="str">
        <f>IF(I61="","",IF(VLOOKUP(I61,'Eligible Technologies'!$D$7:$G$69,4,FALSE)&lt;$F$9,VLOOKUP(I61,'Eligible Technologies'!$D$7:$G$69,4,FALSE),$F$9))</f>
        <v/>
      </c>
      <c r="X61" s="503" t="str">
        <f t="shared" si="13"/>
        <v/>
      </c>
      <c r="Y61" s="503">
        <f t="shared" si="10"/>
        <v>0</v>
      </c>
      <c r="Z61" s="503" t="str">
        <f>'Extra look-up'!F55</f>
        <v/>
      </c>
      <c r="AA61" s="503" t="str">
        <f ca="1">'Extra look-up'!H55</f>
        <v>OK</v>
      </c>
      <c r="AB61" s="503">
        <f t="shared" si="11"/>
        <v>1</v>
      </c>
      <c r="AC61" s="516" t="e">
        <f t="shared" si="12"/>
        <v>#VALUE!</v>
      </c>
      <c r="AD61" s="519" t="str">
        <f ca="1">IFERROR(AVERAGE($AH$101:INDIRECT(CONCATENATE("AH"&amp;AC61))),"")</f>
        <v/>
      </c>
      <c r="AE61" s="512"/>
      <c r="AF61" s="512"/>
      <c r="AG61" s="24"/>
      <c r="AH61" s="24"/>
      <c r="AI61" s="24"/>
      <c r="AJ61" s="24"/>
      <c r="AK61" s="24"/>
      <c r="AL61" s="24"/>
      <c r="AM61" s="24"/>
      <c r="AN61" s="24"/>
      <c r="AO61" s="24"/>
      <c r="AP61" s="24"/>
      <c r="AQ61" s="24"/>
      <c r="AR61" s="703"/>
      <c r="AS61" s="703"/>
      <c r="AT61" s="703"/>
      <c r="AU61" s="703"/>
      <c r="AV61" s="703"/>
      <c r="AW61" s="703"/>
      <c r="AX61" s="703"/>
      <c r="AY61" s="703"/>
      <c r="AZ61" s="703"/>
      <c r="BA61" s="703"/>
      <c r="BB61" s="703"/>
      <c r="BC61" s="703"/>
      <c r="BD61" s="703"/>
      <c r="BE61" s="703"/>
      <c r="BF61" s="703"/>
      <c r="BG61" s="703"/>
      <c r="BH61" s="703"/>
      <c r="BI61" s="703"/>
      <c r="BJ61" s="703"/>
      <c r="BK61" s="703"/>
      <c r="BL61" s="703"/>
      <c r="BM61" s="703"/>
      <c r="BN61" s="703"/>
      <c r="BO61" s="703"/>
      <c r="BP61" s="703"/>
      <c r="BQ61" s="703"/>
      <c r="BR61" s="703"/>
    </row>
    <row r="62" spans="1:70" s="713" customFormat="1" ht="15" customHeight="1" thickBot="1" x14ac:dyDescent="0.25">
      <c r="A62" s="217"/>
      <c r="B62" s="218"/>
      <c r="C62" s="218"/>
      <c r="D62" s="218"/>
      <c r="E62" s="218"/>
      <c r="F62" s="218"/>
      <c r="G62" s="218"/>
      <c r="H62" s="218"/>
      <c r="I62" s="218"/>
      <c r="J62" s="218"/>
      <c r="K62" s="218"/>
      <c r="L62" s="218"/>
      <c r="M62" s="218"/>
      <c r="N62" s="218"/>
      <c r="O62" s="218"/>
      <c r="P62" s="218"/>
      <c r="Q62" s="218"/>
      <c r="R62" s="218"/>
      <c r="S62" s="218"/>
      <c r="T62" s="218"/>
      <c r="U62" s="218"/>
      <c r="V62" s="219"/>
      <c r="W62" s="6"/>
      <c r="X62" s="23"/>
      <c r="Y62" s="507">
        <f ca="1">SUM(Y12:Y61)</f>
        <v>0</v>
      </c>
      <c r="Z62" s="23"/>
      <c r="AA62" s="23"/>
      <c r="AB62" s="507">
        <f ca="1">SUM(AB12:AB61)</f>
        <v>50</v>
      </c>
      <c r="AC62" s="23"/>
      <c r="AD62" s="23"/>
      <c r="AE62" s="23"/>
      <c r="AF62" s="23"/>
      <c r="AG62" s="24"/>
      <c r="AH62" s="24"/>
      <c r="AI62" s="24"/>
      <c r="AJ62" s="24"/>
      <c r="AK62" s="24"/>
      <c r="AL62" s="24"/>
      <c r="AM62" s="24"/>
      <c r="AN62" s="24"/>
      <c r="AO62" s="24"/>
      <c r="AP62" s="24"/>
      <c r="AQ62" s="24"/>
      <c r="AR62" s="703"/>
      <c r="AS62" s="703"/>
      <c r="AT62" s="703"/>
      <c r="AU62" s="703"/>
      <c r="AV62" s="703"/>
      <c r="AW62" s="703"/>
      <c r="AX62" s="703"/>
      <c r="AY62" s="703"/>
      <c r="AZ62" s="703"/>
      <c r="BA62" s="703"/>
      <c r="BB62" s="703"/>
      <c r="BC62" s="703"/>
      <c r="BD62" s="703"/>
      <c r="BE62" s="703"/>
      <c r="BF62" s="703"/>
      <c r="BG62" s="703"/>
      <c r="BH62" s="703"/>
      <c r="BI62" s="703"/>
      <c r="BJ62" s="703"/>
      <c r="BK62" s="703"/>
      <c r="BL62" s="703"/>
      <c r="BM62" s="703"/>
      <c r="BN62" s="703"/>
      <c r="BO62" s="703"/>
      <c r="BP62" s="703"/>
      <c r="BQ62" s="703"/>
      <c r="BR62" s="703"/>
    </row>
    <row r="63" spans="1:70" s="713" customFormat="1" ht="15" customHeight="1" thickBot="1" x14ac:dyDescent="0.25">
      <c r="A63" s="153"/>
      <c r="B63" s="317"/>
      <c r="C63" s="317"/>
      <c r="D63" s="317"/>
      <c r="E63" s="317"/>
      <c r="F63" s="317"/>
      <c r="G63" s="317"/>
      <c r="H63" s="317"/>
      <c r="I63" s="317"/>
      <c r="J63" s="317"/>
      <c r="K63" s="317"/>
      <c r="L63" s="317"/>
      <c r="M63" s="317"/>
      <c r="N63" s="317"/>
      <c r="O63" s="317"/>
      <c r="P63" s="317"/>
      <c r="Q63" s="317"/>
      <c r="R63" s="317"/>
      <c r="S63" s="317"/>
      <c r="T63" s="317"/>
      <c r="U63" s="317"/>
      <c r="V63" s="317"/>
      <c r="W63" s="6"/>
      <c r="X63" s="23"/>
      <c r="Y63" s="23"/>
      <c r="Z63" s="23"/>
      <c r="AA63" s="23"/>
      <c r="AB63" s="23"/>
      <c r="AC63" s="23"/>
      <c r="AD63" s="23"/>
      <c r="AE63" s="23"/>
      <c r="AF63" s="23"/>
      <c r="AG63" s="24"/>
      <c r="AH63" s="24"/>
      <c r="AI63" s="24"/>
      <c r="AJ63" s="24"/>
      <c r="AK63" s="24"/>
      <c r="AL63" s="24"/>
      <c r="AM63" s="24"/>
      <c r="AN63" s="24"/>
      <c r="AO63" s="24"/>
      <c r="AP63" s="24"/>
      <c r="AQ63" s="24"/>
      <c r="AR63" s="703"/>
      <c r="AS63" s="703"/>
      <c r="AT63" s="703"/>
      <c r="AU63" s="703"/>
      <c r="AV63" s="703"/>
      <c r="AW63" s="703"/>
      <c r="AX63" s="703"/>
      <c r="AY63" s="703"/>
      <c r="AZ63" s="703"/>
      <c r="BA63" s="703"/>
      <c r="BB63" s="703"/>
      <c r="BC63" s="703"/>
      <c r="BD63" s="703"/>
      <c r="BE63" s="703"/>
      <c r="BF63" s="703"/>
      <c r="BG63" s="703"/>
      <c r="BH63" s="703"/>
      <c r="BI63" s="703"/>
      <c r="BJ63" s="703"/>
      <c r="BK63" s="703"/>
      <c r="BL63" s="703"/>
      <c r="BM63" s="703"/>
      <c r="BN63" s="703"/>
      <c r="BO63" s="703"/>
      <c r="BP63" s="703"/>
      <c r="BQ63" s="703"/>
      <c r="BR63" s="703"/>
    </row>
    <row r="64" spans="1:70" s="713" customFormat="1" ht="60.75" customHeight="1" thickBot="1" x14ac:dyDescent="0.25">
      <c r="A64" s="150"/>
      <c r="B64" s="317"/>
      <c r="C64" s="317"/>
      <c r="D64" s="317"/>
      <c r="E64" s="317"/>
      <c r="F64" s="317"/>
      <c r="G64" s="317"/>
      <c r="H64" s="318"/>
      <c r="I64" s="317"/>
      <c r="J64" s="317"/>
      <c r="K64" s="317"/>
      <c r="L64" s="317"/>
      <c r="M64" s="317"/>
      <c r="N64" s="229" t="s">
        <v>116</v>
      </c>
      <c r="O64" s="229" t="s">
        <v>117</v>
      </c>
      <c r="P64" s="230" t="s">
        <v>118</v>
      </c>
      <c r="Q64" s="118" t="s">
        <v>52</v>
      </c>
      <c r="R64" s="118" t="s">
        <v>119</v>
      </c>
      <c r="S64" s="118" t="s">
        <v>120</v>
      </c>
      <c r="T64" s="118" t="s">
        <v>121</v>
      </c>
      <c r="U64" s="126" t="s">
        <v>122</v>
      </c>
      <c r="V64" s="231" t="s">
        <v>123</v>
      </c>
      <c r="W64" s="6"/>
      <c r="X64" s="23"/>
      <c r="Y64" s="23"/>
      <c r="Z64" s="23"/>
      <c r="AA64" s="23"/>
      <c r="AB64" s="23"/>
      <c r="AC64" s="23"/>
      <c r="AD64" s="23"/>
      <c r="AE64" s="23"/>
      <c r="AF64" s="23"/>
      <c r="AG64" s="24"/>
      <c r="AH64" s="24"/>
      <c r="AI64" s="24"/>
      <c r="AJ64" s="24"/>
      <c r="AK64" s="24"/>
      <c r="AL64" s="24"/>
      <c r="AM64" s="24"/>
      <c r="AN64" s="24"/>
      <c r="AO64" s="24"/>
      <c r="AP64" s="24"/>
      <c r="AQ64" s="24"/>
      <c r="AR64" s="703"/>
      <c r="AS64" s="703"/>
      <c r="AT64" s="703"/>
      <c r="AU64" s="703"/>
      <c r="AV64" s="703"/>
      <c r="AW64" s="703"/>
      <c r="AX64" s="703"/>
      <c r="AY64" s="703"/>
      <c r="AZ64" s="703"/>
      <c r="BA64" s="703"/>
      <c r="BB64" s="703"/>
      <c r="BC64" s="703"/>
      <c r="BD64" s="703"/>
      <c r="BE64" s="703"/>
      <c r="BF64" s="703"/>
      <c r="BG64" s="703"/>
      <c r="BH64" s="703"/>
      <c r="BI64" s="703"/>
      <c r="BJ64" s="703"/>
      <c r="BK64" s="703"/>
      <c r="BL64" s="703"/>
      <c r="BM64" s="703"/>
      <c r="BN64" s="703"/>
      <c r="BO64" s="703"/>
      <c r="BP64" s="703"/>
      <c r="BQ64" s="703"/>
      <c r="BR64" s="703"/>
    </row>
    <row r="65" spans="1:70" s="713" customFormat="1" ht="30.75" customHeight="1" x14ac:dyDescent="0.2">
      <c r="A65" s="150"/>
      <c r="B65" s="319"/>
      <c r="C65" s="320"/>
      <c r="D65" s="321"/>
      <c r="E65" s="319"/>
      <c r="F65" s="319"/>
      <c r="G65" s="319"/>
      <c r="H65" s="319"/>
      <c r="I65" s="319"/>
      <c r="J65" s="319"/>
      <c r="K65" s="322"/>
      <c r="L65" s="322"/>
      <c r="M65" s="322"/>
      <c r="N65" s="220"/>
      <c r="O65" s="221" t="str">
        <f>IF(OR(L9&lt;&gt;"OK",$D$4=""),"",SUM(O12:O61))</f>
        <v/>
      </c>
      <c r="P65" s="222" t="str">
        <f>IF(OR(L9&lt;&gt;"OK",$D$4=""),"",SUM(P12:P61))</f>
        <v/>
      </c>
      <c r="Q65" s="223" t="str">
        <f>IF(OR(P65&lt;=0,P65=""),"",N65/P65)</f>
        <v/>
      </c>
      <c r="R65" s="224" t="str">
        <f>IF(Q65="","",SUM(R12:R61))</f>
        <v/>
      </c>
      <c r="S65" s="225" t="str">
        <f>IF(R65="","",SUM(S12:S61))</f>
        <v/>
      </c>
      <c r="T65" s="226" t="str">
        <f>IF(S65="","",SUM(T12:T61))</f>
        <v/>
      </c>
      <c r="U65" s="227" t="str">
        <f>IF(ISERROR(N65/T65),"",N65/T65)</f>
        <v/>
      </c>
      <c r="V65" s="228" t="str">
        <f>IF($D$4="","Please Select Programme",IF(L9&lt;&gt;"OK","Check Project Details",IF(Y62=0,"Enter Work Type Details",IF(N65=0,"Enter Funding Requested",IF(AB62&gt;=51,"Check Work Type Details",'Extra look-up'!H77)))))</f>
        <v>Please Select Programme</v>
      </c>
      <c r="W65" s="6"/>
      <c r="X65" s="23"/>
      <c r="Y65" s="23"/>
      <c r="Z65" s="23"/>
      <c r="AA65" s="23"/>
      <c r="AB65" s="23"/>
      <c r="AC65" s="23"/>
      <c r="AD65" s="23"/>
      <c r="AE65" s="23"/>
      <c r="AF65" s="23"/>
      <c r="AG65" s="24"/>
      <c r="AH65" s="24"/>
      <c r="AI65" s="24"/>
      <c r="AJ65" s="24"/>
      <c r="AK65" s="24"/>
      <c r="AL65" s="24"/>
      <c r="AM65" s="24"/>
      <c r="AN65" s="24"/>
      <c r="AO65" s="24"/>
      <c r="AP65" s="24"/>
      <c r="AQ65" s="24"/>
      <c r="AR65" s="703"/>
      <c r="AS65" s="703"/>
      <c r="AT65" s="703"/>
      <c r="AU65" s="703"/>
      <c r="AV65" s="703"/>
      <c r="AW65" s="703"/>
      <c r="AX65" s="703"/>
      <c r="AY65" s="703"/>
      <c r="AZ65" s="703"/>
      <c r="BA65" s="703"/>
      <c r="BB65" s="703"/>
      <c r="BC65" s="703"/>
      <c r="BD65" s="703"/>
      <c r="BE65" s="703"/>
      <c r="BF65" s="703"/>
      <c r="BG65" s="703"/>
      <c r="BH65" s="703"/>
      <c r="BI65" s="703"/>
      <c r="BJ65" s="703"/>
      <c r="BK65" s="703"/>
      <c r="BL65" s="703"/>
      <c r="BM65" s="703"/>
      <c r="BN65" s="703"/>
      <c r="BO65" s="703"/>
      <c r="BP65" s="703"/>
      <c r="BQ65" s="703"/>
      <c r="BR65" s="703"/>
    </row>
    <row r="66" spans="1:70" s="713" customFormat="1" ht="15" customHeight="1" thickBot="1" x14ac:dyDescent="0.25">
      <c r="A66" s="149"/>
      <c r="B66" s="323"/>
      <c r="C66" s="324"/>
      <c r="D66" s="325"/>
      <c r="E66" s="323"/>
      <c r="F66" s="323"/>
      <c r="G66" s="323"/>
      <c r="H66" s="323"/>
      <c r="I66" s="323"/>
      <c r="J66" s="323"/>
      <c r="K66" s="326"/>
      <c r="L66" s="327"/>
      <c r="M66" s="143"/>
      <c r="N66" s="143"/>
      <c r="O66" s="144"/>
      <c r="P66" s="145"/>
      <c r="Q66" s="146"/>
      <c r="R66" s="147"/>
      <c r="S66" s="146"/>
      <c r="T66" s="148"/>
      <c r="U66" s="331"/>
      <c r="V66" s="331"/>
      <c r="W66" s="6"/>
      <c r="X66" s="23"/>
      <c r="Y66" s="23"/>
      <c r="Z66" s="23"/>
      <c r="AA66" s="23"/>
      <c r="AB66" s="23"/>
      <c r="AC66" s="23"/>
      <c r="AD66" s="23"/>
      <c r="AE66" s="23"/>
      <c r="AF66" s="23"/>
      <c r="AG66" s="6"/>
      <c r="AH66" s="6"/>
      <c r="AI66" s="6"/>
      <c r="AJ66" s="6"/>
      <c r="AK66" s="6"/>
      <c r="AL66" s="6"/>
      <c r="AM66" s="6"/>
      <c r="AN66" s="6"/>
      <c r="AO66" s="6"/>
      <c r="AP66" s="6"/>
      <c r="AQ66" s="6"/>
      <c r="AR66" s="703"/>
      <c r="AS66" s="703"/>
      <c r="AT66" s="703"/>
      <c r="AU66" s="703"/>
      <c r="AV66" s="703"/>
      <c r="AW66" s="703"/>
      <c r="AX66" s="703"/>
      <c r="AY66" s="703"/>
      <c r="AZ66" s="703"/>
      <c r="BA66" s="703"/>
      <c r="BB66" s="703"/>
      <c r="BC66" s="703"/>
      <c r="BD66" s="703"/>
      <c r="BE66" s="703"/>
      <c r="BF66" s="703"/>
      <c r="BG66" s="703"/>
      <c r="BH66" s="703"/>
      <c r="BI66" s="703"/>
      <c r="BJ66" s="703"/>
      <c r="BK66" s="703"/>
      <c r="BL66" s="703"/>
      <c r="BM66" s="703"/>
      <c r="BN66" s="703"/>
      <c r="BO66" s="703"/>
      <c r="BP66" s="703"/>
      <c r="BQ66" s="703"/>
      <c r="BR66" s="703"/>
    </row>
    <row r="67" spans="1:70" s="713" customFormat="1" ht="36.75" customHeight="1" x14ac:dyDescent="0.2">
      <c r="A67" s="328"/>
      <c r="B67" s="873" t="s">
        <v>124</v>
      </c>
      <c r="C67" s="874"/>
      <c r="D67" s="874"/>
      <c r="E67" s="874"/>
      <c r="F67" s="874"/>
      <c r="G67" s="874"/>
      <c r="H67" s="874"/>
      <c r="I67" s="874"/>
      <c r="J67" s="874"/>
      <c r="K67" s="874"/>
      <c r="L67" s="874"/>
      <c r="M67" s="874"/>
      <c r="N67" s="874"/>
      <c r="O67" s="874"/>
      <c r="P67" s="874"/>
      <c r="Q67" s="874"/>
      <c r="R67" s="874"/>
      <c r="S67" s="874"/>
      <c r="T67" s="874"/>
      <c r="U67" s="874"/>
      <c r="V67" s="875"/>
      <c r="W67" s="6"/>
      <c r="X67" s="23"/>
      <c r="Y67" s="23"/>
      <c r="Z67" s="23"/>
      <c r="AA67" s="23"/>
      <c r="AB67" s="23"/>
      <c r="AC67" s="23"/>
      <c r="AD67" s="23"/>
      <c r="AE67" s="23"/>
      <c r="AF67" s="23"/>
      <c r="AG67" s="6"/>
      <c r="AH67" s="6"/>
      <c r="AI67" s="6"/>
      <c r="AJ67" s="6"/>
      <c r="AK67" s="6"/>
      <c r="AL67" s="6"/>
      <c r="AM67" s="6"/>
      <c r="AN67" s="6"/>
      <c r="AO67" s="6"/>
      <c r="AP67" s="6"/>
      <c r="AQ67" s="6"/>
      <c r="AR67" s="703"/>
      <c r="AS67" s="703"/>
      <c r="AT67" s="703"/>
      <c r="AU67" s="703"/>
      <c r="AV67" s="703"/>
      <c r="AW67" s="703"/>
      <c r="AX67" s="703"/>
      <c r="AY67" s="703"/>
      <c r="AZ67" s="703"/>
      <c r="BA67" s="703"/>
      <c r="BB67" s="703"/>
      <c r="BC67" s="703"/>
      <c r="BD67" s="703"/>
      <c r="BE67" s="703"/>
      <c r="BF67" s="703"/>
      <c r="BG67" s="703"/>
      <c r="BH67" s="703"/>
      <c r="BI67" s="703"/>
      <c r="BJ67" s="703"/>
      <c r="BK67" s="703"/>
      <c r="BL67" s="703"/>
      <c r="BM67" s="703"/>
      <c r="BN67" s="703"/>
      <c r="BO67" s="703"/>
      <c r="BP67" s="703"/>
      <c r="BQ67" s="703"/>
      <c r="BR67" s="703"/>
    </row>
    <row r="68" spans="1:70" s="713" customFormat="1" ht="21" customHeight="1" x14ac:dyDescent="0.2">
      <c r="A68" s="328"/>
      <c r="B68" s="851" t="s">
        <v>125</v>
      </c>
      <c r="C68" s="852"/>
      <c r="D68" s="852"/>
      <c r="E68" s="852"/>
      <c r="F68" s="852"/>
      <c r="G68" s="852"/>
      <c r="H68" s="852"/>
      <c r="I68" s="852"/>
      <c r="J68" s="852"/>
      <c r="K68" s="852"/>
      <c r="L68" s="852"/>
      <c r="M68" s="852"/>
      <c r="N68" s="852"/>
      <c r="O68" s="852"/>
      <c r="P68" s="852"/>
      <c r="Q68" s="852"/>
      <c r="R68" s="852"/>
      <c r="S68" s="852"/>
      <c r="T68" s="852"/>
      <c r="U68" s="852"/>
      <c r="V68" s="853"/>
      <c r="W68" s="6"/>
      <c r="X68" s="23"/>
      <c r="Y68" s="23"/>
      <c r="Z68" s="23"/>
      <c r="AA68" s="23"/>
      <c r="AB68" s="23"/>
      <c r="AC68" s="23"/>
      <c r="AD68" s="23"/>
      <c r="AE68" s="23"/>
      <c r="AF68" s="23"/>
      <c r="AG68" s="6"/>
      <c r="AH68" s="6"/>
      <c r="AI68" s="6"/>
      <c r="AJ68" s="6"/>
      <c r="AK68" s="6"/>
      <c r="AL68" s="6"/>
      <c r="AM68" s="6"/>
      <c r="AN68" s="6"/>
      <c r="AO68" s="6"/>
      <c r="AP68" s="6"/>
      <c r="AQ68" s="6"/>
      <c r="AR68" s="703"/>
      <c r="AS68" s="703"/>
      <c r="AT68" s="703"/>
      <c r="AU68" s="703"/>
      <c r="AV68" s="703"/>
      <c r="AW68" s="703"/>
      <c r="AX68" s="703"/>
      <c r="AY68" s="703"/>
      <c r="AZ68" s="703"/>
      <c r="BA68" s="703"/>
      <c r="BB68" s="703"/>
      <c r="BC68" s="703"/>
      <c r="BD68" s="703"/>
      <c r="BE68" s="703"/>
      <c r="BF68" s="703"/>
      <c r="BG68" s="703"/>
      <c r="BH68" s="703"/>
      <c r="BI68" s="703"/>
      <c r="BJ68" s="703"/>
      <c r="BK68" s="703"/>
      <c r="BL68" s="703"/>
      <c r="BM68" s="703"/>
      <c r="BN68" s="703"/>
      <c r="BO68" s="703"/>
      <c r="BP68" s="703"/>
      <c r="BQ68" s="703"/>
      <c r="BR68" s="703"/>
    </row>
    <row r="69" spans="1:70" ht="97.5" customHeight="1" thickBot="1" x14ac:dyDescent="0.25">
      <c r="A69" s="328"/>
      <c r="B69" s="876" t="s">
        <v>126</v>
      </c>
      <c r="C69" s="877"/>
      <c r="D69" s="877"/>
      <c r="E69" s="877"/>
      <c r="F69" s="877"/>
      <c r="G69" s="877"/>
      <c r="H69" s="877"/>
      <c r="I69" s="877"/>
      <c r="J69" s="877"/>
      <c r="K69" s="877"/>
      <c r="L69" s="877"/>
      <c r="M69" s="877"/>
      <c r="N69" s="877"/>
      <c r="O69" s="877"/>
      <c r="P69" s="877"/>
      <c r="Q69" s="877"/>
      <c r="R69" s="877"/>
      <c r="S69" s="877"/>
      <c r="T69" s="877"/>
      <c r="U69" s="877"/>
      <c r="V69" s="878"/>
      <c r="W69" s="11"/>
      <c r="X69" s="23"/>
      <c r="Y69" s="23"/>
      <c r="Z69" s="23"/>
      <c r="AA69" s="23"/>
      <c r="AB69" s="23"/>
      <c r="AC69" s="23"/>
      <c r="AD69" s="23"/>
      <c r="AE69" s="23"/>
      <c r="AF69" s="23"/>
      <c r="AG69" s="23"/>
      <c r="AH69" s="23"/>
      <c r="AI69" s="23"/>
      <c r="AJ69" s="23"/>
      <c r="AK69" s="23"/>
      <c r="AL69" s="23"/>
      <c r="AM69" s="23"/>
      <c r="AN69" s="23"/>
      <c r="AO69" s="23"/>
      <c r="AP69" s="23"/>
      <c r="AQ69" s="23"/>
    </row>
    <row r="70" spans="1:70" x14ac:dyDescent="0.2">
      <c r="A70" s="329"/>
      <c r="B70" s="330"/>
      <c r="C70" s="330"/>
      <c r="D70" s="330"/>
      <c r="E70" s="330"/>
      <c r="F70" s="330"/>
      <c r="G70" s="330"/>
      <c r="H70" s="330"/>
      <c r="I70" s="330"/>
      <c r="J70" s="330"/>
      <c r="K70" s="330"/>
      <c r="L70" s="330"/>
      <c r="M70" s="330"/>
      <c r="N70" s="330"/>
      <c r="O70" s="330"/>
      <c r="P70" s="330"/>
      <c r="Q70" s="330"/>
      <c r="R70" s="330"/>
      <c r="S70" s="330"/>
      <c r="T70" s="330"/>
      <c r="U70" s="330"/>
      <c r="V70" s="714"/>
      <c r="W70" s="11"/>
      <c r="X70" s="23"/>
      <c r="Y70" s="23"/>
      <c r="Z70" s="23"/>
      <c r="AA70" s="23"/>
      <c r="AB70" s="23"/>
      <c r="AC70" s="23"/>
      <c r="AD70" s="23"/>
      <c r="AE70" s="23"/>
      <c r="AF70" s="23"/>
      <c r="AG70" s="23"/>
      <c r="AH70" s="23"/>
      <c r="AI70" s="23"/>
      <c r="AJ70" s="23"/>
      <c r="AK70" s="23"/>
      <c r="AL70" s="23"/>
      <c r="AM70" s="23"/>
      <c r="AN70" s="23"/>
      <c r="AO70" s="23"/>
      <c r="AP70" s="23"/>
      <c r="AQ70" s="23"/>
    </row>
    <row r="71" spans="1:70" ht="15" customHeight="1" x14ac:dyDescent="0.2">
      <c r="A71" s="850"/>
      <c r="B71" s="850"/>
      <c r="C71" s="850"/>
      <c r="D71" s="850"/>
      <c r="E71" s="850"/>
      <c r="F71" s="850"/>
      <c r="G71" s="850"/>
      <c r="H71" s="850"/>
      <c r="I71" s="850"/>
      <c r="J71" s="850"/>
      <c r="K71" s="850"/>
      <c r="L71" s="850"/>
      <c r="M71" s="850"/>
      <c r="N71" s="850"/>
      <c r="O71" s="850"/>
      <c r="P71" s="850"/>
      <c r="Q71" s="850"/>
      <c r="R71" s="850"/>
      <c r="S71" s="850"/>
      <c r="T71" s="850"/>
      <c r="U71" s="850"/>
      <c r="V71" s="850"/>
      <c r="W71" s="11"/>
      <c r="X71" s="23"/>
      <c r="Y71" s="23"/>
      <c r="Z71" s="23"/>
      <c r="AA71" s="23"/>
      <c r="AB71" s="23"/>
      <c r="AC71" s="23"/>
      <c r="AD71" s="23"/>
      <c r="AE71" s="23"/>
      <c r="AF71" s="23"/>
      <c r="AG71" s="23"/>
      <c r="AH71" s="23"/>
      <c r="AI71" s="23"/>
      <c r="AJ71" s="23"/>
      <c r="AK71" s="23"/>
      <c r="AL71" s="23"/>
      <c r="AM71" s="23"/>
      <c r="AN71" s="23"/>
      <c r="AO71" s="23"/>
      <c r="AP71" s="23"/>
      <c r="AQ71" s="23"/>
    </row>
    <row r="72" spans="1:70" x14ac:dyDescent="0.2">
      <c r="A72" s="109"/>
      <c r="B72" s="110"/>
      <c r="C72" s="110"/>
      <c r="D72" s="111"/>
      <c r="E72" s="112"/>
      <c r="F72" s="112"/>
      <c r="G72" s="112"/>
      <c r="H72" s="113"/>
      <c r="I72" s="113"/>
      <c r="J72" s="113"/>
      <c r="K72" s="114"/>
      <c r="L72" s="114"/>
      <c r="M72" s="115"/>
      <c r="N72" s="115"/>
      <c r="O72" s="93"/>
      <c r="P72" s="93"/>
      <c r="Q72" s="93"/>
      <c r="R72" s="109"/>
      <c r="S72" s="93"/>
      <c r="T72" s="93"/>
      <c r="U72" s="93"/>
      <c r="V72" s="93"/>
      <c r="W72" s="11"/>
      <c r="X72" s="23"/>
      <c r="Y72" s="23"/>
      <c r="Z72" s="23"/>
      <c r="AA72" s="23"/>
      <c r="AB72" s="23"/>
      <c r="AC72" s="23"/>
      <c r="AD72" s="23"/>
      <c r="AE72" s="23"/>
      <c r="AF72" s="23"/>
      <c r="AG72" s="23"/>
      <c r="AH72" s="23"/>
      <c r="AI72" s="23"/>
      <c r="AJ72" s="23"/>
      <c r="AK72" s="23"/>
      <c r="AL72" s="23"/>
      <c r="AM72" s="23"/>
      <c r="AN72" s="23"/>
      <c r="AO72" s="23"/>
      <c r="AP72" s="23"/>
      <c r="AQ72" s="23"/>
    </row>
    <row r="73" spans="1:70" ht="30.75" customHeight="1" x14ac:dyDescent="0.2">
      <c r="A73" s="695"/>
      <c r="B73" s="696"/>
      <c r="C73" s="696"/>
      <c r="D73" s="697"/>
      <c r="E73" s="698"/>
      <c r="F73" s="698"/>
      <c r="G73" s="698"/>
      <c r="H73" s="699"/>
      <c r="I73" s="699"/>
      <c r="J73" s="699"/>
      <c r="K73" s="700"/>
      <c r="L73" s="700"/>
      <c r="M73" s="701"/>
      <c r="N73" s="701"/>
      <c r="O73" s="702"/>
      <c r="P73" s="702"/>
      <c r="Q73" s="702"/>
      <c r="R73" s="695"/>
      <c r="S73" s="702"/>
      <c r="T73" s="702"/>
      <c r="U73" s="702"/>
      <c r="V73" s="702"/>
    </row>
    <row r="74" spans="1:70" x14ac:dyDescent="0.2">
      <c r="A74" s="695"/>
      <c r="B74" s="696"/>
      <c r="C74" s="696"/>
      <c r="D74" s="697"/>
      <c r="E74" s="698"/>
      <c r="F74" s="698"/>
      <c r="G74" s="698"/>
      <c r="H74" s="699"/>
      <c r="I74" s="699"/>
      <c r="J74" s="699"/>
      <c r="K74" s="700"/>
      <c r="L74" s="700"/>
      <c r="M74" s="701"/>
      <c r="N74" s="701"/>
      <c r="O74" s="702"/>
      <c r="P74" s="702"/>
      <c r="Q74" s="702"/>
      <c r="R74" s="695"/>
      <c r="S74" s="702"/>
      <c r="T74" s="702"/>
      <c r="U74" s="702"/>
      <c r="V74" s="702"/>
    </row>
    <row r="75" spans="1:70" x14ac:dyDescent="0.2">
      <c r="A75" s="695"/>
      <c r="B75" s="696"/>
      <c r="C75" s="696"/>
      <c r="D75" s="697"/>
      <c r="E75" s="698"/>
      <c r="F75" s="698"/>
      <c r="G75" s="698"/>
      <c r="H75" s="699"/>
      <c r="I75" s="699"/>
      <c r="J75" s="699"/>
      <c r="K75" s="700"/>
      <c r="L75" s="700"/>
      <c r="M75" s="701"/>
      <c r="N75" s="701"/>
      <c r="O75" s="702"/>
      <c r="P75" s="702"/>
      <c r="Q75" s="702"/>
      <c r="R75" s="695"/>
      <c r="S75" s="702"/>
      <c r="T75" s="702"/>
      <c r="U75" s="702"/>
      <c r="V75" s="702"/>
    </row>
    <row r="76" spans="1:70" x14ac:dyDescent="0.2">
      <c r="A76" s="695"/>
      <c r="B76" s="696"/>
      <c r="C76" s="696"/>
      <c r="D76" s="697"/>
      <c r="E76" s="698"/>
      <c r="F76" s="698"/>
      <c r="G76" s="698"/>
      <c r="H76" s="699"/>
      <c r="I76" s="699"/>
      <c r="J76" s="699"/>
      <c r="K76" s="700"/>
      <c r="L76" s="700"/>
      <c r="M76" s="701"/>
      <c r="N76" s="701"/>
      <c r="O76" s="702"/>
      <c r="P76" s="702"/>
      <c r="Q76" s="702"/>
      <c r="R76" s="695"/>
      <c r="S76" s="702"/>
      <c r="T76" s="702"/>
      <c r="U76" s="702"/>
      <c r="V76" s="702"/>
    </row>
    <row r="99" spans="33:43" x14ac:dyDescent="0.2">
      <c r="AH99" s="703" t="s">
        <v>127</v>
      </c>
    </row>
    <row r="100" spans="33:43" x14ac:dyDescent="0.2">
      <c r="AG100" s="711" t="s">
        <v>128</v>
      </c>
      <c r="AH100" s="711" t="s">
        <v>129</v>
      </c>
      <c r="AI100" s="711" t="s">
        <v>130</v>
      </c>
      <c r="AJ100" s="711" t="s">
        <v>131</v>
      </c>
      <c r="AK100" s="711" t="s">
        <v>132</v>
      </c>
      <c r="AL100" s="711" t="s">
        <v>133</v>
      </c>
      <c r="AM100" s="711" t="s">
        <v>134</v>
      </c>
      <c r="AN100" s="711" t="s">
        <v>135</v>
      </c>
      <c r="AO100" s="711" t="s">
        <v>136</v>
      </c>
      <c r="AP100" s="711" t="s">
        <v>137</v>
      </c>
      <c r="AQ100" s="711" t="s">
        <v>138</v>
      </c>
    </row>
    <row r="101" spans="33:43" x14ac:dyDescent="0.2">
      <c r="AG101" s="711">
        <v>2023</v>
      </c>
      <c r="AH101" s="712">
        <f>SUM(0.207074288590604+0.017915111409396)</f>
        <v>0.22498940000000001</v>
      </c>
      <c r="AI101" s="711">
        <v>0.18387000000000001</v>
      </c>
      <c r="AJ101" s="711">
        <v>0.25679000000000002</v>
      </c>
      <c r="AK101" s="711">
        <v>0.26774999999999999</v>
      </c>
      <c r="AL101" s="711">
        <v>0.24665999999999999</v>
      </c>
      <c r="AM101" s="711">
        <v>0.32040000000000002</v>
      </c>
      <c r="AN101" s="711">
        <v>0.21448</v>
      </c>
      <c r="AO101" s="711">
        <f t="shared" ref="AO101:AO140" si="18">$B$9</f>
        <v>0</v>
      </c>
      <c r="AP101" s="711">
        <v>3.7440000000000001E-2</v>
      </c>
      <c r="AQ101" s="711">
        <v>7.92E-3</v>
      </c>
    </row>
    <row r="102" spans="33:43" x14ac:dyDescent="0.2">
      <c r="AG102" s="711">
        <v>2024</v>
      </c>
      <c r="AH102" s="712">
        <f t="shared" ref="AH102:AH140" si="19">SUM(0.207074288590604+0.017915111409396)</f>
        <v>0.22498940000000001</v>
      </c>
      <c r="AI102" s="711">
        <v>0.18387000000000001</v>
      </c>
      <c r="AJ102" s="711">
        <v>0.25679000000000002</v>
      </c>
      <c r="AK102" s="711">
        <v>0.26774999999999999</v>
      </c>
      <c r="AL102" s="711">
        <v>0.24665999999999999</v>
      </c>
      <c r="AM102" s="711">
        <v>0.32040000000000002</v>
      </c>
      <c r="AN102" s="711">
        <v>0.21448</v>
      </c>
      <c r="AO102" s="711">
        <f t="shared" si="18"/>
        <v>0</v>
      </c>
      <c r="AP102" s="711">
        <v>3.7440000000000001E-2</v>
      </c>
      <c r="AQ102" s="711">
        <v>7.92E-3</v>
      </c>
    </row>
    <row r="103" spans="33:43" x14ac:dyDescent="0.2">
      <c r="AG103" s="711">
        <v>2025</v>
      </c>
      <c r="AH103" s="712">
        <f t="shared" si="19"/>
        <v>0.22498940000000001</v>
      </c>
      <c r="AI103" s="711">
        <v>0.18387000000000001</v>
      </c>
      <c r="AJ103" s="711">
        <v>0.25679000000000002</v>
      </c>
      <c r="AK103" s="711">
        <v>0.26774999999999999</v>
      </c>
      <c r="AL103" s="711">
        <v>0.24665999999999999</v>
      </c>
      <c r="AM103" s="711">
        <v>0.32040000000000002</v>
      </c>
      <c r="AN103" s="711">
        <v>0.21448</v>
      </c>
      <c r="AO103" s="711">
        <f t="shared" si="18"/>
        <v>0</v>
      </c>
      <c r="AP103" s="711">
        <v>3.7440000000000001E-2</v>
      </c>
      <c r="AQ103" s="711">
        <v>7.92E-3</v>
      </c>
    </row>
    <row r="104" spans="33:43" x14ac:dyDescent="0.2">
      <c r="AG104" s="711">
        <v>2026</v>
      </c>
      <c r="AH104" s="712">
        <f t="shared" si="19"/>
        <v>0.22498940000000001</v>
      </c>
      <c r="AI104" s="711">
        <v>0.18387000000000001</v>
      </c>
      <c r="AJ104" s="711">
        <v>0.25679000000000002</v>
      </c>
      <c r="AK104" s="711">
        <v>0.26774999999999999</v>
      </c>
      <c r="AL104" s="711">
        <v>0.24665999999999999</v>
      </c>
      <c r="AM104" s="711">
        <v>0.32040000000000002</v>
      </c>
      <c r="AN104" s="711">
        <v>0.21448</v>
      </c>
      <c r="AO104" s="711">
        <f t="shared" si="18"/>
        <v>0</v>
      </c>
      <c r="AP104" s="711">
        <v>3.7440000000000001E-2</v>
      </c>
      <c r="AQ104" s="711">
        <v>7.92E-3</v>
      </c>
    </row>
    <row r="105" spans="33:43" x14ac:dyDescent="0.2">
      <c r="AG105" s="711">
        <v>2027</v>
      </c>
      <c r="AH105" s="712">
        <f t="shared" si="19"/>
        <v>0.22498940000000001</v>
      </c>
      <c r="AI105" s="711">
        <v>0.18387000000000001</v>
      </c>
      <c r="AJ105" s="711">
        <v>0.25679000000000002</v>
      </c>
      <c r="AK105" s="711">
        <v>0.26774999999999999</v>
      </c>
      <c r="AL105" s="711">
        <v>0.24665999999999999</v>
      </c>
      <c r="AM105" s="711">
        <v>0.32040000000000002</v>
      </c>
      <c r="AN105" s="711">
        <v>0.21448</v>
      </c>
      <c r="AO105" s="711">
        <f t="shared" si="18"/>
        <v>0</v>
      </c>
      <c r="AP105" s="711">
        <v>3.7440000000000001E-2</v>
      </c>
      <c r="AQ105" s="711">
        <v>7.92E-3</v>
      </c>
    </row>
    <row r="106" spans="33:43" x14ac:dyDescent="0.2">
      <c r="AG106" s="711">
        <v>2028</v>
      </c>
      <c r="AH106" s="712">
        <f t="shared" si="19"/>
        <v>0.22498940000000001</v>
      </c>
      <c r="AI106" s="711">
        <v>0.18387000000000001</v>
      </c>
      <c r="AJ106" s="711">
        <v>0.25679000000000002</v>
      </c>
      <c r="AK106" s="711">
        <v>0.26774999999999999</v>
      </c>
      <c r="AL106" s="711">
        <v>0.24665999999999999</v>
      </c>
      <c r="AM106" s="711">
        <v>0.32040000000000002</v>
      </c>
      <c r="AN106" s="711">
        <v>0.21448</v>
      </c>
      <c r="AO106" s="711">
        <f t="shared" si="18"/>
        <v>0</v>
      </c>
      <c r="AP106" s="711">
        <v>3.7440000000000001E-2</v>
      </c>
      <c r="AQ106" s="711">
        <v>7.92E-3</v>
      </c>
    </row>
    <row r="107" spans="33:43" x14ac:dyDescent="0.2">
      <c r="AG107" s="711">
        <v>2029</v>
      </c>
      <c r="AH107" s="712">
        <f t="shared" si="19"/>
        <v>0.22498940000000001</v>
      </c>
      <c r="AI107" s="711">
        <v>0.18387000000000001</v>
      </c>
      <c r="AJ107" s="711">
        <v>0.25679000000000002</v>
      </c>
      <c r="AK107" s="711">
        <v>0.26774999999999999</v>
      </c>
      <c r="AL107" s="711">
        <v>0.24665999999999999</v>
      </c>
      <c r="AM107" s="711">
        <v>0.32040000000000002</v>
      </c>
      <c r="AN107" s="711">
        <v>0.21448</v>
      </c>
      <c r="AO107" s="711">
        <f t="shared" si="18"/>
        <v>0</v>
      </c>
      <c r="AP107" s="711">
        <v>3.7440000000000001E-2</v>
      </c>
      <c r="AQ107" s="711">
        <v>7.92E-3</v>
      </c>
    </row>
    <row r="108" spans="33:43" x14ac:dyDescent="0.2">
      <c r="AG108" s="711">
        <v>2030</v>
      </c>
      <c r="AH108" s="712">
        <f t="shared" si="19"/>
        <v>0.22498940000000001</v>
      </c>
      <c r="AI108" s="711">
        <v>0.18387000000000001</v>
      </c>
      <c r="AJ108" s="711">
        <v>0.25679000000000002</v>
      </c>
      <c r="AK108" s="711">
        <v>0.26774999999999999</v>
      </c>
      <c r="AL108" s="711">
        <v>0.24665999999999999</v>
      </c>
      <c r="AM108" s="711">
        <v>0.32040000000000002</v>
      </c>
      <c r="AN108" s="711">
        <v>0.21448</v>
      </c>
      <c r="AO108" s="711">
        <f t="shared" si="18"/>
        <v>0</v>
      </c>
      <c r="AP108" s="711">
        <v>3.7440000000000001E-2</v>
      </c>
      <c r="AQ108" s="711">
        <v>7.92E-3</v>
      </c>
    </row>
    <row r="109" spans="33:43" x14ac:dyDescent="0.2">
      <c r="AG109" s="711">
        <v>2031</v>
      </c>
      <c r="AH109" s="712">
        <f t="shared" si="19"/>
        <v>0.22498940000000001</v>
      </c>
      <c r="AI109" s="711">
        <v>0.18387000000000001</v>
      </c>
      <c r="AJ109" s="711">
        <v>0.25679000000000002</v>
      </c>
      <c r="AK109" s="711">
        <v>0.26774999999999999</v>
      </c>
      <c r="AL109" s="711">
        <v>0.24665999999999999</v>
      </c>
      <c r="AM109" s="711">
        <v>0.32040000000000002</v>
      </c>
      <c r="AN109" s="711">
        <v>0.21448</v>
      </c>
      <c r="AO109" s="711">
        <f t="shared" si="18"/>
        <v>0</v>
      </c>
      <c r="AP109" s="711">
        <v>3.7440000000000001E-2</v>
      </c>
      <c r="AQ109" s="711">
        <v>7.92E-3</v>
      </c>
    </row>
    <row r="110" spans="33:43" x14ac:dyDescent="0.2">
      <c r="AG110" s="711">
        <v>2032</v>
      </c>
      <c r="AH110" s="712">
        <f t="shared" si="19"/>
        <v>0.22498940000000001</v>
      </c>
      <c r="AI110" s="711">
        <v>0.18387000000000001</v>
      </c>
      <c r="AJ110" s="711">
        <v>0.25679000000000002</v>
      </c>
      <c r="AK110" s="711">
        <v>0.26774999999999999</v>
      </c>
      <c r="AL110" s="711">
        <v>0.24665999999999999</v>
      </c>
      <c r="AM110" s="711">
        <v>0.32040000000000002</v>
      </c>
      <c r="AN110" s="711">
        <v>0.21448</v>
      </c>
      <c r="AO110" s="711">
        <f t="shared" si="18"/>
        <v>0</v>
      </c>
      <c r="AP110" s="711">
        <v>3.7440000000000001E-2</v>
      </c>
      <c r="AQ110" s="711">
        <v>7.92E-3</v>
      </c>
    </row>
    <row r="111" spans="33:43" x14ac:dyDescent="0.2">
      <c r="AG111" s="711">
        <v>2033</v>
      </c>
      <c r="AH111" s="712">
        <f t="shared" si="19"/>
        <v>0.22498940000000001</v>
      </c>
      <c r="AI111" s="711">
        <v>0.18387000000000001</v>
      </c>
      <c r="AJ111" s="711">
        <v>0.25679000000000002</v>
      </c>
      <c r="AK111" s="711">
        <v>0.26774999999999999</v>
      </c>
      <c r="AL111" s="711">
        <v>0.24665999999999999</v>
      </c>
      <c r="AM111" s="711">
        <v>0.32040000000000002</v>
      </c>
      <c r="AN111" s="711">
        <v>0.21448</v>
      </c>
      <c r="AO111" s="711">
        <f t="shared" si="18"/>
        <v>0</v>
      </c>
      <c r="AP111" s="711">
        <v>3.7440000000000001E-2</v>
      </c>
      <c r="AQ111" s="711">
        <v>7.92E-3</v>
      </c>
    </row>
    <row r="112" spans="33:43" x14ac:dyDescent="0.2">
      <c r="AG112" s="711">
        <v>2034</v>
      </c>
      <c r="AH112" s="712">
        <f t="shared" si="19"/>
        <v>0.22498940000000001</v>
      </c>
      <c r="AI112" s="711">
        <v>0.18387000000000001</v>
      </c>
      <c r="AJ112" s="711">
        <v>0.25679000000000002</v>
      </c>
      <c r="AK112" s="711">
        <v>0.26774999999999999</v>
      </c>
      <c r="AL112" s="711">
        <v>0.24665999999999999</v>
      </c>
      <c r="AM112" s="711">
        <v>0.32040000000000002</v>
      </c>
      <c r="AN112" s="711">
        <v>0.21448</v>
      </c>
      <c r="AO112" s="711">
        <f t="shared" si="18"/>
        <v>0</v>
      </c>
      <c r="AP112" s="711">
        <v>3.7440000000000001E-2</v>
      </c>
      <c r="AQ112" s="711">
        <v>7.92E-3</v>
      </c>
    </row>
    <row r="113" spans="33:43" x14ac:dyDescent="0.2">
      <c r="AG113" s="711">
        <v>2035</v>
      </c>
      <c r="AH113" s="712">
        <f t="shared" si="19"/>
        <v>0.22498940000000001</v>
      </c>
      <c r="AI113" s="711">
        <v>0.18387000000000001</v>
      </c>
      <c r="AJ113" s="711">
        <v>0.25679000000000002</v>
      </c>
      <c r="AK113" s="711">
        <v>0.26774999999999999</v>
      </c>
      <c r="AL113" s="711">
        <v>0.24665999999999999</v>
      </c>
      <c r="AM113" s="711">
        <v>0.32040000000000002</v>
      </c>
      <c r="AN113" s="711">
        <v>0.21448</v>
      </c>
      <c r="AO113" s="711">
        <f t="shared" si="18"/>
        <v>0</v>
      </c>
      <c r="AP113" s="711">
        <v>3.7440000000000001E-2</v>
      </c>
      <c r="AQ113" s="711">
        <v>7.92E-3</v>
      </c>
    </row>
    <row r="114" spans="33:43" x14ac:dyDescent="0.2">
      <c r="AG114" s="711">
        <v>2036</v>
      </c>
      <c r="AH114" s="712">
        <f t="shared" si="19"/>
        <v>0.22498940000000001</v>
      </c>
      <c r="AI114" s="711">
        <v>0.18387000000000001</v>
      </c>
      <c r="AJ114" s="711">
        <v>0.25679000000000002</v>
      </c>
      <c r="AK114" s="711">
        <v>0.26774999999999999</v>
      </c>
      <c r="AL114" s="711">
        <v>0.24665999999999999</v>
      </c>
      <c r="AM114" s="711">
        <v>0.32040000000000002</v>
      </c>
      <c r="AN114" s="711">
        <v>0.21448</v>
      </c>
      <c r="AO114" s="711">
        <f t="shared" si="18"/>
        <v>0</v>
      </c>
      <c r="AP114" s="711">
        <v>3.7440000000000001E-2</v>
      </c>
      <c r="AQ114" s="711">
        <v>7.92E-3</v>
      </c>
    </row>
    <row r="115" spans="33:43" x14ac:dyDescent="0.2">
      <c r="AG115" s="711">
        <v>2037</v>
      </c>
      <c r="AH115" s="712">
        <f t="shared" si="19"/>
        <v>0.22498940000000001</v>
      </c>
      <c r="AI115" s="711">
        <v>0.18387000000000001</v>
      </c>
      <c r="AJ115" s="711">
        <v>0.25679000000000002</v>
      </c>
      <c r="AK115" s="711">
        <v>0.26774999999999999</v>
      </c>
      <c r="AL115" s="711">
        <v>0.24665999999999999</v>
      </c>
      <c r="AM115" s="711">
        <v>0.32040000000000002</v>
      </c>
      <c r="AN115" s="711">
        <v>0.21448</v>
      </c>
      <c r="AO115" s="711">
        <f t="shared" si="18"/>
        <v>0</v>
      </c>
      <c r="AP115" s="711">
        <v>3.7440000000000001E-2</v>
      </c>
      <c r="AQ115" s="711">
        <v>7.92E-3</v>
      </c>
    </row>
    <row r="116" spans="33:43" x14ac:dyDescent="0.2">
      <c r="AG116" s="711">
        <v>2038</v>
      </c>
      <c r="AH116" s="712">
        <f t="shared" si="19"/>
        <v>0.22498940000000001</v>
      </c>
      <c r="AI116" s="711">
        <v>0.18387000000000001</v>
      </c>
      <c r="AJ116" s="711">
        <v>0.25679000000000002</v>
      </c>
      <c r="AK116" s="711">
        <v>0.26774999999999999</v>
      </c>
      <c r="AL116" s="711">
        <v>0.24665999999999999</v>
      </c>
      <c r="AM116" s="711">
        <v>0.32040000000000002</v>
      </c>
      <c r="AN116" s="711">
        <v>0.21448</v>
      </c>
      <c r="AO116" s="711">
        <f t="shared" si="18"/>
        <v>0</v>
      </c>
      <c r="AP116" s="711">
        <v>3.7440000000000001E-2</v>
      </c>
      <c r="AQ116" s="711">
        <v>7.92E-3</v>
      </c>
    </row>
    <row r="117" spans="33:43" x14ac:dyDescent="0.2">
      <c r="AG117" s="711">
        <v>2039</v>
      </c>
      <c r="AH117" s="712">
        <f t="shared" si="19"/>
        <v>0.22498940000000001</v>
      </c>
      <c r="AI117" s="711">
        <v>0.18387000000000001</v>
      </c>
      <c r="AJ117" s="711">
        <v>0.25679000000000002</v>
      </c>
      <c r="AK117" s="711">
        <v>0.26774999999999999</v>
      </c>
      <c r="AL117" s="711">
        <v>0.24665999999999999</v>
      </c>
      <c r="AM117" s="711">
        <v>0.32040000000000002</v>
      </c>
      <c r="AN117" s="711">
        <v>0.21448</v>
      </c>
      <c r="AO117" s="711">
        <f t="shared" si="18"/>
        <v>0</v>
      </c>
      <c r="AP117" s="711">
        <v>3.7440000000000001E-2</v>
      </c>
      <c r="AQ117" s="711">
        <v>7.92E-3</v>
      </c>
    </row>
    <row r="118" spans="33:43" x14ac:dyDescent="0.2">
      <c r="AG118" s="711">
        <v>2040</v>
      </c>
      <c r="AH118" s="712">
        <f t="shared" si="19"/>
        <v>0.22498940000000001</v>
      </c>
      <c r="AI118" s="711">
        <v>0.18387000000000001</v>
      </c>
      <c r="AJ118" s="711">
        <v>0.25679000000000002</v>
      </c>
      <c r="AK118" s="711">
        <v>0.26774999999999999</v>
      </c>
      <c r="AL118" s="711">
        <v>0.24665999999999999</v>
      </c>
      <c r="AM118" s="711">
        <v>0.32040000000000002</v>
      </c>
      <c r="AN118" s="711">
        <v>0.21448</v>
      </c>
      <c r="AO118" s="711">
        <f t="shared" si="18"/>
        <v>0</v>
      </c>
      <c r="AP118" s="711">
        <v>3.7440000000000001E-2</v>
      </c>
      <c r="AQ118" s="711">
        <v>7.92E-3</v>
      </c>
    </row>
    <row r="119" spans="33:43" x14ac:dyDescent="0.2">
      <c r="AG119" s="711">
        <v>2041</v>
      </c>
      <c r="AH119" s="712">
        <f t="shared" si="19"/>
        <v>0.22498940000000001</v>
      </c>
      <c r="AI119" s="711">
        <v>0.18387000000000001</v>
      </c>
      <c r="AJ119" s="711">
        <v>0.25679000000000002</v>
      </c>
      <c r="AK119" s="711">
        <v>0.26774999999999999</v>
      </c>
      <c r="AL119" s="711">
        <v>0.24665999999999999</v>
      </c>
      <c r="AM119" s="711">
        <v>0.32040000000000002</v>
      </c>
      <c r="AN119" s="711">
        <v>0.21448</v>
      </c>
      <c r="AO119" s="711">
        <f t="shared" si="18"/>
        <v>0</v>
      </c>
      <c r="AP119" s="711">
        <v>3.7440000000000001E-2</v>
      </c>
      <c r="AQ119" s="711">
        <v>7.92E-3</v>
      </c>
    </row>
    <row r="120" spans="33:43" x14ac:dyDescent="0.2">
      <c r="AG120" s="711">
        <v>2042</v>
      </c>
      <c r="AH120" s="712">
        <f t="shared" si="19"/>
        <v>0.22498940000000001</v>
      </c>
      <c r="AI120" s="711">
        <v>0.18387000000000001</v>
      </c>
      <c r="AJ120" s="711">
        <v>0.25679000000000002</v>
      </c>
      <c r="AK120" s="711">
        <v>0.26774999999999999</v>
      </c>
      <c r="AL120" s="711">
        <v>0.24665999999999999</v>
      </c>
      <c r="AM120" s="711">
        <v>0.32040000000000002</v>
      </c>
      <c r="AN120" s="711">
        <v>0.21448</v>
      </c>
      <c r="AO120" s="711">
        <f t="shared" si="18"/>
        <v>0</v>
      </c>
      <c r="AP120" s="711">
        <v>3.7440000000000001E-2</v>
      </c>
      <c r="AQ120" s="711">
        <v>7.92E-3</v>
      </c>
    </row>
    <row r="121" spans="33:43" x14ac:dyDescent="0.2">
      <c r="AG121" s="711">
        <v>2043</v>
      </c>
      <c r="AH121" s="712">
        <f t="shared" si="19"/>
        <v>0.22498940000000001</v>
      </c>
      <c r="AI121" s="711">
        <v>0.18387000000000001</v>
      </c>
      <c r="AJ121" s="711">
        <v>0.25679000000000002</v>
      </c>
      <c r="AK121" s="711">
        <v>0.26774999999999999</v>
      </c>
      <c r="AL121" s="711">
        <v>0.24665999999999999</v>
      </c>
      <c r="AM121" s="711">
        <v>0.32040000000000002</v>
      </c>
      <c r="AN121" s="711">
        <v>0.21448</v>
      </c>
      <c r="AO121" s="711">
        <f t="shared" si="18"/>
        <v>0</v>
      </c>
      <c r="AP121" s="711">
        <v>3.7440000000000001E-2</v>
      </c>
      <c r="AQ121" s="711">
        <v>7.92E-3</v>
      </c>
    </row>
    <row r="122" spans="33:43" x14ac:dyDescent="0.2">
      <c r="AG122" s="711">
        <v>2044</v>
      </c>
      <c r="AH122" s="712">
        <f t="shared" si="19"/>
        <v>0.22498940000000001</v>
      </c>
      <c r="AI122" s="711">
        <v>0.18387000000000001</v>
      </c>
      <c r="AJ122" s="711">
        <v>0.25679000000000002</v>
      </c>
      <c r="AK122" s="711">
        <v>0.26774999999999999</v>
      </c>
      <c r="AL122" s="711">
        <v>0.24665999999999999</v>
      </c>
      <c r="AM122" s="711">
        <v>0.32040000000000002</v>
      </c>
      <c r="AN122" s="711">
        <v>0.21448</v>
      </c>
      <c r="AO122" s="711">
        <f t="shared" si="18"/>
        <v>0</v>
      </c>
      <c r="AP122" s="711">
        <v>3.7440000000000001E-2</v>
      </c>
      <c r="AQ122" s="711">
        <v>7.92E-3</v>
      </c>
    </row>
    <row r="123" spans="33:43" x14ac:dyDescent="0.2">
      <c r="AG123" s="711">
        <v>2045</v>
      </c>
      <c r="AH123" s="712">
        <f t="shared" si="19"/>
        <v>0.22498940000000001</v>
      </c>
      <c r="AI123" s="711">
        <v>0.18387000000000001</v>
      </c>
      <c r="AJ123" s="711">
        <v>0.25679000000000002</v>
      </c>
      <c r="AK123" s="711">
        <v>0.26774999999999999</v>
      </c>
      <c r="AL123" s="711">
        <v>0.24665999999999999</v>
      </c>
      <c r="AM123" s="711">
        <v>0.32040000000000002</v>
      </c>
      <c r="AN123" s="711">
        <v>0.21448</v>
      </c>
      <c r="AO123" s="711">
        <f t="shared" si="18"/>
        <v>0</v>
      </c>
      <c r="AP123" s="711">
        <v>3.7440000000000001E-2</v>
      </c>
      <c r="AQ123" s="711">
        <v>7.92E-3</v>
      </c>
    </row>
    <row r="124" spans="33:43" x14ac:dyDescent="0.2">
      <c r="AG124" s="711">
        <v>2046</v>
      </c>
      <c r="AH124" s="712">
        <f t="shared" si="19"/>
        <v>0.22498940000000001</v>
      </c>
      <c r="AI124" s="711">
        <v>0.18387000000000001</v>
      </c>
      <c r="AJ124" s="711">
        <v>0.25679000000000002</v>
      </c>
      <c r="AK124" s="711">
        <v>0.26774999999999999</v>
      </c>
      <c r="AL124" s="711">
        <v>0.24665999999999999</v>
      </c>
      <c r="AM124" s="711">
        <v>0.32040000000000002</v>
      </c>
      <c r="AN124" s="711">
        <v>0.21448</v>
      </c>
      <c r="AO124" s="711">
        <f t="shared" si="18"/>
        <v>0</v>
      </c>
      <c r="AP124" s="711">
        <v>3.7440000000000001E-2</v>
      </c>
      <c r="AQ124" s="711">
        <v>7.92E-3</v>
      </c>
    </row>
    <row r="125" spans="33:43" x14ac:dyDescent="0.2">
      <c r="AG125" s="711">
        <v>2047</v>
      </c>
      <c r="AH125" s="712">
        <f t="shared" si="19"/>
        <v>0.22498940000000001</v>
      </c>
      <c r="AI125" s="711">
        <v>0.18387000000000001</v>
      </c>
      <c r="AJ125" s="711">
        <v>0.25679000000000002</v>
      </c>
      <c r="AK125" s="711">
        <v>0.26774999999999999</v>
      </c>
      <c r="AL125" s="711">
        <v>0.24665999999999999</v>
      </c>
      <c r="AM125" s="711">
        <v>0.32040000000000002</v>
      </c>
      <c r="AN125" s="711">
        <v>0.21448</v>
      </c>
      <c r="AO125" s="711">
        <f t="shared" si="18"/>
        <v>0</v>
      </c>
      <c r="AP125" s="711">
        <v>3.7440000000000001E-2</v>
      </c>
      <c r="AQ125" s="711">
        <v>7.92E-3</v>
      </c>
    </row>
    <row r="126" spans="33:43" x14ac:dyDescent="0.2">
      <c r="AG126" s="711">
        <v>2048</v>
      </c>
      <c r="AH126" s="712">
        <f t="shared" si="19"/>
        <v>0.22498940000000001</v>
      </c>
      <c r="AI126" s="711">
        <v>0.18387000000000001</v>
      </c>
      <c r="AJ126" s="711">
        <v>0.25679000000000002</v>
      </c>
      <c r="AK126" s="711">
        <v>0.26774999999999999</v>
      </c>
      <c r="AL126" s="711">
        <v>0.24665999999999999</v>
      </c>
      <c r="AM126" s="711">
        <v>0.32040000000000002</v>
      </c>
      <c r="AN126" s="711">
        <v>0.21448</v>
      </c>
      <c r="AO126" s="711">
        <f t="shared" si="18"/>
        <v>0</v>
      </c>
      <c r="AP126" s="711">
        <v>3.7440000000000001E-2</v>
      </c>
      <c r="AQ126" s="711">
        <v>7.92E-3</v>
      </c>
    </row>
    <row r="127" spans="33:43" x14ac:dyDescent="0.2">
      <c r="AG127" s="711">
        <v>2049</v>
      </c>
      <c r="AH127" s="712">
        <f t="shared" si="19"/>
        <v>0.22498940000000001</v>
      </c>
      <c r="AI127" s="711">
        <v>0.18387000000000001</v>
      </c>
      <c r="AJ127" s="711">
        <v>0.25679000000000002</v>
      </c>
      <c r="AK127" s="711">
        <v>0.26774999999999999</v>
      </c>
      <c r="AL127" s="711">
        <v>0.24665999999999999</v>
      </c>
      <c r="AM127" s="711">
        <v>0.32040000000000002</v>
      </c>
      <c r="AN127" s="711">
        <v>0.21448</v>
      </c>
      <c r="AO127" s="711">
        <f t="shared" si="18"/>
        <v>0</v>
      </c>
      <c r="AP127" s="711">
        <v>3.7440000000000001E-2</v>
      </c>
      <c r="AQ127" s="711">
        <v>7.92E-3</v>
      </c>
    </row>
    <row r="128" spans="33:43" x14ac:dyDescent="0.2">
      <c r="AG128" s="711">
        <v>2050</v>
      </c>
      <c r="AH128" s="712">
        <f>SUM(0.207074288590604+0.017915111409396)</f>
        <v>0.22498940000000001</v>
      </c>
      <c r="AI128" s="711">
        <v>0.18387000000000001</v>
      </c>
      <c r="AJ128" s="711">
        <v>0.25679000000000002</v>
      </c>
      <c r="AK128" s="711">
        <v>0.26774999999999999</v>
      </c>
      <c r="AL128" s="711">
        <v>0.24665999999999999</v>
      </c>
      <c r="AM128" s="711">
        <v>0.32040000000000002</v>
      </c>
      <c r="AN128" s="711">
        <v>0.21448</v>
      </c>
      <c r="AO128" s="711">
        <f t="shared" si="18"/>
        <v>0</v>
      </c>
      <c r="AP128" s="711">
        <v>3.7440000000000001E-2</v>
      </c>
      <c r="AQ128" s="711">
        <v>7.92E-3</v>
      </c>
    </row>
    <row r="129" spans="33:43" x14ac:dyDescent="0.2">
      <c r="AG129" s="711">
        <v>2051</v>
      </c>
      <c r="AH129" s="712">
        <f t="shared" si="19"/>
        <v>0.22498940000000001</v>
      </c>
      <c r="AI129" s="711">
        <v>0.18387000000000001</v>
      </c>
      <c r="AJ129" s="711">
        <v>0.25679000000000002</v>
      </c>
      <c r="AK129" s="711">
        <v>0.26774999999999999</v>
      </c>
      <c r="AL129" s="711">
        <v>0.24665999999999999</v>
      </c>
      <c r="AM129" s="711">
        <v>0.32040000000000002</v>
      </c>
      <c r="AN129" s="711">
        <v>0.21448</v>
      </c>
      <c r="AO129" s="711">
        <f t="shared" si="18"/>
        <v>0</v>
      </c>
      <c r="AP129" s="711">
        <v>3.7440000000000001E-2</v>
      </c>
      <c r="AQ129" s="711">
        <v>7.92E-3</v>
      </c>
    </row>
    <row r="130" spans="33:43" x14ac:dyDescent="0.2">
      <c r="AG130" s="711">
        <v>2052</v>
      </c>
      <c r="AH130" s="712">
        <f t="shared" si="19"/>
        <v>0.22498940000000001</v>
      </c>
      <c r="AI130" s="711">
        <v>0.18387000000000001</v>
      </c>
      <c r="AJ130" s="711">
        <v>0.25679000000000002</v>
      </c>
      <c r="AK130" s="711">
        <v>0.26774999999999999</v>
      </c>
      <c r="AL130" s="711">
        <v>0.24665999999999999</v>
      </c>
      <c r="AM130" s="711">
        <v>0.32040000000000002</v>
      </c>
      <c r="AN130" s="711">
        <v>0.21448</v>
      </c>
      <c r="AO130" s="711">
        <f t="shared" si="18"/>
        <v>0</v>
      </c>
      <c r="AP130" s="711">
        <v>3.7440000000000001E-2</v>
      </c>
      <c r="AQ130" s="711">
        <v>7.92E-3</v>
      </c>
    </row>
    <row r="131" spans="33:43" x14ac:dyDescent="0.2">
      <c r="AG131" s="711">
        <v>2053</v>
      </c>
      <c r="AH131" s="712">
        <f t="shared" si="19"/>
        <v>0.22498940000000001</v>
      </c>
      <c r="AI131" s="711">
        <v>0.18387000000000001</v>
      </c>
      <c r="AJ131" s="711">
        <v>0.25679000000000002</v>
      </c>
      <c r="AK131" s="711">
        <v>0.26774999999999999</v>
      </c>
      <c r="AL131" s="711">
        <v>0.24665999999999999</v>
      </c>
      <c r="AM131" s="711">
        <v>0.32040000000000002</v>
      </c>
      <c r="AN131" s="711">
        <v>0.21448</v>
      </c>
      <c r="AO131" s="711">
        <f t="shared" si="18"/>
        <v>0</v>
      </c>
      <c r="AP131" s="711">
        <v>3.7440000000000001E-2</v>
      </c>
      <c r="AQ131" s="711">
        <v>7.92E-3</v>
      </c>
    </row>
    <row r="132" spans="33:43" x14ac:dyDescent="0.2">
      <c r="AG132" s="711">
        <v>2054</v>
      </c>
      <c r="AH132" s="712">
        <f t="shared" si="19"/>
        <v>0.22498940000000001</v>
      </c>
      <c r="AI132" s="711">
        <v>0.18387000000000001</v>
      </c>
      <c r="AJ132" s="711">
        <v>0.25679000000000002</v>
      </c>
      <c r="AK132" s="711">
        <v>0.26774999999999999</v>
      </c>
      <c r="AL132" s="711">
        <v>0.24665999999999999</v>
      </c>
      <c r="AM132" s="711">
        <v>0.32040000000000002</v>
      </c>
      <c r="AN132" s="711">
        <v>0.21448</v>
      </c>
      <c r="AO132" s="711">
        <f t="shared" si="18"/>
        <v>0</v>
      </c>
      <c r="AP132" s="711">
        <v>3.7440000000000001E-2</v>
      </c>
      <c r="AQ132" s="711">
        <v>7.92E-3</v>
      </c>
    </row>
    <row r="133" spans="33:43" x14ac:dyDescent="0.2">
      <c r="AG133" s="711">
        <v>2055</v>
      </c>
      <c r="AH133" s="712">
        <f t="shared" si="19"/>
        <v>0.22498940000000001</v>
      </c>
      <c r="AI133" s="711">
        <v>0.18387000000000001</v>
      </c>
      <c r="AJ133" s="711">
        <v>0.25679000000000002</v>
      </c>
      <c r="AK133" s="711">
        <v>0.26774999999999999</v>
      </c>
      <c r="AL133" s="711">
        <v>0.24665999999999999</v>
      </c>
      <c r="AM133" s="711">
        <v>0.32040000000000002</v>
      </c>
      <c r="AN133" s="711">
        <v>0.21448</v>
      </c>
      <c r="AO133" s="711">
        <f t="shared" si="18"/>
        <v>0</v>
      </c>
      <c r="AP133" s="711">
        <v>3.7440000000000001E-2</v>
      </c>
      <c r="AQ133" s="711">
        <v>7.92E-3</v>
      </c>
    </row>
    <row r="134" spans="33:43" x14ac:dyDescent="0.2">
      <c r="AG134" s="711">
        <v>2056</v>
      </c>
      <c r="AH134" s="712">
        <f t="shared" si="19"/>
        <v>0.22498940000000001</v>
      </c>
      <c r="AI134" s="711">
        <v>0.18387000000000001</v>
      </c>
      <c r="AJ134" s="711">
        <v>0.25679000000000002</v>
      </c>
      <c r="AK134" s="711">
        <v>0.26774999999999999</v>
      </c>
      <c r="AL134" s="711">
        <v>0.24665999999999999</v>
      </c>
      <c r="AM134" s="711">
        <v>0.32040000000000002</v>
      </c>
      <c r="AN134" s="711">
        <v>0.21448</v>
      </c>
      <c r="AO134" s="711">
        <f t="shared" si="18"/>
        <v>0</v>
      </c>
      <c r="AP134" s="711">
        <v>3.7440000000000001E-2</v>
      </c>
      <c r="AQ134" s="711">
        <v>7.92E-3</v>
      </c>
    </row>
    <row r="135" spans="33:43" x14ac:dyDescent="0.2">
      <c r="AG135" s="711">
        <v>2057</v>
      </c>
      <c r="AH135" s="712">
        <f t="shared" si="19"/>
        <v>0.22498940000000001</v>
      </c>
      <c r="AI135" s="711">
        <v>0.18387000000000001</v>
      </c>
      <c r="AJ135" s="711">
        <v>0.25679000000000002</v>
      </c>
      <c r="AK135" s="711">
        <v>0.26774999999999999</v>
      </c>
      <c r="AL135" s="711">
        <v>0.24665999999999999</v>
      </c>
      <c r="AM135" s="711">
        <v>0.32040000000000002</v>
      </c>
      <c r="AN135" s="711">
        <v>0.21448</v>
      </c>
      <c r="AO135" s="711">
        <f t="shared" si="18"/>
        <v>0</v>
      </c>
      <c r="AP135" s="711">
        <v>3.7440000000000001E-2</v>
      </c>
      <c r="AQ135" s="711">
        <v>7.92E-3</v>
      </c>
    </row>
    <row r="136" spans="33:43" x14ac:dyDescent="0.2">
      <c r="AG136" s="711">
        <v>2058</v>
      </c>
      <c r="AH136" s="712">
        <f t="shared" si="19"/>
        <v>0.22498940000000001</v>
      </c>
      <c r="AI136" s="711">
        <v>0.18387000000000001</v>
      </c>
      <c r="AJ136" s="711">
        <v>0.25679000000000002</v>
      </c>
      <c r="AK136" s="711">
        <v>0.26774999999999999</v>
      </c>
      <c r="AL136" s="711">
        <v>0.24665999999999999</v>
      </c>
      <c r="AM136" s="711">
        <v>0.32040000000000002</v>
      </c>
      <c r="AN136" s="711">
        <v>0.21448</v>
      </c>
      <c r="AO136" s="711">
        <f t="shared" si="18"/>
        <v>0</v>
      </c>
      <c r="AP136" s="711">
        <v>3.7440000000000001E-2</v>
      </c>
      <c r="AQ136" s="711">
        <v>7.92E-3</v>
      </c>
    </row>
    <row r="137" spans="33:43" x14ac:dyDescent="0.2">
      <c r="AG137" s="711">
        <v>2059</v>
      </c>
      <c r="AH137" s="712">
        <f t="shared" si="19"/>
        <v>0.22498940000000001</v>
      </c>
      <c r="AI137" s="711">
        <v>0.18387000000000001</v>
      </c>
      <c r="AJ137" s="711">
        <v>0.25679000000000002</v>
      </c>
      <c r="AK137" s="711">
        <v>0.26774999999999999</v>
      </c>
      <c r="AL137" s="711">
        <v>0.24665999999999999</v>
      </c>
      <c r="AM137" s="711">
        <v>0.32040000000000002</v>
      </c>
      <c r="AN137" s="711">
        <v>0.21448</v>
      </c>
      <c r="AO137" s="711">
        <f t="shared" si="18"/>
        <v>0</v>
      </c>
      <c r="AP137" s="711">
        <v>3.7440000000000001E-2</v>
      </c>
      <c r="AQ137" s="711">
        <v>7.92E-3</v>
      </c>
    </row>
    <row r="138" spans="33:43" x14ac:dyDescent="0.2">
      <c r="AG138" s="711">
        <v>2060</v>
      </c>
      <c r="AH138" s="712">
        <f t="shared" si="19"/>
        <v>0.22498940000000001</v>
      </c>
      <c r="AI138" s="711">
        <v>0.18387000000000001</v>
      </c>
      <c r="AJ138" s="711">
        <v>0.25679000000000002</v>
      </c>
      <c r="AK138" s="711">
        <v>0.26774999999999999</v>
      </c>
      <c r="AL138" s="711">
        <v>0.24665999999999999</v>
      </c>
      <c r="AM138" s="711">
        <v>0.32040000000000002</v>
      </c>
      <c r="AN138" s="711">
        <v>0.21448</v>
      </c>
      <c r="AO138" s="711">
        <f t="shared" si="18"/>
        <v>0</v>
      </c>
      <c r="AP138" s="711">
        <v>3.7440000000000001E-2</v>
      </c>
      <c r="AQ138" s="711">
        <v>7.92E-3</v>
      </c>
    </row>
    <row r="139" spans="33:43" x14ac:dyDescent="0.2">
      <c r="AG139" s="711">
        <v>2061</v>
      </c>
      <c r="AH139" s="712">
        <f t="shared" si="19"/>
        <v>0.22498940000000001</v>
      </c>
      <c r="AI139" s="711">
        <v>0.18387000000000001</v>
      </c>
      <c r="AJ139" s="711">
        <v>0.25679000000000002</v>
      </c>
      <c r="AK139" s="711">
        <v>0.26774999999999999</v>
      </c>
      <c r="AL139" s="711">
        <v>0.24665999999999999</v>
      </c>
      <c r="AM139" s="711">
        <v>0.32040000000000002</v>
      </c>
      <c r="AN139" s="711">
        <v>0.21448</v>
      </c>
      <c r="AO139" s="711">
        <f t="shared" si="18"/>
        <v>0</v>
      </c>
      <c r="AP139" s="711">
        <v>3.7440000000000001E-2</v>
      </c>
      <c r="AQ139" s="711">
        <v>7.92E-3</v>
      </c>
    </row>
    <row r="140" spans="33:43" x14ac:dyDescent="0.2">
      <c r="AG140" s="711">
        <v>2062</v>
      </c>
      <c r="AH140" s="712">
        <f t="shared" si="19"/>
        <v>0.22498940000000001</v>
      </c>
      <c r="AI140" s="711">
        <v>0.18387000000000001</v>
      </c>
      <c r="AJ140" s="711">
        <v>0.25679000000000002</v>
      </c>
      <c r="AK140" s="711">
        <v>0.26774999999999999</v>
      </c>
      <c r="AL140" s="711">
        <v>0.24665999999999999</v>
      </c>
      <c r="AM140" s="711">
        <v>0.32040000000000002</v>
      </c>
      <c r="AN140" s="711">
        <v>0.21448</v>
      </c>
      <c r="AO140" s="711">
        <f t="shared" si="18"/>
        <v>0</v>
      </c>
      <c r="AP140" s="711">
        <v>3.7440000000000001E-2</v>
      </c>
      <c r="AQ140" s="711">
        <v>7.92E-3</v>
      </c>
    </row>
  </sheetData>
  <sheetProtection algorithmName="SHA-512" hashValue="1yBIslp5pWYMQiQMQtn0mgqsKMJooHviKpS9xzrWwXFskJ0bkt3qCLBWA0XlxbLpLyCoXM8UGMnSiPMLsnqCBA==" saltValue="X0FKlMAl+ZwrFmZbsmRJ9g==" spinCount="100000" sheet="1" objects="1" scenarios="1"/>
  <dataConsolidate link="1"/>
  <mergeCells count="67">
    <mergeCell ref="I52:J52"/>
    <mergeCell ref="I53:J53"/>
    <mergeCell ref="I54:J54"/>
    <mergeCell ref="I60:J60"/>
    <mergeCell ref="I55:J55"/>
    <mergeCell ref="I56:J56"/>
    <mergeCell ref="I57:J57"/>
    <mergeCell ref="I58:J58"/>
    <mergeCell ref="I59:J59"/>
    <mergeCell ref="I47:J47"/>
    <mergeCell ref="I48:J48"/>
    <mergeCell ref="I49:J49"/>
    <mergeCell ref="I50:J50"/>
    <mergeCell ref="I51:J51"/>
    <mergeCell ref="I42:J42"/>
    <mergeCell ref="I43:J43"/>
    <mergeCell ref="I44:J44"/>
    <mergeCell ref="I45:J45"/>
    <mergeCell ref="I46:J46"/>
    <mergeCell ref="I37:J37"/>
    <mergeCell ref="I38:J38"/>
    <mergeCell ref="I39:J39"/>
    <mergeCell ref="I40:J40"/>
    <mergeCell ref="I41:J41"/>
    <mergeCell ref="I24:J24"/>
    <mergeCell ref="B4:C4"/>
    <mergeCell ref="I11:J11"/>
    <mergeCell ref="I35:J35"/>
    <mergeCell ref="I36:J36"/>
    <mergeCell ref="N6:O7"/>
    <mergeCell ref="D4:G4"/>
    <mergeCell ref="H6:I6"/>
    <mergeCell ref="I21:J21"/>
    <mergeCell ref="I22:J22"/>
    <mergeCell ref="I14:J14"/>
    <mergeCell ref="B67:V67"/>
    <mergeCell ref="B69:V69"/>
    <mergeCell ref="I12:J12"/>
    <mergeCell ref="I18:J18"/>
    <mergeCell ref="I16:J16"/>
    <mergeCell ref="I25:J25"/>
    <mergeCell ref="I26:J26"/>
    <mergeCell ref="I27:J27"/>
    <mergeCell ref="I28:J28"/>
    <mergeCell ref="I29:J29"/>
    <mergeCell ref="I30:J30"/>
    <mergeCell ref="I31:J31"/>
    <mergeCell ref="I32:J32"/>
    <mergeCell ref="I33:J33"/>
    <mergeCell ref="I34:J34"/>
    <mergeCell ref="I23:J23"/>
    <mergeCell ref="A71:V71"/>
    <mergeCell ref="B68:V68"/>
    <mergeCell ref="G8:K8"/>
    <mergeCell ref="D3:G3"/>
    <mergeCell ref="I13:J13"/>
    <mergeCell ref="B3:C3"/>
    <mergeCell ref="B10:V10"/>
    <mergeCell ref="U3:V7"/>
    <mergeCell ref="G9:K9"/>
    <mergeCell ref="L9:M9"/>
    <mergeCell ref="L8:M8"/>
    <mergeCell ref="I61:J61"/>
    <mergeCell ref="I19:J19"/>
    <mergeCell ref="I20:J20"/>
    <mergeCell ref="I17:J17"/>
    <mergeCell ref="I15:J15"/>
  </mergeCells>
  <conditionalFormatting sqref="I12:I61">
    <cfRule type="expression" dxfId="97" priority="1" stopIfTrue="1">
      <formula>$V12="Check Work Type"</formula>
    </cfRule>
  </conditionalFormatting>
  <conditionalFormatting sqref="K12:L61">
    <cfRule type="expression" dxfId="96" priority="89" stopIfTrue="1">
      <formula>$V12="Check Work Type"</formula>
    </cfRule>
  </conditionalFormatting>
  <conditionalFormatting sqref="L9">
    <cfRule type="containsText" dxfId="95" priority="37" operator="containsText" text="Complete Salix Funding Requested">
      <formula>NOT(ISERROR(SEARCH("Complete Salix Funding Requested",L9)))</formula>
    </cfRule>
    <cfRule type="cellIs" dxfId="94" priority="38" operator="equal">
      <formula>"Enter site life"</formula>
    </cfRule>
    <cfRule type="cellIs" dxfId="93" priority="39" operator="equal">
      <formula>"Enter Total Project Cost"</formula>
    </cfRule>
    <cfRule type="cellIs" dxfId="92" priority="40" operator="equal">
      <formula>"Enter % of cost"</formula>
    </cfRule>
  </conditionalFormatting>
  <conditionalFormatting sqref="L9:M9">
    <cfRule type="containsText" dxfId="91" priority="35" operator="containsText" text="Funding Exceeds Total Value">
      <formula>NOT(ISERROR(SEARCH("Funding Exceeds Total Value",L9)))</formula>
    </cfRule>
    <cfRule type="containsText" dxfId="90" priority="36" operator="containsText" text="Complete Total Value of Projects">
      <formula>NOT(ISERROR(SEARCH("Complete Total Value of Projects",L9)))</formula>
    </cfRule>
  </conditionalFormatting>
  <conditionalFormatting sqref="M11 P11">
    <cfRule type="expression" dxfId="89" priority="373" stopIfTrue="1">
      <formula>#REF!="M"</formula>
    </cfRule>
  </conditionalFormatting>
  <conditionalFormatting sqref="Q3">
    <cfRule type="expression" dxfId="88" priority="51">
      <formula>$D$4="Recycling Fund"</formula>
    </cfRule>
  </conditionalFormatting>
  <conditionalFormatting sqref="V12:V61">
    <cfRule type="beginsWith" dxfId="85" priority="119" operator="beginsWith" text="Check">
      <formula>LEFT(V12,LEN("Check"))="Check"</formula>
    </cfRule>
    <cfRule type="beginsWith" dxfId="84" priority="304" operator="beginsWith" text="Enter">
      <formula>LEFT(V12,LEN("Enter"))="Enter"</formula>
    </cfRule>
  </conditionalFormatting>
  <conditionalFormatting sqref="V65">
    <cfRule type="beginsWith" dxfId="83" priority="108" operator="beginsWith" text="Complete">
      <formula>LEFT(V65,LEN("Complete"))="Complete"</formula>
    </cfRule>
    <cfRule type="beginsWith" dxfId="82" priority="109" operator="beginsWith" text="Check">
      <formula>LEFT(V65,LEN("Check"))="Check"</formula>
    </cfRule>
    <cfRule type="containsText" dxfId="81" priority="120" operator="containsText" text="Client additional only">
      <formula>NOT(ISERROR(SEARCH("Client additional only",V65)))</formula>
    </cfRule>
    <cfRule type="containsText" dxfId="80" priority="121" operator="containsText" text="Non-Compliant">
      <formula>NOT(ISERROR(SEARCH("Non-Compliant",V65)))</formula>
    </cfRule>
    <cfRule type="containsText" dxfId="79" priority="122" operator="containsText" text="Compliant with client additional">
      <formula>NOT(ISERROR(SEARCH("Compliant with client additional",V65)))</formula>
    </cfRule>
  </conditionalFormatting>
  <dataValidations xWindow="453" yWindow="461" count="16">
    <dataValidation type="list" allowBlank="1" showInputMessage="1" showErrorMessage="1" sqref="B66 D12:D61" xr:uid="{A445855C-A293-4AA5-89E3-C0EF8FA8C203}">
      <formula1>Energy_Types</formula1>
    </dataValidation>
    <dataValidation type="date" allowBlank="1" showInputMessage="1" showErrorMessage="1" sqref="C9" xr:uid="{5B9DBFE7-8CAC-4DBF-A421-78CD883E7BAF}">
      <formula1>40179</formula1>
      <formula2>46022</formula2>
    </dataValidation>
    <dataValidation type="decimal" allowBlank="1" showInputMessage="1" showErrorMessage="1" errorTitle="Please review" error="Please enter site life as a number only" sqref="F9" xr:uid="{FA5D2FAB-A92E-469D-BA24-6B37B9FA97CE}">
      <formula1>0.1</formula1>
      <formula2>100000</formula2>
    </dataValidation>
    <dataValidation type="decimal" allowBlank="1" showInputMessage="1" showErrorMessage="1" errorTitle="Invalid Value" error="Please enter a value between 1% and 100%" sqref="N9" xr:uid="{C89300F3-28E8-4D6B-9416-EDF58E59FBD9}">
      <formula1>0</formula1>
      <formula2>1</formula2>
    </dataValidation>
    <dataValidation type="date" allowBlank="1" showInputMessage="1" showErrorMessage="1" promptTitle="GUIDANCE NOTE" prompt="Please enter a realistic date for project completion." sqref="D9" xr:uid="{E0577A49-2BC8-41E5-9F0C-C098F35B8E7F}">
      <formula1>40179</formula1>
      <formula2>49674</formula2>
    </dataValidation>
    <dataValidation allowBlank="1" showInputMessage="1" showErrorMessage="1" errorTitle="Please review" error="Please enter site life as a number only" sqref="G9:K9" xr:uid="{F3416746-9C76-4B7D-8518-44025D645667}"/>
    <dataValidation type="list" allowBlank="1" showInputMessage="1" showErrorMessage="1" sqref="H12:H61" xr:uid="{E3D42309-2BB1-42F4-9E33-DE0DAC4DE315}">
      <formula1>Project_type</formula1>
    </dataValidation>
    <dataValidation type="decimal" operator="lessThan" allowBlank="1" showInputMessage="1" showErrorMessage="1" errorTitle="Invalid Entry" error="Please enter your energy price in the box." sqref="E12:E61" xr:uid="{54DF54DD-1546-4CB0-8392-5D1EAB8B4C60}">
      <formula1>999</formula1>
    </dataValidation>
    <dataValidation type="decimal" operator="greaterThanOrEqual" allowBlank="1" showInputMessage="1" showErrorMessage="1" error="Please enter a numerical value in kWh." promptTitle="GUIDANCE NOTE" prompt="Enter energy currently consumed by the existing plant/equipment concerned." sqref="K12:K61" xr:uid="{91BF7573-4FF7-4923-A310-1705F23D77C6}">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61" xr:uid="{1D4CCDC2-9966-4D7B-9969-E9B2CBBAE35F}">
      <formula1>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61" xr:uid="{B8F7C740-9D81-4928-9AC7-38F3B108A6A4}">
      <formula1>999</formula1>
    </dataValidation>
    <dataValidation type="decimal" allowBlank="1" showInputMessage="1" showErrorMessage="1" errorTitle="Invalid Entry" error="Please enter value as a number" promptTitle="GUIDANCE NOTE" prompt="Please enter the total cost of this measure." sqref="O12:O61" xr:uid="{A340F93B-3F03-4DCE-B733-8953B3E6813B}">
      <formula1>0</formula1>
      <formula2>9999999999999990000</formula2>
    </dataValidation>
    <dataValidation type="decimal" operator="lessThan" allowBlank="1" showInputMessage="1" errorTitle="Invalid Entry" error="Please enter your energy price in the box." sqref="G12:G61" xr:uid="{B6989F90-F684-4C22-AE14-50B816DFF9C3}">
      <formula1>999</formula1>
    </dataValidation>
    <dataValidation type="list" allowBlank="1" showInputMessage="1" showErrorMessage="1" sqref="I12:I61" xr:uid="{3B5BEB2D-0C00-421C-9BFB-C326C3D234CE}">
      <formula1>INDIRECT($Z12)</formula1>
    </dataValidation>
    <dataValidation allowBlank="1" showInputMessage="1" showErrorMessage="1" promptTitle="RF Applicants" prompt="RF applications should enter the current p/kWh in this section." sqref="F11" xr:uid="{D385C64C-4155-4249-AFC5-C1B8839BED80}"/>
    <dataValidation allowBlank="1" showInputMessage="1" showErrorMessage="1" prompt="Please separate measures out for each building if your application is multi-building" sqref="B12" xr:uid="{18269017-B01B-4ECD-8F35-8706C3F58648}"/>
  </dataValidations>
  <pageMargins left="0.23622047244094491" right="0.23622047244094491" top="0.35433070866141736" bottom="0.35433070866141736" header="0.31496062992125984" footer="0.31496062992125984"/>
  <pageSetup paperSize="9" scale="40" fitToHeight="0" orientation="landscape" horizontalDpi="525" verticalDpi="525" r:id="rId1"/>
  <customProperties>
    <customPr name="GUID" r:id="rId2"/>
  </customProperties>
  <drawing r:id="rId3"/>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look-up'!$F$76</xm:f>
            <x14:dxf>
              <font>
                <color rgb="FFFF0000"/>
              </font>
              <fill>
                <patternFill>
                  <bgColor theme="5" tint="0.79998168889431442"/>
                </patternFill>
              </fill>
            </x14:dxf>
          </x14:cfRule>
          <xm:sqref>Q65</xm:sqref>
        </x14:conditionalFormatting>
        <x14:conditionalFormatting xmlns:xm="http://schemas.microsoft.com/office/excel/2006/main">
          <x14:cfRule type="cellIs" priority="384" stopIfTrue="1" operator="greaterThan" id="{AEB13788-B7CD-44E4-8F7A-C9D6A802DD28}">
            <xm:f>'Extra look-up'!$G$76</xm:f>
            <x14:dxf>
              <font>
                <color rgb="FFFF0000"/>
              </font>
              <fill>
                <patternFill>
                  <fgColor theme="0"/>
                  <bgColor theme="5" tint="0.79998168889431442"/>
                </patternFill>
              </fill>
            </x14:dxf>
          </x14:cfRule>
          <xm:sqref>U65</xm:sqref>
        </x14:conditionalFormatting>
      </x14:conditionalFormattings>
    </ext>
    <ext xmlns:x14="http://schemas.microsoft.com/office/spreadsheetml/2009/9/main" uri="{CCE6A557-97BC-4b89-ADB6-D9C93CAAB3DF}">
      <x14:dataValidations xmlns:xm="http://schemas.microsoft.com/office/excel/2006/main" xWindow="453" yWindow="461" count="1">
        <x14:dataValidation type="list" allowBlank="1" showInputMessage="1" showErrorMessage="1" xr:uid="{ADEA02F4-F232-40EA-BBA9-0D6C26D2B81E}">
          <x14:formula1>
            <xm:f>'Extra look-up'!$D$80:$D$81</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2DAE76"/>
    <pageSetUpPr fitToPage="1"/>
  </sheetPr>
  <dimension ref="B2:S102"/>
  <sheetViews>
    <sheetView showGridLines="0" zoomScale="60" zoomScaleNormal="60" workbookViewId="0">
      <selection activeCell="D16" sqref="D16"/>
    </sheetView>
  </sheetViews>
  <sheetFormatPr defaultColWidth="9.140625" defaultRowHeight="15.75" x14ac:dyDescent="0.2"/>
  <cols>
    <col min="1" max="2" width="3.42578125" style="628" customWidth="1"/>
    <col min="3" max="3" width="41" style="629" customWidth="1"/>
    <col min="4" max="4" width="34.42578125" style="628" bestFit="1" customWidth="1"/>
    <col min="5" max="9" width="20.42578125" style="628" customWidth="1"/>
    <col min="10" max="10" width="5.42578125" style="628" customWidth="1"/>
    <col min="11" max="29" width="9.140625" style="628" customWidth="1"/>
    <col min="30" max="16384" width="9.140625" style="628"/>
  </cols>
  <sheetData>
    <row r="2" spans="2:19" x14ac:dyDescent="0.2">
      <c r="B2" s="803"/>
      <c r="C2" s="631"/>
      <c r="D2" s="631"/>
      <c r="E2" s="631"/>
      <c r="F2" s="631"/>
      <c r="G2" s="631"/>
      <c r="H2" s="631"/>
      <c r="I2" s="631"/>
      <c r="J2" s="803"/>
      <c r="K2" s="804"/>
      <c r="L2" s="804"/>
      <c r="M2" s="804"/>
      <c r="N2" s="804"/>
      <c r="O2" s="804"/>
      <c r="P2" s="804"/>
      <c r="Q2" s="804"/>
      <c r="R2" s="804"/>
      <c r="S2" s="804"/>
    </row>
    <row r="3" spans="2:19" x14ac:dyDescent="0.2">
      <c r="B3" s="803"/>
      <c r="C3" s="926" t="s">
        <v>139</v>
      </c>
      <c r="D3" s="926"/>
      <c r="E3" s="926"/>
      <c r="F3" s="926"/>
      <c r="G3" s="926"/>
      <c r="H3" s="631"/>
      <c r="I3" s="631"/>
      <c r="J3" s="803"/>
      <c r="K3" s="804"/>
      <c r="L3" s="804"/>
      <c r="M3" s="804"/>
      <c r="N3" s="804"/>
      <c r="O3" s="804"/>
      <c r="P3" s="804"/>
      <c r="Q3" s="804"/>
      <c r="R3" s="804"/>
      <c r="S3" s="804"/>
    </row>
    <row r="4" spans="2:19" x14ac:dyDescent="0.2">
      <c r="B4" s="803"/>
      <c r="C4" s="926"/>
      <c r="D4" s="926"/>
      <c r="E4" s="926"/>
      <c r="F4" s="926"/>
      <c r="G4" s="926"/>
      <c r="H4" s="631"/>
      <c r="I4" s="631"/>
      <c r="J4" s="803"/>
      <c r="K4" s="804"/>
      <c r="L4" s="804"/>
      <c r="M4" s="804"/>
      <c r="N4" s="804"/>
      <c r="O4" s="804"/>
      <c r="P4" s="804"/>
      <c r="Q4" s="804"/>
      <c r="R4" s="804"/>
      <c r="S4" s="804"/>
    </row>
    <row r="5" spans="2:19" ht="5.45" customHeight="1" x14ac:dyDescent="0.2">
      <c r="B5" s="803"/>
      <c r="C5" s="727"/>
      <c r="D5" s="728"/>
      <c r="E5" s="728"/>
      <c r="F5" s="728"/>
      <c r="G5" s="728"/>
      <c r="H5" s="728"/>
      <c r="I5" s="632"/>
      <c r="J5" s="803"/>
      <c r="K5" s="804"/>
      <c r="L5" s="804"/>
      <c r="M5" s="804"/>
      <c r="N5" s="804"/>
      <c r="O5" s="804"/>
      <c r="P5" s="804"/>
      <c r="Q5" s="804"/>
      <c r="R5" s="804"/>
      <c r="S5" s="804"/>
    </row>
    <row r="6" spans="2:19" ht="15.95" customHeight="1" x14ac:dyDescent="0.2">
      <c r="B6" s="803"/>
      <c r="C6" s="888"/>
      <c r="D6" s="888"/>
      <c r="E6" s="888"/>
      <c r="F6" s="888"/>
      <c r="G6" s="888"/>
      <c r="H6" s="888"/>
      <c r="I6" s="888"/>
      <c r="J6" s="803"/>
      <c r="K6" s="804"/>
      <c r="L6" s="804"/>
      <c r="M6" s="804"/>
      <c r="N6" s="804"/>
      <c r="O6" s="804"/>
      <c r="P6" s="804"/>
      <c r="Q6" s="804"/>
      <c r="R6" s="804"/>
      <c r="S6" s="804"/>
    </row>
    <row r="7" spans="2:19" ht="22.5" x14ac:dyDescent="0.2">
      <c r="B7" s="803"/>
      <c r="C7" s="670" t="s">
        <v>140</v>
      </c>
      <c r="D7" s="634"/>
      <c r="E7" s="634"/>
      <c r="F7" s="634"/>
      <c r="G7" s="634"/>
      <c r="H7" s="634"/>
      <c r="I7" s="634"/>
      <c r="J7" s="803"/>
      <c r="K7" s="804"/>
      <c r="L7" s="804"/>
      <c r="M7" s="804"/>
      <c r="N7" s="804"/>
      <c r="O7" s="804"/>
      <c r="P7" s="804"/>
      <c r="Q7" s="804"/>
      <c r="R7" s="804"/>
      <c r="S7" s="804"/>
    </row>
    <row r="8" spans="2:19" x14ac:dyDescent="0.2">
      <c r="B8" s="803"/>
      <c r="C8" s="635"/>
      <c r="D8" s="632"/>
      <c r="E8" s="632"/>
      <c r="F8" s="632"/>
      <c r="G8" s="632"/>
      <c r="H8" s="632"/>
      <c r="I8" s="632"/>
      <c r="J8" s="803"/>
      <c r="K8" s="804"/>
      <c r="L8" s="804"/>
      <c r="M8" s="804"/>
      <c r="N8" s="804"/>
      <c r="O8" s="804"/>
      <c r="P8" s="804"/>
      <c r="Q8" s="804"/>
      <c r="R8" s="804"/>
      <c r="S8" s="804"/>
    </row>
    <row r="9" spans="2:19" ht="19.5" x14ac:dyDescent="0.2">
      <c r="B9" s="803"/>
      <c r="C9" s="655" t="s">
        <v>141</v>
      </c>
      <c r="D9" s="889"/>
      <c r="E9" s="890"/>
      <c r="F9" s="890"/>
      <c r="G9" s="890"/>
      <c r="H9" s="890"/>
      <c r="I9" s="891"/>
      <c r="J9" s="803"/>
      <c r="K9" s="804"/>
      <c r="L9" s="804"/>
      <c r="M9" s="804"/>
      <c r="N9" s="804"/>
      <c r="O9" s="804"/>
      <c r="P9" s="804"/>
      <c r="Q9" s="804"/>
      <c r="R9" s="804"/>
      <c r="S9" s="804"/>
    </row>
    <row r="10" spans="2:19" x14ac:dyDescent="0.2">
      <c r="B10" s="803"/>
      <c r="C10" s="633"/>
      <c r="D10" s="632"/>
      <c r="E10" s="632"/>
      <c r="F10" s="632"/>
      <c r="G10" s="632"/>
      <c r="H10" s="632"/>
      <c r="I10" s="632"/>
      <c r="J10" s="803"/>
      <c r="K10" s="629"/>
      <c r="L10" s="629"/>
      <c r="M10" s="629"/>
      <c r="N10" s="629"/>
      <c r="O10" s="629"/>
      <c r="P10" s="629"/>
      <c r="Q10" s="629"/>
      <c r="R10" s="629"/>
      <c r="S10" s="629"/>
    </row>
    <row r="11" spans="2:19" ht="19.5" x14ac:dyDescent="0.2">
      <c r="B11" s="803"/>
      <c r="C11" s="655" t="s">
        <v>142</v>
      </c>
      <c r="D11" s="892" t="str">
        <f>IF('Project Compliance Tool'!D3="","",'Project Compliance Tool'!D3)</f>
        <v/>
      </c>
      <c r="E11" s="893"/>
      <c r="F11" s="893"/>
      <c r="G11" s="893"/>
      <c r="H11" s="893"/>
      <c r="I11" s="894"/>
      <c r="J11" s="803"/>
      <c r="K11" s="804"/>
      <c r="L11" s="804"/>
      <c r="M11" s="804"/>
      <c r="N11" s="804"/>
      <c r="O11" s="804"/>
      <c r="P11" s="804"/>
      <c r="Q11" s="804"/>
      <c r="R11" s="804"/>
      <c r="S11" s="804"/>
    </row>
    <row r="12" spans="2:19" x14ac:dyDescent="0.2">
      <c r="B12" s="803"/>
      <c r="C12" s="633"/>
      <c r="D12" s="632"/>
      <c r="E12" s="632"/>
      <c r="F12" s="632"/>
      <c r="G12" s="632"/>
      <c r="H12" s="632"/>
      <c r="I12" s="632"/>
      <c r="J12" s="803"/>
      <c r="K12" s="804"/>
      <c r="L12" s="804"/>
      <c r="M12" s="804"/>
      <c r="N12" s="804"/>
      <c r="O12" s="804"/>
      <c r="P12" s="804"/>
      <c r="Q12" s="804"/>
      <c r="R12" s="804"/>
      <c r="S12" s="804"/>
    </row>
    <row r="13" spans="2:19" ht="19.5" x14ac:dyDescent="0.25">
      <c r="B13" s="803"/>
      <c r="C13" s="655" t="s">
        <v>143</v>
      </c>
      <c r="D13" s="768"/>
      <c r="E13" s="632"/>
      <c r="F13" s="637"/>
      <c r="G13" s="632"/>
      <c r="H13" s="632"/>
      <c r="I13" s="632"/>
      <c r="J13" s="803"/>
      <c r="K13" s="804"/>
      <c r="L13" s="804"/>
      <c r="M13" s="804"/>
      <c r="N13" s="804"/>
      <c r="O13" s="804"/>
      <c r="P13" s="804"/>
      <c r="Q13" s="804"/>
      <c r="R13" s="804"/>
      <c r="S13" s="804"/>
    </row>
    <row r="14" spans="2:19" ht="19.5" x14ac:dyDescent="0.25">
      <c r="B14" s="803"/>
      <c r="C14" s="655"/>
      <c r="D14" s="636"/>
      <c r="E14" s="632"/>
      <c r="F14" s="637"/>
      <c r="G14" s="632"/>
      <c r="H14" s="632"/>
      <c r="I14" s="632"/>
      <c r="J14" s="803"/>
      <c r="K14" s="804"/>
      <c r="L14" s="804"/>
      <c r="M14" s="804"/>
      <c r="N14" s="804"/>
      <c r="O14" s="804"/>
      <c r="P14" s="804"/>
      <c r="Q14" s="804"/>
      <c r="R14" s="804"/>
      <c r="S14" s="804"/>
    </row>
    <row r="15" spans="2:19" ht="19.5" x14ac:dyDescent="0.25">
      <c r="B15" s="803"/>
      <c r="C15" s="655" t="s">
        <v>144</v>
      </c>
      <c r="D15" s="155"/>
      <c r="E15" s="632"/>
      <c r="F15" s="637"/>
      <c r="G15" s="632"/>
      <c r="H15" s="632"/>
      <c r="I15" s="632"/>
      <c r="J15" s="803"/>
      <c r="K15" s="804"/>
      <c r="L15" s="804"/>
      <c r="M15" s="804"/>
      <c r="N15" s="804"/>
      <c r="O15" s="804"/>
      <c r="P15" s="804"/>
      <c r="Q15" s="804"/>
      <c r="R15" s="804"/>
      <c r="S15" s="804"/>
    </row>
    <row r="16" spans="2:19" x14ac:dyDescent="0.2">
      <c r="B16" s="803"/>
      <c r="C16" s="633"/>
      <c r="D16" s="632"/>
      <c r="E16" s="632"/>
      <c r="F16" s="632"/>
      <c r="G16" s="935"/>
      <c r="H16" s="935"/>
      <c r="I16" s="632"/>
      <c r="J16" s="803"/>
      <c r="K16" s="804"/>
      <c r="L16" s="804"/>
      <c r="M16" s="804"/>
      <c r="N16" s="804"/>
      <c r="O16" s="804"/>
      <c r="P16" s="804"/>
      <c r="Q16" s="804"/>
      <c r="R16" s="804"/>
      <c r="S16" s="804"/>
    </row>
    <row r="17" spans="2:11" ht="18" x14ac:dyDescent="0.2">
      <c r="B17" s="803"/>
      <c r="C17" s="670" t="s">
        <v>145</v>
      </c>
      <c r="D17" s="632"/>
      <c r="E17" s="632"/>
      <c r="F17" s="638"/>
      <c r="G17" s="936" t="s">
        <v>146</v>
      </c>
      <c r="H17" s="936"/>
      <c r="I17" s="632"/>
      <c r="J17" s="803"/>
      <c r="K17" s="804"/>
    </row>
    <row r="18" spans="2:11" ht="15.75" customHeight="1" x14ac:dyDescent="0.2">
      <c r="B18" s="803"/>
      <c r="C18" s="656" t="s">
        <v>147</v>
      </c>
      <c r="D18" s="887"/>
      <c r="E18" s="887"/>
      <c r="F18" s="159"/>
      <c r="G18" s="896" t="s">
        <v>148</v>
      </c>
      <c r="H18" s="896"/>
      <c r="I18" s="729"/>
      <c r="J18" s="803"/>
      <c r="K18" s="804"/>
    </row>
    <row r="19" spans="2:11" x14ac:dyDescent="0.2">
      <c r="B19" s="803"/>
      <c r="C19" s="656" t="s">
        <v>149</v>
      </c>
      <c r="D19" s="887"/>
      <c r="E19" s="887"/>
      <c r="F19" s="632"/>
      <c r="G19" s="641"/>
      <c r="H19" s="642"/>
      <c r="I19" s="643"/>
      <c r="J19" s="803"/>
      <c r="K19" s="804"/>
    </row>
    <row r="20" spans="2:11" ht="15.75" customHeight="1" x14ac:dyDescent="0.2">
      <c r="B20" s="803"/>
      <c r="C20" s="656" t="s">
        <v>150</v>
      </c>
      <c r="D20" s="895"/>
      <c r="E20" s="895"/>
      <c r="F20" s="632"/>
      <c r="G20" s="896" t="s">
        <v>151</v>
      </c>
      <c r="H20" s="896"/>
      <c r="I20" s="729"/>
      <c r="J20" s="803"/>
      <c r="K20" s="804"/>
    </row>
    <row r="21" spans="2:11" x14ac:dyDescent="0.2">
      <c r="B21" s="803"/>
      <c r="C21" s="656" t="s">
        <v>152</v>
      </c>
      <c r="D21" s="887"/>
      <c r="E21" s="887"/>
      <c r="F21" s="632"/>
      <c r="G21" s="641"/>
      <c r="H21" s="644"/>
      <c r="I21" s="643"/>
      <c r="J21" s="803"/>
      <c r="K21" s="804"/>
    </row>
    <row r="22" spans="2:11" ht="15.75" customHeight="1" x14ac:dyDescent="0.2">
      <c r="B22" s="803"/>
      <c r="C22" s="656" t="s">
        <v>153</v>
      </c>
      <c r="D22" s="897"/>
      <c r="E22" s="897"/>
      <c r="F22" s="159"/>
      <c r="G22" s="896" t="s">
        <v>154</v>
      </c>
      <c r="H22" s="896"/>
      <c r="I22" s="729"/>
      <c r="J22" s="803"/>
      <c r="K22" s="804"/>
    </row>
    <row r="23" spans="2:11" x14ac:dyDescent="0.2">
      <c r="B23" s="803"/>
      <c r="C23" s="656" t="s">
        <v>155</v>
      </c>
      <c r="D23" s="887"/>
      <c r="E23" s="887"/>
      <c r="F23" s="632"/>
      <c r="G23" s="645"/>
      <c r="H23" s="644"/>
      <c r="I23" s="643"/>
      <c r="J23" s="805"/>
      <c r="K23" s="806"/>
    </row>
    <row r="24" spans="2:11" ht="15.75" customHeight="1" x14ac:dyDescent="0.2">
      <c r="B24" s="803"/>
      <c r="C24" s="656" t="s">
        <v>156</v>
      </c>
      <c r="D24" s="897"/>
      <c r="E24" s="897"/>
      <c r="F24" s="159"/>
      <c r="G24" s="896" t="s">
        <v>157</v>
      </c>
      <c r="H24" s="896"/>
      <c r="I24" s="729"/>
      <c r="J24" s="803"/>
      <c r="K24" s="804"/>
    </row>
    <row r="25" spans="2:11" x14ac:dyDescent="0.2">
      <c r="B25" s="803"/>
      <c r="C25" s="656" t="s">
        <v>158</v>
      </c>
      <c r="D25" s="899"/>
      <c r="E25" s="900"/>
      <c r="F25" s="646"/>
      <c r="G25" s="645"/>
      <c r="H25" s="647"/>
      <c r="I25" s="648"/>
      <c r="J25" s="803"/>
      <c r="K25" s="804"/>
    </row>
    <row r="26" spans="2:11" ht="15.75" customHeight="1" x14ac:dyDescent="0.2">
      <c r="B26" s="803"/>
      <c r="C26" s="639"/>
      <c r="D26" s="649"/>
      <c r="E26" s="649"/>
      <c r="F26" s="640"/>
      <c r="G26" s="896" t="s">
        <v>159</v>
      </c>
      <c r="H26" s="896"/>
      <c r="I26" s="729"/>
      <c r="J26" s="803"/>
      <c r="K26" s="804"/>
    </row>
    <row r="27" spans="2:11" ht="15.75" customHeight="1" x14ac:dyDescent="0.2">
      <c r="B27" s="803"/>
      <c r="C27" s="633"/>
      <c r="D27" s="649"/>
      <c r="E27" s="649"/>
      <c r="F27" s="640"/>
      <c r="G27" s="641"/>
      <c r="H27" s="641"/>
      <c r="I27" s="648"/>
      <c r="J27" s="803"/>
      <c r="K27" s="804"/>
    </row>
    <row r="28" spans="2:11" ht="15.75" customHeight="1" x14ac:dyDescent="0.2">
      <c r="B28" s="803"/>
      <c r="C28" s="633"/>
      <c r="D28" s="649"/>
      <c r="E28" s="649"/>
      <c r="F28" s="640"/>
      <c r="G28" s="896" t="s">
        <v>160</v>
      </c>
      <c r="H28" s="896"/>
      <c r="I28" s="730">
        <f>I18+I20+I22+I24+I26</f>
        <v>0</v>
      </c>
      <c r="J28" s="803"/>
      <c r="K28" s="804"/>
    </row>
    <row r="29" spans="2:11" ht="18" x14ac:dyDescent="0.2">
      <c r="B29" s="803"/>
      <c r="C29" s="670" t="s">
        <v>161</v>
      </c>
      <c r="D29" s="658"/>
      <c r="E29" s="658"/>
      <c r="F29" s="659"/>
      <c r="G29" s="657"/>
      <c r="H29" s="657"/>
      <c r="I29" s="659"/>
      <c r="J29" s="803"/>
      <c r="K29" s="804"/>
    </row>
    <row r="30" spans="2:11" ht="15.75" customHeight="1" x14ac:dyDescent="0.2">
      <c r="B30" s="803"/>
      <c r="C30" s="933" t="s">
        <v>162</v>
      </c>
      <c r="D30" s="933"/>
      <c r="E30" s="933"/>
      <c r="F30" s="933"/>
      <c r="G30" s="933"/>
      <c r="H30" s="933"/>
      <c r="I30" s="933"/>
      <c r="J30" s="803"/>
      <c r="K30" s="804"/>
    </row>
    <row r="31" spans="2:11" ht="15.75" customHeight="1" x14ac:dyDescent="0.2">
      <c r="B31" s="803"/>
      <c r="C31" s="903" t="s">
        <v>163</v>
      </c>
      <c r="D31" s="903"/>
      <c r="E31" s="903"/>
      <c r="F31" s="903"/>
      <c r="G31" s="903"/>
      <c r="H31" s="903"/>
      <c r="I31" s="903"/>
      <c r="J31" s="803"/>
      <c r="K31" s="804"/>
    </row>
    <row r="32" spans="2:11" ht="14.25" customHeight="1" x14ac:dyDescent="0.2">
      <c r="B32" s="803"/>
      <c r="C32" s="903"/>
      <c r="D32" s="903"/>
      <c r="E32" s="903"/>
      <c r="F32" s="903"/>
      <c r="G32" s="903"/>
      <c r="H32" s="903"/>
      <c r="I32" s="903"/>
      <c r="J32" s="803"/>
      <c r="K32" s="804"/>
    </row>
    <row r="33" spans="2:10" ht="115.5" customHeight="1" x14ac:dyDescent="0.2">
      <c r="B33" s="803"/>
      <c r="C33" s="930"/>
      <c r="D33" s="931"/>
      <c r="E33" s="931"/>
      <c r="F33" s="931"/>
      <c r="G33" s="931"/>
      <c r="H33" s="931"/>
      <c r="I33" s="932"/>
      <c r="J33" s="803"/>
    </row>
    <row r="34" spans="2:10" ht="7.5" customHeight="1" x14ac:dyDescent="0.2">
      <c r="B34" s="803"/>
      <c r="C34" s="633"/>
      <c r="D34" s="649"/>
      <c r="E34" s="649"/>
      <c r="F34" s="640"/>
      <c r="G34" s="641"/>
      <c r="H34" s="641"/>
      <c r="I34" s="648"/>
      <c r="J34" s="803"/>
    </row>
    <row r="35" spans="2:10" ht="18" x14ac:dyDescent="0.2">
      <c r="B35" s="803"/>
      <c r="C35" s="670" t="s">
        <v>164</v>
      </c>
      <c r="D35" s="658"/>
      <c r="E35" s="658"/>
      <c r="F35" s="660"/>
      <c r="G35" s="896"/>
      <c r="H35" s="896"/>
      <c r="I35" s="661"/>
      <c r="J35" s="803"/>
    </row>
    <row r="36" spans="2:10" x14ac:dyDescent="0.2">
      <c r="B36" s="803"/>
      <c r="C36" s="933" t="s">
        <v>165</v>
      </c>
      <c r="D36" s="933"/>
      <c r="E36" s="933"/>
      <c r="F36" s="662"/>
      <c r="G36" s="937"/>
      <c r="H36" s="937"/>
      <c r="I36" s="656"/>
      <c r="J36" s="803"/>
    </row>
    <row r="37" spans="2:10" ht="15.75" customHeight="1" x14ac:dyDescent="0.2">
      <c r="B37" s="803"/>
      <c r="C37" s="903" t="s">
        <v>166</v>
      </c>
      <c r="D37" s="903"/>
      <c r="E37" s="903"/>
      <c r="F37" s="903"/>
      <c r="G37" s="903"/>
      <c r="H37" s="903"/>
      <c r="I37" s="903"/>
      <c r="J37" s="803"/>
    </row>
    <row r="38" spans="2:10" ht="15.75" customHeight="1" x14ac:dyDescent="0.2">
      <c r="B38" s="803"/>
      <c r="C38" s="903"/>
      <c r="D38" s="903"/>
      <c r="E38" s="903"/>
      <c r="F38" s="903"/>
      <c r="G38" s="903"/>
      <c r="H38" s="903"/>
      <c r="I38" s="903"/>
      <c r="J38" s="803"/>
    </row>
    <row r="39" spans="2:10" ht="15.75" customHeight="1" x14ac:dyDescent="0.2">
      <c r="B39" s="803"/>
      <c r="C39" s="903"/>
      <c r="D39" s="903"/>
      <c r="E39" s="903"/>
      <c r="F39" s="903"/>
      <c r="G39" s="903"/>
      <c r="H39" s="903"/>
      <c r="I39" s="903"/>
      <c r="J39" s="803"/>
    </row>
    <row r="40" spans="2:10" ht="9.9499999999999993" customHeight="1" x14ac:dyDescent="0.2">
      <c r="B40" s="803"/>
      <c r="C40" s="903"/>
      <c r="D40" s="903"/>
      <c r="E40" s="903"/>
      <c r="F40" s="903"/>
      <c r="G40" s="903"/>
      <c r="H40" s="903"/>
      <c r="I40" s="903"/>
      <c r="J40" s="803"/>
    </row>
    <row r="41" spans="2:10" ht="115.5" customHeight="1" x14ac:dyDescent="0.2">
      <c r="B41" s="803"/>
      <c r="C41" s="902"/>
      <c r="D41" s="902"/>
      <c r="E41" s="902"/>
      <c r="F41" s="902"/>
      <c r="G41" s="902"/>
      <c r="H41" s="902"/>
      <c r="I41" s="902"/>
      <c r="J41" s="803"/>
    </row>
    <row r="42" spans="2:10" ht="23.45" customHeight="1" x14ac:dyDescent="0.25">
      <c r="B42" s="803"/>
      <c r="C42" s="671" t="s">
        <v>167</v>
      </c>
      <c r="D42" s="664"/>
      <c r="E42" s="664"/>
      <c r="F42" s="664"/>
      <c r="G42" s="664"/>
      <c r="H42" s="664"/>
      <c r="I42" s="650"/>
      <c r="J42" s="803"/>
    </row>
    <row r="43" spans="2:10" ht="24.6" customHeight="1" x14ac:dyDescent="0.2">
      <c r="B43" s="803"/>
      <c r="C43" s="901" t="s">
        <v>168</v>
      </c>
      <c r="D43" s="901"/>
      <c r="E43" s="901"/>
      <c r="F43" s="901"/>
      <c r="G43" s="901"/>
      <c r="H43" s="901"/>
      <c r="I43" s="650"/>
      <c r="J43" s="803"/>
    </row>
    <row r="44" spans="2:10" ht="21.6" customHeight="1" x14ac:dyDescent="0.2">
      <c r="B44" s="803"/>
      <c r="C44" s="901"/>
      <c r="D44" s="901"/>
      <c r="E44" s="901"/>
      <c r="F44" s="901"/>
      <c r="G44" s="901"/>
      <c r="H44" s="901"/>
      <c r="I44" s="650"/>
      <c r="J44" s="803"/>
    </row>
    <row r="45" spans="2:10" ht="115.5" customHeight="1" x14ac:dyDescent="0.2">
      <c r="B45" s="803"/>
      <c r="C45" s="902"/>
      <c r="D45" s="902"/>
      <c r="E45" s="902"/>
      <c r="F45" s="902"/>
      <c r="G45" s="902"/>
      <c r="H45" s="902"/>
      <c r="I45" s="902"/>
      <c r="J45" s="803"/>
    </row>
    <row r="46" spans="2:10" ht="26.45" customHeight="1" x14ac:dyDescent="0.25">
      <c r="B46" s="803"/>
      <c r="C46" s="671" t="s">
        <v>169</v>
      </c>
      <c r="D46" s="664"/>
      <c r="E46" s="664"/>
      <c r="F46" s="664"/>
      <c r="G46" s="664"/>
      <c r="H46" s="664"/>
      <c r="I46" s="650"/>
      <c r="J46" s="803"/>
    </row>
    <row r="47" spans="2:10" ht="51.6" customHeight="1" x14ac:dyDescent="0.2">
      <c r="B47" s="803"/>
      <c r="C47" s="901" t="s">
        <v>170</v>
      </c>
      <c r="D47" s="901"/>
      <c r="E47" s="901"/>
      <c r="F47" s="901"/>
      <c r="G47" s="901"/>
      <c r="H47" s="901"/>
      <c r="I47" s="650"/>
      <c r="J47" s="803"/>
    </row>
    <row r="48" spans="2:10" ht="93" customHeight="1" x14ac:dyDescent="0.2">
      <c r="B48" s="803"/>
      <c r="C48" s="902"/>
      <c r="D48" s="902"/>
      <c r="E48" s="902"/>
      <c r="F48" s="902"/>
      <c r="G48" s="902"/>
      <c r="H48" s="902"/>
      <c r="I48" s="902"/>
      <c r="J48" s="803"/>
    </row>
    <row r="49" spans="2:10" ht="27.95" customHeight="1" x14ac:dyDescent="0.25">
      <c r="B49" s="803"/>
      <c r="C49" s="671" t="s">
        <v>171</v>
      </c>
      <c r="D49" s="655"/>
      <c r="E49" s="655"/>
      <c r="F49" s="655"/>
      <c r="G49" s="655"/>
      <c r="H49" s="655"/>
      <c r="I49" s="655"/>
      <c r="J49" s="803"/>
    </row>
    <row r="50" spans="2:10" ht="46.5" customHeight="1" x14ac:dyDescent="0.2">
      <c r="B50" s="803"/>
      <c r="C50" s="903" t="s">
        <v>172</v>
      </c>
      <c r="D50" s="903"/>
      <c r="E50" s="903"/>
      <c r="F50" s="903"/>
      <c r="G50" s="903"/>
      <c r="H50" s="903"/>
      <c r="I50" s="903"/>
      <c r="J50" s="803"/>
    </row>
    <row r="51" spans="2:10" ht="93.95" customHeight="1" x14ac:dyDescent="0.2">
      <c r="B51" s="803"/>
      <c r="C51" s="902"/>
      <c r="D51" s="902"/>
      <c r="E51" s="902"/>
      <c r="F51" s="902"/>
      <c r="G51" s="902"/>
      <c r="H51" s="902"/>
      <c r="I51" s="902"/>
      <c r="J51" s="803"/>
    </row>
    <row r="52" spans="2:10" ht="25.5" customHeight="1" x14ac:dyDescent="0.25">
      <c r="B52" s="803"/>
      <c r="C52" s="934" t="s">
        <v>173</v>
      </c>
      <c r="D52" s="934"/>
      <c r="E52" s="665"/>
      <c r="F52" s="665"/>
      <c r="G52" s="665"/>
      <c r="H52" s="655"/>
      <c r="I52" s="655"/>
      <c r="J52" s="803"/>
    </row>
    <row r="53" spans="2:10" ht="69" customHeight="1" x14ac:dyDescent="0.2">
      <c r="B53" s="803"/>
      <c r="C53" s="898" t="s">
        <v>174</v>
      </c>
      <c r="D53" s="898"/>
      <c r="E53" s="898"/>
      <c r="F53" s="898"/>
      <c r="G53" s="898"/>
      <c r="H53" s="898"/>
      <c r="I53" s="898"/>
      <c r="J53" s="803"/>
    </row>
    <row r="54" spans="2:10" ht="87.95" customHeight="1" x14ac:dyDescent="0.2">
      <c r="B54" s="803"/>
      <c r="C54" s="927"/>
      <c r="D54" s="928"/>
      <c r="E54" s="928"/>
      <c r="F54" s="928"/>
      <c r="G54" s="928"/>
      <c r="H54" s="928"/>
      <c r="I54" s="929"/>
      <c r="J54" s="803"/>
    </row>
    <row r="55" spans="2:10" s="630" customFormat="1" ht="25.5" customHeight="1" x14ac:dyDescent="0.25">
      <c r="B55" s="807"/>
      <c r="C55" s="671" t="s">
        <v>175</v>
      </c>
      <c r="D55" s="666"/>
      <c r="E55" s="666"/>
      <c r="F55" s="666"/>
      <c r="G55" s="666"/>
      <c r="H55" s="666"/>
      <c r="I55" s="666"/>
      <c r="J55" s="807"/>
    </row>
    <row r="56" spans="2:10" ht="31.5" customHeight="1" x14ac:dyDescent="0.2">
      <c r="B56" s="803"/>
      <c r="C56" s="898" t="s">
        <v>176</v>
      </c>
      <c r="D56" s="898"/>
      <c r="E56" s="898"/>
      <c r="F56" s="898"/>
      <c r="G56" s="898"/>
      <c r="H56" s="898"/>
      <c r="I56" s="898"/>
      <c r="J56" s="803"/>
    </row>
    <row r="57" spans="2:10" ht="84.95" customHeight="1" x14ac:dyDescent="0.2">
      <c r="B57" s="803"/>
      <c r="C57" s="906"/>
      <c r="D57" s="907"/>
      <c r="E57" s="907"/>
      <c r="F57" s="907"/>
      <c r="G57" s="907"/>
      <c r="H57" s="907"/>
      <c r="I57" s="908"/>
      <c r="J57" s="803"/>
    </row>
    <row r="58" spans="2:10" ht="28.5" customHeight="1" x14ac:dyDescent="0.25">
      <c r="B58" s="803"/>
      <c r="C58" s="671" t="s">
        <v>177</v>
      </c>
      <c r="D58" s="655"/>
      <c r="E58" s="655"/>
      <c r="F58" s="655"/>
      <c r="G58" s="655"/>
      <c r="H58" s="655"/>
      <c r="I58" s="655"/>
      <c r="J58" s="803"/>
    </row>
    <row r="59" spans="2:10" ht="92.45" customHeight="1" thickBot="1" x14ac:dyDescent="0.25">
      <c r="B59" s="803"/>
      <c r="C59" s="903" t="s">
        <v>178</v>
      </c>
      <c r="D59" s="903"/>
      <c r="E59" s="903"/>
      <c r="F59" s="903"/>
      <c r="G59" s="903"/>
      <c r="H59" s="903"/>
      <c r="I59" s="903"/>
      <c r="J59" s="803"/>
    </row>
    <row r="60" spans="2:10" ht="39.950000000000003" customHeight="1" thickBot="1" x14ac:dyDescent="0.25">
      <c r="B60" s="803"/>
      <c r="C60" s="674" t="s">
        <v>179</v>
      </c>
      <c r="D60" s="675" t="s">
        <v>180</v>
      </c>
      <c r="E60" s="909" t="s">
        <v>181</v>
      </c>
      <c r="F60" s="909"/>
      <c r="G60" s="909"/>
      <c r="H60" s="909"/>
      <c r="I60" s="910"/>
      <c r="J60" s="803"/>
    </row>
    <row r="61" spans="2:10" ht="39.950000000000003" customHeight="1" x14ac:dyDescent="0.2">
      <c r="B61" s="803"/>
      <c r="C61" s="525"/>
      <c r="D61" s="526"/>
      <c r="E61" s="912"/>
      <c r="F61" s="912"/>
      <c r="G61" s="912"/>
      <c r="H61" s="912"/>
      <c r="I61" s="913"/>
      <c r="J61" s="803"/>
    </row>
    <row r="62" spans="2:10" ht="39.950000000000003" customHeight="1" x14ac:dyDescent="0.2">
      <c r="B62" s="803"/>
      <c r="C62" s="527"/>
      <c r="D62" s="676"/>
      <c r="E62" s="902"/>
      <c r="F62" s="902"/>
      <c r="G62" s="902"/>
      <c r="H62" s="902"/>
      <c r="I62" s="911"/>
      <c r="J62" s="803"/>
    </row>
    <row r="63" spans="2:10" ht="39.950000000000003" customHeight="1" x14ac:dyDescent="0.2">
      <c r="B63" s="803"/>
      <c r="C63" s="527"/>
      <c r="D63" s="676"/>
      <c r="E63" s="902"/>
      <c r="F63" s="902"/>
      <c r="G63" s="902"/>
      <c r="H63" s="902"/>
      <c r="I63" s="911"/>
      <c r="J63" s="803"/>
    </row>
    <row r="64" spans="2:10" ht="39.950000000000003" customHeight="1" x14ac:dyDescent="0.2">
      <c r="B64" s="803"/>
      <c r="C64" s="527"/>
      <c r="D64" s="676"/>
      <c r="E64" s="902"/>
      <c r="F64" s="902"/>
      <c r="G64" s="902"/>
      <c r="H64" s="902"/>
      <c r="I64" s="911"/>
      <c r="J64" s="803"/>
    </row>
    <row r="65" spans="2:10" ht="39.950000000000003" customHeight="1" x14ac:dyDescent="0.2">
      <c r="B65" s="803"/>
      <c r="C65" s="527"/>
      <c r="D65" s="676"/>
      <c r="E65" s="902"/>
      <c r="F65" s="902"/>
      <c r="G65" s="902"/>
      <c r="H65" s="902"/>
      <c r="I65" s="911"/>
      <c r="J65" s="803"/>
    </row>
    <row r="66" spans="2:10" ht="39.950000000000003" customHeight="1" x14ac:dyDescent="0.2">
      <c r="B66" s="803"/>
      <c r="C66" s="527"/>
      <c r="D66" s="676"/>
      <c r="E66" s="902"/>
      <c r="F66" s="902"/>
      <c r="G66" s="902"/>
      <c r="H66" s="902"/>
      <c r="I66" s="911"/>
      <c r="J66" s="803"/>
    </row>
    <row r="67" spans="2:10" ht="39.950000000000003" customHeight="1" x14ac:dyDescent="0.2">
      <c r="B67" s="803"/>
      <c r="C67" s="527"/>
      <c r="D67" s="676"/>
      <c r="E67" s="902"/>
      <c r="F67" s="902"/>
      <c r="G67" s="902"/>
      <c r="H67" s="902"/>
      <c r="I67" s="911"/>
      <c r="J67" s="803"/>
    </row>
    <row r="68" spans="2:10" ht="39.6" customHeight="1" thickBot="1" x14ac:dyDescent="0.25">
      <c r="B68" s="803"/>
      <c r="C68" s="528"/>
      <c r="D68" s="677"/>
      <c r="E68" s="904"/>
      <c r="F68" s="904"/>
      <c r="G68" s="904"/>
      <c r="H68" s="904"/>
      <c r="I68" s="905"/>
      <c r="J68" s="803"/>
    </row>
    <row r="69" spans="2:10" ht="29.1" customHeight="1" x14ac:dyDescent="0.2">
      <c r="B69" s="803"/>
      <c r="C69" s="663" t="s">
        <v>182</v>
      </c>
      <c r="D69" s="655"/>
      <c r="E69" s="655"/>
      <c r="F69" s="655"/>
      <c r="G69" s="655"/>
      <c r="H69" s="655"/>
      <c r="I69" s="655"/>
      <c r="J69" s="803"/>
    </row>
    <row r="70" spans="2:10" ht="60.6" customHeight="1" x14ac:dyDescent="0.2">
      <c r="B70" s="803"/>
      <c r="C70" s="903" t="s">
        <v>183</v>
      </c>
      <c r="D70" s="903"/>
      <c r="E70" s="903"/>
      <c r="F70" s="903"/>
      <c r="G70" s="903"/>
      <c r="H70" s="903"/>
      <c r="I70" s="903"/>
      <c r="J70" s="803"/>
    </row>
    <row r="71" spans="2:10" ht="112.5" customHeight="1" x14ac:dyDescent="0.2">
      <c r="B71" s="803"/>
      <c r="C71" s="915"/>
      <c r="D71" s="916"/>
      <c r="E71" s="916"/>
      <c r="F71" s="916"/>
      <c r="G71" s="916"/>
      <c r="H71" s="916"/>
      <c r="I71" s="917"/>
      <c r="J71" s="803"/>
    </row>
    <row r="72" spans="2:10" x14ac:dyDescent="0.2">
      <c r="B72" s="803"/>
      <c r="C72" s="633"/>
      <c r="D72" s="632"/>
      <c r="E72" s="632"/>
      <c r="F72" s="632"/>
      <c r="G72" s="632"/>
      <c r="H72" s="632"/>
      <c r="I72" s="632"/>
      <c r="J72" s="803"/>
    </row>
    <row r="73" spans="2:10" ht="16.5" thickBot="1" x14ac:dyDescent="0.25">
      <c r="B73" s="803"/>
      <c r="C73" s="654" t="s">
        <v>184</v>
      </c>
      <c r="D73" s="632"/>
      <c r="E73" s="632"/>
      <c r="F73" s="632"/>
      <c r="G73" s="632"/>
      <c r="H73" s="632"/>
      <c r="I73" s="632"/>
      <c r="J73" s="803"/>
    </row>
    <row r="74" spans="2:10" ht="26.25" thickBot="1" x14ac:dyDescent="0.25">
      <c r="B74" s="803"/>
      <c r="C74" s="672" t="s">
        <v>185</v>
      </c>
      <c r="D74" s="678" t="s">
        <v>186</v>
      </c>
      <c r="E74" s="679" t="s">
        <v>187</v>
      </c>
      <c r="F74" s="673" t="s">
        <v>188</v>
      </c>
      <c r="G74" s="678" t="s">
        <v>189</v>
      </c>
      <c r="H74" s="678" t="s">
        <v>190</v>
      </c>
      <c r="I74" s="632"/>
      <c r="J74" s="803"/>
    </row>
    <row r="75" spans="2:10" x14ac:dyDescent="0.2">
      <c r="B75" s="803"/>
      <c r="C75" s="918" t="s">
        <v>191</v>
      </c>
      <c r="D75" s="682" t="s">
        <v>192</v>
      </c>
      <c r="E75" s="156"/>
      <c r="F75" s="156"/>
      <c r="G75" s="157"/>
      <c r="H75" s="157"/>
      <c r="I75" s="632"/>
      <c r="J75" s="803"/>
    </row>
    <row r="76" spans="2:10" x14ac:dyDescent="0.2">
      <c r="B76" s="803"/>
      <c r="C76" s="919"/>
      <c r="D76" s="683" t="s">
        <v>193</v>
      </c>
      <c r="E76" s="158"/>
      <c r="F76" s="158"/>
      <c r="G76" s="157"/>
      <c r="H76" s="157"/>
      <c r="I76" s="632"/>
      <c r="J76" s="803"/>
    </row>
    <row r="77" spans="2:10" x14ac:dyDescent="0.2">
      <c r="B77" s="803"/>
      <c r="C77" s="920" t="s">
        <v>194</v>
      </c>
      <c r="D77" s="683" t="s">
        <v>195</v>
      </c>
      <c r="E77" s="156"/>
      <c r="F77" s="156"/>
      <c r="G77" s="157"/>
      <c r="H77" s="157"/>
      <c r="I77" s="632"/>
      <c r="J77" s="803"/>
    </row>
    <row r="78" spans="2:10" x14ac:dyDescent="0.2">
      <c r="B78" s="803"/>
      <c r="C78" s="918"/>
      <c r="D78" s="683" t="s">
        <v>196</v>
      </c>
      <c r="E78" s="158"/>
      <c r="F78" s="158"/>
      <c r="G78" s="157"/>
      <c r="H78" s="157"/>
      <c r="I78" s="632"/>
      <c r="J78" s="803"/>
    </row>
    <row r="79" spans="2:10" x14ac:dyDescent="0.2">
      <c r="B79" s="803"/>
      <c r="C79" s="918"/>
      <c r="D79" s="683" t="s">
        <v>197</v>
      </c>
      <c r="E79" s="156"/>
      <c r="F79" s="156"/>
      <c r="G79" s="157"/>
      <c r="H79" s="157"/>
      <c r="I79" s="632"/>
      <c r="J79" s="803"/>
    </row>
    <row r="80" spans="2:10" x14ac:dyDescent="0.2">
      <c r="B80" s="803"/>
      <c r="C80" s="919"/>
      <c r="D80" s="683" t="s">
        <v>198</v>
      </c>
      <c r="E80" s="158"/>
      <c r="F80" s="158"/>
      <c r="G80" s="157"/>
      <c r="H80" s="157"/>
      <c r="I80" s="632"/>
      <c r="J80" s="803"/>
    </row>
    <row r="81" spans="2:10" ht="22.5" customHeight="1" thickBot="1" x14ac:dyDescent="0.25">
      <c r="B81" s="803"/>
      <c r="C81" s="692" t="s">
        <v>199</v>
      </c>
      <c r="D81" s="693" t="s">
        <v>200</v>
      </c>
      <c r="E81" s="156"/>
      <c r="F81" s="156"/>
      <c r="G81" s="157"/>
      <c r="H81" s="157"/>
      <c r="I81" s="632"/>
      <c r="J81" s="803"/>
    </row>
    <row r="82" spans="2:10" ht="16.5" thickBot="1" x14ac:dyDescent="0.25">
      <c r="B82" s="803"/>
      <c r="C82" s="690"/>
      <c r="D82" s="691"/>
      <c r="E82" s="680"/>
      <c r="F82" s="680"/>
      <c r="G82" s="681"/>
      <c r="H82" s="681"/>
      <c r="I82" s="632"/>
      <c r="J82" s="803"/>
    </row>
    <row r="83" spans="2:10" x14ac:dyDescent="0.2">
      <c r="B83" s="803"/>
      <c r="C83" s="685" t="s">
        <v>201</v>
      </c>
      <c r="D83" s="686" t="s">
        <v>202</v>
      </c>
      <c r="E83" s="156"/>
      <c r="F83" s="156"/>
      <c r="G83" s="157"/>
      <c r="H83" s="632"/>
      <c r="I83" s="632"/>
      <c r="J83" s="803"/>
    </row>
    <row r="84" spans="2:10" x14ac:dyDescent="0.2">
      <c r="B84" s="803"/>
      <c r="C84" s="687" t="s">
        <v>203</v>
      </c>
      <c r="D84" s="683" t="s">
        <v>204</v>
      </c>
      <c r="E84" s="158"/>
      <c r="F84" s="158"/>
      <c r="G84" s="157"/>
      <c r="H84" s="632"/>
      <c r="I84" s="632"/>
      <c r="J84" s="803"/>
    </row>
    <row r="85" spans="2:10" x14ac:dyDescent="0.2">
      <c r="B85" s="803"/>
      <c r="C85" s="687" t="s">
        <v>205</v>
      </c>
      <c r="D85" s="684" t="s">
        <v>206</v>
      </c>
      <c r="E85" s="160"/>
      <c r="F85" s="160"/>
      <c r="G85" s="161"/>
      <c r="H85" s="632"/>
      <c r="I85" s="632"/>
      <c r="J85" s="803"/>
    </row>
    <row r="86" spans="2:10" x14ac:dyDescent="0.2">
      <c r="B86" s="803"/>
      <c r="C86" s="921" t="s">
        <v>207</v>
      </c>
      <c r="D86" s="688" t="s">
        <v>208</v>
      </c>
      <c r="E86" s="243"/>
      <c r="F86" s="244"/>
      <c r="G86" s="245"/>
      <c r="H86" s="632"/>
      <c r="I86" s="632"/>
      <c r="J86" s="803"/>
    </row>
    <row r="87" spans="2:10" x14ac:dyDescent="0.2">
      <c r="B87" s="803"/>
      <c r="C87" s="922"/>
      <c r="D87" s="688" t="s">
        <v>209</v>
      </c>
      <c r="E87" s="238"/>
      <c r="F87" s="162"/>
      <c r="G87" s="239"/>
      <c r="H87" s="632"/>
      <c r="I87" s="632"/>
      <c r="J87" s="803"/>
    </row>
    <row r="88" spans="2:10" x14ac:dyDescent="0.2">
      <c r="B88" s="803"/>
      <c r="C88" s="922"/>
      <c r="D88" s="688" t="s">
        <v>210</v>
      </c>
      <c r="E88" s="238"/>
      <c r="F88" s="162"/>
      <c r="G88" s="239"/>
      <c r="H88" s="632"/>
      <c r="I88" s="632"/>
      <c r="J88" s="803"/>
    </row>
    <row r="89" spans="2:10" x14ac:dyDescent="0.2">
      <c r="B89" s="803"/>
      <c r="C89" s="922"/>
      <c r="D89" s="688" t="s">
        <v>211</v>
      </c>
      <c r="E89" s="238"/>
      <c r="F89" s="162"/>
      <c r="G89" s="239"/>
      <c r="H89" s="632"/>
      <c r="I89" s="632"/>
      <c r="J89" s="803"/>
    </row>
    <row r="90" spans="2:10" ht="16.5" thickBot="1" x14ac:dyDescent="0.25">
      <c r="B90" s="803"/>
      <c r="C90" s="923"/>
      <c r="D90" s="689" t="s">
        <v>212</v>
      </c>
      <c r="E90" s="240"/>
      <c r="F90" s="241"/>
      <c r="G90" s="242"/>
      <c r="H90" s="632"/>
      <c r="I90" s="632"/>
      <c r="J90" s="803"/>
    </row>
    <row r="91" spans="2:10" ht="7.5" customHeight="1" x14ac:dyDescent="0.2">
      <c r="B91" s="803"/>
      <c r="C91" s="633"/>
      <c r="D91" s="632"/>
      <c r="E91" s="632"/>
      <c r="F91" s="632"/>
      <c r="G91" s="651">
        <f>SUM(G75:G90)</f>
        <v>0</v>
      </c>
      <c r="H91" s="632"/>
      <c r="I91" s="632"/>
      <c r="J91" s="803"/>
    </row>
    <row r="92" spans="2:10" ht="27.95" customHeight="1" x14ac:dyDescent="0.2">
      <c r="B92" s="803"/>
      <c r="C92" s="663" t="s">
        <v>213</v>
      </c>
      <c r="D92" s="655"/>
      <c r="E92" s="655"/>
      <c r="F92" s="655"/>
      <c r="G92" s="667"/>
      <c r="H92" s="655"/>
      <c r="I92" s="632"/>
      <c r="J92" s="803"/>
    </row>
    <row r="93" spans="2:10" ht="44.1" customHeight="1" x14ac:dyDescent="0.2">
      <c r="B93" s="803"/>
      <c r="C93" s="903" t="s">
        <v>214</v>
      </c>
      <c r="D93" s="903"/>
      <c r="E93" s="903"/>
      <c r="F93" s="903"/>
      <c r="G93" s="903"/>
      <c r="H93" s="903"/>
      <c r="I93" s="632"/>
      <c r="J93" s="803"/>
    </row>
    <row r="94" spans="2:10" ht="96" customHeight="1" x14ac:dyDescent="0.2">
      <c r="B94" s="803"/>
      <c r="C94" s="906"/>
      <c r="D94" s="907"/>
      <c r="E94" s="907"/>
      <c r="F94" s="907"/>
      <c r="G94" s="907"/>
      <c r="H94" s="907"/>
      <c r="I94" s="908"/>
      <c r="J94" s="803"/>
    </row>
    <row r="95" spans="2:10" x14ac:dyDescent="0.2">
      <c r="B95" s="803"/>
      <c r="C95" s="631"/>
      <c r="D95" s="631"/>
      <c r="E95" s="631"/>
      <c r="F95" s="631"/>
      <c r="G95" s="631"/>
      <c r="H95" s="631"/>
      <c r="I95" s="631"/>
      <c r="J95" s="803"/>
    </row>
    <row r="96" spans="2:10" ht="15.75" customHeight="1" x14ac:dyDescent="0.2">
      <c r="B96" s="803"/>
      <c r="C96" s="654" t="s">
        <v>215</v>
      </c>
      <c r="D96" s="655"/>
      <c r="E96" s="655"/>
      <c r="F96" s="655"/>
      <c r="G96" s="655"/>
      <c r="H96" s="655"/>
      <c r="I96" s="655"/>
      <c r="J96" s="803"/>
    </row>
    <row r="97" spans="2:10" ht="15.75" customHeight="1" x14ac:dyDescent="0.2">
      <c r="B97" s="803"/>
      <c r="C97" s="924" t="s">
        <v>216</v>
      </c>
      <c r="D97" s="924"/>
      <c r="E97" s="924"/>
      <c r="F97" s="924"/>
      <c r="G97" s="924"/>
      <c r="H97" s="924"/>
      <c r="I97" s="924"/>
      <c r="J97" s="803"/>
    </row>
    <row r="98" spans="2:10" ht="12.6" customHeight="1" x14ac:dyDescent="0.2">
      <c r="B98" s="803"/>
      <c r="C98" s="668"/>
      <c r="D98" s="669"/>
      <c r="E98" s="669"/>
      <c r="F98" s="669"/>
      <c r="G98" s="669"/>
      <c r="H98" s="669"/>
      <c r="I98" s="669"/>
      <c r="J98" s="803"/>
    </row>
    <row r="99" spans="2:10" ht="29.1" customHeight="1" x14ac:dyDescent="0.2">
      <c r="B99" s="803"/>
      <c r="C99" s="925" t="s">
        <v>217</v>
      </c>
      <c r="D99" s="925"/>
      <c r="E99" s="925"/>
      <c r="F99" s="925"/>
      <c r="G99" s="925"/>
      <c r="H99" s="925"/>
      <c r="I99" s="925"/>
      <c r="J99" s="803"/>
    </row>
    <row r="100" spans="2:10" x14ac:dyDescent="0.2">
      <c r="B100" s="803"/>
      <c r="C100" s="635"/>
      <c r="D100" s="639"/>
      <c r="E100" s="652"/>
      <c r="F100" s="163"/>
      <c r="G100" s="639"/>
      <c r="H100" s="914" t="str">
        <f ca="1">"© Salix "&amp;YEAR(NOW())</f>
        <v>© Salix 2024</v>
      </c>
      <c r="I100" s="914"/>
      <c r="J100" s="803"/>
    </row>
    <row r="101" spans="2:10" x14ac:dyDescent="0.2">
      <c r="B101" s="803"/>
      <c r="C101" s="694"/>
      <c r="D101" s="694"/>
      <c r="E101" s="694"/>
      <c r="F101" s="694"/>
      <c r="G101" s="694"/>
      <c r="H101" s="694"/>
      <c r="I101" s="694"/>
      <c r="J101" s="803"/>
    </row>
    <row r="102" spans="2:10" x14ac:dyDescent="0.2">
      <c r="B102" s="808"/>
      <c r="C102" s="653"/>
      <c r="D102" s="808"/>
      <c r="E102" s="808"/>
      <c r="F102" s="808"/>
      <c r="G102" s="808"/>
      <c r="H102" s="808"/>
      <c r="I102" s="808"/>
      <c r="J102" s="808"/>
    </row>
  </sheetData>
  <sheetProtection algorithmName="SHA-512" hashValue="uSix3VkMJvoAQLJF+b+xzOFLlJDk9jsUsU2hARF6rTisk3QUNbyT57OkWfcVdQcGoJko95s/BuPCpzvW9IdHwg==" saltValue="b0i6c9TbKTu5+1W15u6pJg==" spinCount="100000" sheet="1" objects="1" scenarios="1"/>
  <mergeCells count="59">
    <mergeCell ref="C3:G4"/>
    <mergeCell ref="C54:I54"/>
    <mergeCell ref="C33:I33"/>
    <mergeCell ref="C30:I30"/>
    <mergeCell ref="G22:H22"/>
    <mergeCell ref="C31:I32"/>
    <mergeCell ref="C51:I51"/>
    <mergeCell ref="C52:D52"/>
    <mergeCell ref="G16:H16"/>
    <mergeCell ref="G17:H17"/>
    <mergeCell ref="G24:H24"/>
    <mergeCell ref="G26:H26"/>
    <mergeCell ref="G36:H36"/>
    <mergeCell ref="G35:H35"/>
    <mergeCell ref="C50:I50"/>
    <mergeCell ref="C36:E36"/>
    <mergeCell ref="H100:I100"/>
    <mergeCell ref="C70:I70"/>
    <mergeCell ref="C71:I71"/>
    <mergeCell ref="C75:C76"/>
    <mergeCell ref="C77:C80"/>
    <mergeCell ref="C86:C90"/>
    <mergeCell ref="C97:I97"/>
    <mergeCell ref="C93:H93"/>
    <mergeCell ref="C94:I94"/>
    <mergeCell ref="C99:I99"/>
    <mergeCell ref="E68:I68"/>
    <mergeCell ref="C56:I56"/>
    <mergeCell ref="C57:I57"/>
    <mergeCell ref="C59:I59"/>
    <mergeCell ref="E60:I60"/>
    <mergeCell ref="E62:I62"/>
    <mergeCell ref="E63:I63"/>
    <mergeCell ref="E64:I64"/>
    <mergeCell ref="E65:I65"/>
    <mergeCell ref="E61:I61"/>
    <mergeCell ref="E67:I67"/>
    <mergeCell ref="E66:I66"/>
    <mergeCell ref="C53:I53"/>
    <mergeCell ref="D24:E24"/>
    <mergeCell ref="D25:E25"/>
    <mergeCell ref="C43:H44"/>
    <mergeCell ref="C45:I45"/>
    <mergeCell ref="C47:H47"/>
    <mergeCell ref="C48:I48"/>
    <mergeCell ref="G28:H28"/>
    <mergeCell ref="C37:I40"/>
    <mergeCell ref="C41:I41"/>
    <mergeCell ref="D23:E23"/>
    <mergeCell ref="C6:I6"/>
    <mergeCell ref="D9:I9"/>
    <mergeCell ref="D11:I11"/>
    <mergeCell ref="D18:E18"/>
    <mergeCell ref="D19:E19"/>
    <mergeCell ref="D20:E20"/>
    <mergeCell ref="G18:H18"/>
    <mergeCell ref="G20:H20"/>
    <mergeCell ref="D21:E21"/>
    <mergeCell ref="D22:E22"/>
  </mergeCells>
  <conditionalFormatting sqref="D61:D68">
    <cfRule type="containsText" dxfId="78" priority="1" operator="containsText" text="High">
      <formula>NOT(ISERROR(SEARCH("High",D61)))</formula>
    </cfRule>
    <cfRule type="containsText" dxfId="77" priority="2" operator="containsText" text="Minor">
      <formula>NOT(ISERROR(SEARCH("Minor",D61)))</formula>
    </cfRule>
    <cfRule type="containsText" dxfId="76" priority="3" operator="containsText" text="Moderate">
      <formula>NOT(ISERROR(SEARCH("Moderate",D61)))</formula>
    </cfRule>
    <cfRule type="containsText" dxfId="75" priority="4" operator="containsText" text="Critical">
      <formula>NOT(ISERROR(SEARCH("Critical",D61)))</formula>
    </cfRule>
  </conditionalFormatting>
  <dataValidations count="3">
    <dataValidation type="list" allowBlank="1" showInputMessage="1" showErrorMessage="1" sqref="D61:D68" xr:uid="{47B7C9C9-0FCA-4842-B71D-D6A75A0D2E07}">
      <formula1>"Minor,Moderate,High,Critical"</formula1>
    </dataValidation>
    <dataValidation allowBlank="1" showInputMessage="1" showErrorMessage="1" prompt="Please attach evidence and further breakdown of these costs." sqref="I18" xr:uid="{466D7E5E-989A-445B-AD45-A958420C6C3E}"/>
    <dataValidation type="list" allowBlank="1" showInputMessage="1" showErrorMessage="1" sqref="H75:H81" xr:uid="{E80FED71-3ECA-481F-B5A6-48CD01F22738}">
      <formula1>"Yes,No,N/A"</formula1>
    </dataValidation>
  </dataValidations>
  <pageMargins left="0.7" right="0.7" top="0.75" bottom="0.75" header="0.3" footer="0.3"/>
  <pageSetup paperSize="8" scale="75" fitToHeight="0" orientation="portrait" horizontalDpi="4294967294" r:id="rId1"/>
  <colBreaks count="1" manualBreakCount="1">
    <brk id="9" min="1" max="48" man="1"/>
  </colBreaks>
  <customProperties>
    <customPr name="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A227-7E06-4581-95A7-8DC5C9EB479A}">
  <sheetPr>
    <tabColor rgb="FF2DAE76"/>
  </sheetPr>
  <dimension ref="B2:AS96"/>
  <sheetViews>
    <sheetView topLeftCell="Q53" zoomScale="80" zoomScaleNormal="80" workbookViewId="0">
      <selection activeCell="AU109" sqref="AU109"/>
    </sheetView>
  </sheetViews>
  <sheetFormatPr defaultColWidth="9.140625" defaultRowHeight="14.25" x14ac:dyDescent="0.2"/>
  <cols>
    <col min="1" max="1" width="2.140625" style="725" customWidth="1"/>
    <col min="2" max="2" width="6.140625" style="725" customWidth="1"/>
    <col min="3" max="6" width="25.85546875" style="725" customWidth="1"/>
    <col min="7" max="7" width="28.140625" style="725" customWidth="1"/>
    <col min="8" max="8" width="14.85546875" style="725" hidden="1" customWidth="1"/>
    <col min="9" max="9" width="18.42578125" style="725" hidden="1" customWidth="1"/>
    <col min="10" max="10" width="14.85546875" style="725" hidden="1" customWidth="1"/>
    <col min="11" max="11" width="21.85546875" style="725" hidden="1" customWidth="1"/>
    <col min="12" max="12" width="30.85546875" style="725" customWidth="1"/>
    <col min="13" max="13" width="26.85546875" style="725" customWidth="1"/>
    <col min="14" max="14" width="31.85546875" style="725" customWidth="1"/>
    <col min="15" max="15" width="29" style="725" customWidth="1"/>
    <col min="16" max="16" width="29" style="725" hidden="1" customWidth="1"/>
    <col min="17" max="17" width="21.42578125" style="725" customWidth="1"/>
    <col min="18" max="18" width="26.85546875" style="725" customWidth="1"/>
    <col min="19" max="19" width="26.85546875" style="725" hidden="1" customWidth="1"/>
    <col min="20" max="20" width="21.42578125" style="725" customWidth="1"/>
    <col min="21" max="21" width="19.85546875" style="725" bestFit="1" customWidth="1"/>
    <col min="22" max="22" width="23.85546875" style="725" customWidth="1"/>
    <col min="23" max="23" width="29.140625" style="725" hidden="1" customWidth="1"/>
    <col min="24" max="24" width="20.140625" style="725" hidden="1" customWidth="1"/>
    <col min="25" max="25" width="14.140625" style="725" hidden="1" customWidth="1"/>
    <col min="26" max="27" width="16.42578125" style="725" hidden="1" customWidth="1"/>
    <col min="28" max="28" width="33.140625" style="725" customWidth="1"/>
    <col min="29" max="29" width="30.85546875" style="725" hidden="1" customWidth="1"/>
    <col min="30" max="30" width="12.140625" style="725" hidden="1" customWidth="1"/>
    <col min="31" max="31" width="3.42578125" style="725" customWidth="1"/>
    <col min="32" max="32" width="9.140625" style="725"/>
    <col min="33" max="39" width="9.140625" style="725" hidden="1" customWidth="1"/>
    <col min="40" max="40" width="54.42578125" style="725" hidden="1" customWidth="1"/>
    <col min="41" max="41" width="14.85546875" style="725" hidden="1" customWidth="1"/>
    <col min="42" max="42" width="15.7109375" style="725" hidden="1" customWidth="1"/>
    <col min="43" max="43" width="21" style="725" hidden="1" customWidth="1"/>
    <col min="44" max="44" width="17.140625" style="725" hidden="1" customWidth="1"/>
    <col min="45" max="45" width="20.140625" style="725" hidden="1" customWidth="1"/>
    <col min="46" max="16384" width="9.140625" style="725"/>
  </cols>
  <sheetData>
    <row r="2" spans="2:45" ht="6.75" customHeight="1" x14ac:dyDescent="0.2">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row>
    <row r="3" spans="2:45" s="726" customFormat="1" ht="34.5" customHeight="1" x14ac:dyDescent="0.2">
      <c r="B3" s="573"/>
      <c r="C3" s="926" t="s">
        <v>218</v>
      </c>
      <c r="D3" s="926"/>
      <c r="E3" s="926"/>
      <c r="F3" s="926"/>
      <c r="G3" s="926"/>
      <c r="H3" s="572"/>
      <c r="I3" s="572"/>
      <c r="J3" s="572"/>
      <c r="K3" s="572"/>
      <c r="L3" s="573"/>
      <c r="M3" s="573"/>
      <c r="N3" s="573"/>
      <c r="O3" s="573"/>
      <c r="P3" s="573"/>
      <c r="Q3" s="573"/>
      <c r="R3" s="573"/>
      <c r="S3" s="573"/>
      <c r="T3" s="573"/>
      <c r="U3" s="573"/>
      <c r="V3" s="573"/>
      <c r="W3" s="573"/>
      <c r="X3" s="573"/>
      <c r="Y3" s="573"/>
      <c r="Z3" s="573"/>
      <c r="AA3" s="573"/>
      <c r="AB3" s="573"/>
      <c r="AC3" s="573"/>
      <c r="AD3" s="573"/>
      <c r="AE3" s="573"/>
      <c r="AF3" s="573"/>
    </row>
    <row r="4" spans="2:45" ht="16.5" hidden="1" customHeight="1" x14ac:dyDescent="0.45">
      <c r="B4" s="575"/>
      <c r="C4" s="926"/>
      <c r="D4" s="926"/>
      <c r="E4" s="926"/>
      <c r="F4" s="926"/>
      <c r="G4" s="926"/>
      <c r="H4" s="574"/>
      <c r="I4" s="574"/>
      <c r="J4" s="574"/>
      <c r="K4" s="574"/>
      <c r="L4" s="574"/>
      <c r="M4" s="574"/>
      <c r="N4" s="574"/>
      <c r="O4" s="574"/>
      <c r="P4" s="574"/>
      <c r="Q4" s="574"/>
      <c r="R4" s="574"/>
      <c r="S4" s="574"/>
      <c r="T4" s="574"/>
      <c r="U4" s="574"/>
      <c r="V4" s="574"/>
      <c r="W4" s="574"/>
      <c r="X4" s="574"/>
      <c r="Y4" s="574"/>
      <c r="Z4" s="574"/>
      <c r="AA4" s="574"/>
      <c r="AB4" s="575"/>
      <c r="AC4" s="575"/>
      <c r="AD4" s="575"/>
      <c r="AE4" s="575"/>
      <c r="AF4" s="575"/>
    </row>
    <row r="5" spans="2:45" ht="7.5" customHeight="1" x14ac:dyDescent="0.45">
      <c r="B5" s="575"/>
      <c r="C5" s="627"/>
      <c r="D5" s="627"/>
      <c r="E5" s="627"/>
      <c r="F5" s="627"/>
      <c r="G5" s="627"/>
      <c r="H5" s="627"/>
      <c r="I5" s="627"/>
      <c r="J5" s="627"/>
      <c r="K5" s="627"/>
      <c r="L5" s="627"/>
      <c r="M5" s="627"/>
      <c r="N5" s="627"/>
      <c r="O5" s="627"/>
      <c r="P5" s="627"/>
      <c r="Q5" s="627"/>
      <c r="R5" s="627"/>
      <c r="S5" s="627"/>
      <c r="T5" s="627"/>
      <c r="U5" s="627"/>
      <c r="V5" s="627"/>
      <c r="W5" s="537"/>
      <c r="X5" s="537"/>
      <c r="Y5" s="537"/>
      <c r="Z5" s="574"/>
      <c r="AA5" s="574"/>
      <c r="AB5" s="575"/>
      <c r="AC5" s="575"/>
      <c r="AD5" s="575"/>
      <c r="AE5" s="575"/>
      <c r="AF5" s="575"/>
    </row>
    <row r="6" spans="2:45" ht="199.5" customHeight="1" x14ac:dyDescent="0.2">
      <c r="B6" s="575"/>
      <c r="C6" s="938" t="s">
        <v>219</v>
      </c>
      <c r="D6" s="938"/>
      <c r="E6" s="938"/>
      <c r="F6" s="938"/>
      <c r="G6" s="938"/>
      <c r="H6" s="938"/>
      <c r="I6" s="938"/>
      <c r="J6" s="938"/>
      <c r="K6" s="938"/>
      <c r="L6" s="938"/>
      <c r="M6" s="938"/>
      <c r="N6" s="938"/>
      <c r="O6" s="575"/>
      <c r="P6" s="575"/>
      <c r="Q6" s="575"/>
      <c r="R6" s="575"/>
      <c r="S6" s="575"/>
      <c r="T6" s="575"/>
      <c r="U6" s="575"/>
      <c r="V6" s="575"/>
      <c r="W6" s="575"/>
      <c r="X6" s="575"/>
      <c r="Y6" s="575"/>
      <c r="Z6" s="575"/>
      <c r="AA6" s="575"/>
      <c r="AB6" s="575"/>
      <c r="AC6" s="575"/>
      <c r="AD6" s="575"/>
      <c r="AE6" s="575"/>
      <c r="AF6" s="575"/>
    </row>
    <row r="7" spans="2:45" x14ac:dyDescent="0.2">
      <c r="B7" s="575"/>
      <c r="C7" s="938"/>
      <c r="D7" s="938"/>
      <c r="E7" s="938"/>
      <c r="F7" s="938"/>
      <c r="G7" s="938"/>
      <c r="H7" s="938"/>
      <c r="I7" s="938"/>
      <c r="J7" s="938"/>
      <c r="K7" s="938"/>
      <c r="L7" s="938"/>
      <c r="M7" s="938"/>
      <c r="N7" s="938"/>
      <c r="O7" s="575"/>
      <c r="P7" s="575"/>
      <c r="Q7" s="575"/>
      <c r="R7" s="575"/>
      <c r="S7" s="575"/>
      <c r="T7" s="575"/>
      <c r="U7" s="575"/>
      <c r="V7" s="575"/>
      <c r="W7" s="575"/>
      <c r="X7" s="575"/>
      <c r="Y7" s="575"/>
      <c r="Z7" s="575"/>
      <c r="AA7" s="575"/>
      <c r="AB7" s="575"/>
      <c r="AC7" s="575"/>
      <c r="AD7" s="575"/>
      <c r="AE7" s="575"/>
      <c r="AF7" s="575"/>
      <c r="AN7" s="725" t="s">
        <v>220</v>
      </c>
      <c r="AO7" s="773">
        <f ca="1">TODAY()</f>
        <v>45490</v>
      </c>
    </row>
    <row r="8" spans="2:45" ht="57" customHeight="1" x14ac:dyDescent="0.2">
      <c r="B8" s="575"/>
      <c r="C8" s="938"/>
      <c r="D8" s="938"/>
      <c r="E8" s="938"/>
      <c r="F8" s="938"/>
      <c r="G8" s="938"/>
      <c r="H8" s="938"/>
      <c r="I8" s="938"/>
      <c r="J8" s="938"/>
      <c r="K8" s="938"/>
      <c r="L8" s="938"/>
      <c r="M8" s="938"/>
      <c r="N8" s="938"/>
      <c r="O8" s="575"/>
      <c r="P8" s="575"/>
      <c r="Q8" s="575"/>
      <c r="R8" s="575"/>
      <c r="S8" s="575"/>
      <c r="T8" s="575"/>
      <c r="U8" s="575"/>
      <c r="V8" s="575"/>
      <c r="W8" s="575"/>
      <c r="X8" s="575"/>
      <c r="Y8" s="575"/>
      <c r="Z8" s="575"/>
      <c r="AA8" s="575"/>
      <c r="AB8" s="575"/>
      <c r="AC8" s="575"/>
      <c r="AD8" s="575"/>
      <c r="AE8" s="575"/>
      <c r="AF8" s="575"/>
      <c r="AN8" s="725" t="s">
        <v>221</v>
      </c>
      <c r="AO8" s="725">
        <f ca="1">YEAR(TODAY())</f>
        <v>2024</v>
      </c>
    </row>
    <row r="9" spans="2:45" ht="24" customHeight="1" x14ac:dyDescent="0.2">
      <c r="B9" s="575"/>
      <c r="C9" s="733" t="s">
        <v>222</v>
      </c>
      <c r="D9" s="731"/>
      <c r="E9" s="731"/>
      <c r="F9" s="731"/>
      <c r="G9" s="731"/>
      <c r="H9" s="731"/>
      <c r="I9" s="731"/>
      <c r="J9" s="731"/>
      <c r="K9" s="731"/>
      <c r="L9" s="731"/>
      <c r="M9" s="731"/>
      <c r="N9" s="731"/>
      <c r="O9" s="575"/>
      <c r="P9" s="575"/>
      <c r="Q9" s="575"/>
      <c r="R9" s="575"/>
      <c r="S9" s="575"/>
      <c r="T9" s="575"/>
      <c r="U9" s="575"/>
      <c r="V9" s="575"/>
      <c r="W9" s="575"/>
      <c r="X9" s="575"/>
      <c r="Y9" s="575"/>
      <c r="Z9" s="575"/>
      <c r="AA9" s="575"/>
      <c r="AB9" s="575"/>
      <c r="AC9" s="575"/>
      <c r="AD9" s="575"/>
      <c r="AE9" s="575"/>
      <c r="AF9" s="575"/>
    </row>
    <row r="10" spans="2:45" ht="18" customHeight="1" x14ac:dyDescent="0.2">
      <c r="B10" s="575"/>
      <c r="C10" s="577"/>
      <c r="D10" s="578"/>
      <c r="E10" s="578"/>
      <c r="F10" s="578"/>
      <c r="G10" s="578"/>
      <c r="H10" s="578"/>
      <c r="I10" s="578"/>
      <c r="J10" s="578"/>
      <c r="K10" s="578"/>
      <c r="L10" s="578"/>
      <c r="M10" s="578"/>
      <c r="N10" s="578"/>
      <c r="O10" s="575"/>
      <c r="P10" s="575"/>
      <c r="Q10" s="575"/>
      <c r="R10" s="575"/>
      <c r="S10" s="575"/>
      <c r="T10" s="575"/>
      <c r="U10" s="575"/>
      <c r="V10" s="575"/>
      <c r="W10" s="575"/>
      <c r="X10" s="575"/>
      <c r="Y10" s="575"/>
      <c r="Z10" s="575"/>
      <c r="AA10" s="575"/>
      <c r="AB10" s="575"/>
      <c r="AC10" s="575"/>
      <c r="AD10" s="575"/>
      <c r="AE10" s="575"/>
      <c r="AF10" s="575"/>
      <c r="AN10" s="593" t="s">
        <v>223</v>
      </c>
      <c r="AO10" s="769">
        <f>'Business Case'!D13</f>
        <v>0</v>
      </c>
    </row>
    <row r="11" spans="2:45" ht="18" customHeight="1" x14ac:dyDescent="0.2">
      <c r="B11" s="575"/>
      <c r="C11" s="780" t="s">
        <v>224</v>
      </c>
      <c r="D11" s="581"/>
      <c r="E11" s="581"/>
      <c r="F11" s="581"/>
      <c r="G11" s="588"/>
      <c r="H11" s="586"/>
      <c r="I11" s="586"/>
      <c r="J11" s="586"/>
      <c r="K11" s="588"/>
      <c r="L11" s="575"/>
      <c r="M11" s="589"/>
      <c r="N11" s="715" t="str">
        <f>'Project Compliance Tool'!$P$65</f>
        <v/>
      </c>
      <c r="O11" s="580"/>
      <c r="P11" s="580"/>
      <c r="Q11" s="575"/>
      <c r="R11" s="575"/>
      <c r="S11" s="575"/>
      <c r="T11" s="575"/>
      <c r="U11" s="575"/>
      <c r="V11" s="575"/>
      <c r="W11" s="575"/>
      <c r="X11" s="575"/>
      <c r="Y11" s="575"/>
      <c r="Z11" s="575"/>
      <c r="AA11" s="575"/>
      <c r="AB11" s="575"/>
      <c r="AC11" s="575"/>
      <c r="AD11" s="575"/>
      <c r="AE11" s="575"/>
      <c r="AF11" s="575"/>
      <c r="AN11" s="763" t="s">
        <v>225</v>
      </c>
      <c r="AO11" s="752">
        <f>IF(N18="","",(SUMIF(Table145242[Hide],"&gt;0",Table145242[Hide])))</f>
        <v>0</v>
      </c>
    </row>
    <row r="12" spans="2:45" ht="18" customHeight="1" x14ac:dyDescent="0.2">
      <c r="B12" s="575"/>
      <c r="C12" s="780" t="s">
        <v>226</v>
      </c>
      <c r="D12" s="780"/>
      <c r="E12" s="778"/>
      <c r="F12" s="778"/>
      <c r="G12" s="778"/>
      <c r="H12" s="778"/>
      <c r="I12" s="778"/>
      <c r="J12" s="778"/>
      <c r="K12" s="778"/>
      <c r="L12" s="575"/>
      <c r="M12" s="778"/>
      <c r="N12" s="809" t="e">
        <f>ROUNDUP('Project Compliance Tool'!Q65,0)</f>
        <v>#VALUE!</v>
      </c>
      <c r="O12" s="575"/>
      <c r="P12" s="575"/>
      <c r="Q12" s="575"/>
      <c r="R12" s="575"/>
      <c r="S12" s="575"/>
      <c r="T12" s="575"/>
      <c r="U12" s="575"/>
      <c r="V12" s="575"/>
      <c r="W12" s="575"/>
      <c r="X12" s="575"/>
      <c r="Y12" s="575"/>
      <c r="Z12" s="575"/>
      <c r="AA12" s="575"/>
      <c r="AB12" s="575"/>
      <c r="AC12" s="575"/>
      <c r="AD12" s="575"/>
      <c r="AE12" s="575"/>
      <c r="AF12" s="575"/>
      <c r="AN12" s="593"/>
      <c r="AO12" s="769"/>
    </row>
    <row r="13" spans="2:45" ht="18" customHeight="1" x14ac:dyDescent="0.2">
      <c r="B13" s="575"/>
      <c r="C13" s="755"/>
      <c r="D13" s="578"/>
      <c r="E13" s="578"/>
      <c r="F13" s="578"/>
      <c r="G13" s="578"/>
      <c r="H13" s="578"/>
      <c r="I13" s="578"/>
      <c r="J13" s="578"/>
      <c r="K13" s="578"/>
      <c r="L13" s="575"/>
      <c r="M13" s="578"/>
      <c r="N13" s="578"/>
      <c r="O13" s="575"/>
      <c r="P13" s="575"/>
      <c r="Q13" s="575"/>
      <c r="R13" s="575"/>
      <c r="S13" s="575"/>
      <c r="T13" s="575"/>
      <c r="U13" s="575"/>
      <c r="V13" s="575"/>
      <c r="W13" s="575"/>
      <c r="X13" s="575"/>
      <c r="Y13" s="575"/>
      <c r="Z13" s="575"/>
      <c r="AA13" s="575"/>
      <c r="AB13" s="575"/>
      <c r="AC13" s="575"/>
      <c r="AD13" s="575"/>
      <c r="AE13" s="575"/>
      <c r="AF13" s="575"/>
      <c r="AN13" s="759" t="s">
        <v>227</v>
      </c>
      <c r="AO13" s="751">
        <v>2024</v>
      </c>
      <c r="AP13" s="777"/>
      <c r="AQ13" s="777"/>
      <c r="AR13" s="777"/>
      <c r="AS13" s="777"/>
    </row>
    <row r="14" spans="2:45" ht="18" customHeight="1" x14ac:dyDescent="0.2">
      <c r="B14" s="575"/>
      <c r="C14" s="624"/>
      <c r="D14" s="624"/>
      <c r="E14" s="624"/>
      <c r="F14" s="624"/>
      <c r="G14" s="624"/>
      <c r="H14" s="578"/>
      <c r="I14" s="578"/>
      <c r="J14" s="578"/>
      <c r="K14" s="578"/>
      <c r="L14" s="575"/>
      <c r="M14" s="578"/>
      <c r="N14" s="578"/>
      <c r="O14" s="575"/>
      <c r="P14" s="575"/>
      <c r="Q14" s="575"/>
      <c r="R14" s="575"/>
      <c r="S14" s="575"/>
      <c r="T14" s="575"/>
      <c r="U14" s="575"/>
      <c r="V14" s="575"/>
      <c r="W14" s="575"/>
      <c r="X14" s="575"/>
      <c r="Y14" s="575"/>
      <c r="Z14" s="575"/>
      <c r="AA14" s="575"/>
      <c r="AB14" s="575"/>
      <c r="AC14" s="575"/>
      <c r="AD14" s="575"/>
      <c r="AE14" s="575"/>
      <c r="AF14" s="575"/>
      <c r="AN14" s="760" t="s">
        <v>228</v>
      </c>
      <c r="AO14" s="756" t="str">
        <f>IF(N18="","",(IF(OR(AO28=3,AO28=4,AO28=5,AO28=6,AO28=7,AO28=8,AO28=9,AO28=10,AO28=11,AO28=12),AO32&amp;AO33&amp;AO35,AO32&amp;AO33&amp;AN27)))</f>
        <v>28/02/1900</v>
      </c>
      <c r="AP14" s="760" t="s">
        <v>229</v>
      </c>
      <c r="AQ14" s="776">
        <f>EDATE(AO14,12)</f>
        <v>425</v>
      </c>
      <c r="AR14" s="760" t="s">
        <v>230</v>
      </c>
      <c r="AS14" s="776">
        <f>EDATE(AQ14,12)</f>
        <v>790</v>
      </c>
    </row>
    <row r="15" spans="2:45" ht="18" customHeight="1" x14ac:dyDescent="0.2">
      <c r="B15" s="575"/>
      <c r="C15" s="780" t="s">
        <v>231</v>
      </c>
      <c r="D15" s="780"/>
      <c r="E15" s="780"/>
      <c r="F15" s="780"/>
      <c r="G15" s="625"/>
      <c r="H15" s="579"/>
      <c r="I15" s="579"/>
      <c r="J15" s="579"/>
      <c r="K15" s="538"/>
      <c r="L15" s="575"/>
      <c r="M15" s="575"/>
      <c r="N15" s="787"/>
      <c r="O15" s="785" t="str">
        <f>IF('Business Case'!D13="","Please input the submission date into the 'business case' tab","")</f>
        <v>Please input the submission date into the 'business case' tab</v>
      </c>
      <c r="P15" s="580"/>
      <c r="Q15" s="575"/>
      <c r="R15" s="575"/>
      <c r="S15" s="575"/>
      <c r="T15" s="575"/>
      <c r="U15" s="575"/>
      <c r="V15" s="575"/>
      <c r="W15" s="575"/>
      <c r="X15" s="575"/>
      <c r="Y15" s="575"/>
      <c r="Z15" s="575"/>
      <c r="AA15" s="575"/>
      <c r="AB15" s="575"/>
      <c r="AC15" s="575"/>
      <c r="AD15" s="575"/>
      <c r="AE15" s="575"/>
      <c r="AF15" s="575"/>
      <c r="AN15" s="760" t="s">
        <v>232</v>
      </c>
      <c r="AO15" s="756" t="str">
        <f>TEXT(D51,"DD/MM/YYYY")</f>
        <v>11/02/1900</v>
      </c>
      <c r="AP15" s="760" t="s">
        <v>233</v>
      </c>
      <c r="AQ15" s="776" t="str">
        <f ca="1">D52</f>
        <v>N/A</v>
      </c>
      <c r="AR15" s="760" t="s">
        <v>234</v>
      </c>
      <c r="AS15" s="776" t="str">
        <f ca="1">D53</f>
        <v>N/A</v>
      </c>
    </row>
    <row r="16" spans="2:45" ht="18" customHeight="1" x14ac:dyDescent="0.2">
      <c r="B16" s="575"/>
      <c r="C16" s="939" t="s">
        <v>235</v>
      </c>
      <c r="D16" s="939"/>
      <c r="E16" s="939"/>
      <c r="F16" s="939"/>
      <c r="G16" s="939"/>
      <c r="H16" s="939"/>
      <c r="I16" s="939"/>
      <c r="J16" s="939"/>
      <c r="K16" s="939"/>
      <c r="L16" s="939"/>
      <c r="M16" s="939"/>
      <c r="N16" s="539"/>
      <c r="O16" s="580"/>
      <c r="P16" s="580"/>
      <c r="Q16" s="575"/>
      <c r="R16" s="575"/>
      <c r="S16" s="575"/>
      <c r="T16" s="575"/>
      <c r="U16" s="575"/>
      <c r="V16" s="575"/>
      <c r="W16" s="575"/>
      <c r="X16" s="575"/>
      <c r="Y16" s="575"/>
      <c r="Z16" s="575"/>
      <c r="AA16" s="575"/>
      <c r="AB16" s="575"/>
      <c r="AC16" s="575"/>
      <c r="AD16" s="575"/>
      <c r="AE16" s="575"/>
      <c r="AF16" s="575"/>
      <c r="AN16" s="760" t="s">
        <v>236</v>
      </c>
      <c r="AO16" s="751">
        <f>IF(N18="","",(IF(OR(AO28=3,AO28=4,AO28=5,AO28=6,AO28=7,AO28=8,AO28=9,AO28=10,AO28=11,AO28=12),AN27,SUM(AN27-1))))</f>
        <v>1899</v>
      </c>
      <c r="AP16" s="760" t="s">
        <v>237</v>
      </c>
      <c r="AQ16" s="751" t="e">
        <f ca="1">12-AQ17</f>
        <v>#VALUE!</v>
      </c>
      <c r="AR16" s="760" t="s">
        <v>237</v>
      </c>
      <c r="AS16" s="751" t="e">
        <f ca="1">12-AS17</f>
        <v>#VALUE!</v>
      </c>
    </row>
    <row r="17" spans="2:45" ht="18" customHeight="1" x14ac:dyDescent="0.2">
      <c r="B17" s="575"/>
      <c r="C17" s="939"/>
      <c r="D17" s="939"/>
      <c r="E17" s="939"/>
      <c r="F17" s="939"/>
      <c r="G17" s="939"/>
      <c r="H17" s="939"/>
      <c r="I17" s="939"/>
      <c r="J17" s="939"/>
      <c r="K17" s="939"/>
      <c r="L17" s="939"/>
      <c r="M17" s="939"/>
      <c r="N17" s="540"/>
      <c r="O17" s="575"/>
      <c r="P17" s="575"/>
      <c r="Q17" s="575"/>
      <c r="R17" s="575"/>
      <c r="S17" s="575"/>
      <c r="T17" s="575"/>
      <c r="U17" s="575"/>
      <c r="V17" s="575"/>
      <c r="W17" s="575"/>
      <c r="X17" s="575"/>
      <c r="Y17" s="575"/>
      <c r="Z17" s="575"/>
      <c r="AA17" s="575"/>
      <c r="AB17" s="575"/>
      <c r="AC17" s="575"/>
      <c r="AD17" s="575"/>
      <c r="AE17" s="575"/>
      <c r="AF17" s="575"/>
      <c r="AN17" s="610"/>
      <c r="AO17" s="753"/>
      <c r="AP17" s="760" t="s">
        <v>238</v>
      </c>
      <c r="AQ17" s="751" t="e">
        <f ca="1">DATEDIF(AQ15,AQ14,"m")</f>
        <v>#VALUE!</v>
      </c>
      <c r="AR17" s="760" t="s">
        <v>238</v>
      </c>
      <c r="AS17" s="751" t="e">
        <f ca="1">DATEDIF(AS15,AS14,"m")</f>
        <v>#VALUE!</v>
      </c>
    </row>
    <row r="18" spans="2:45" ht="18" customHeight="1" x14ac:dyDescent="0.2">
      <c r="B18" s="575"/>
      <c r="C18" s="780" t="s">
        <v>239</v>
      </c>
      <c r="D18" s="780"/>
      <c r="E18" s="780"/>
      <c r="F18" s="780"/>
      <c r="G18" s="780"/>
      <c r="H18" s="579"/>
      <c r="I18" s="579"/>
      <c r="J18" s="579"/>
      <c r="K18" s="584"/>
      <c r="L18" s="575"/>
      <c r="M18" s="585"/>
      <c r="N18" s="715" t="str">
        <f>IFERROR(IF(N15=1,D49,(-PMT(D50,N15,D49,0,0))),"Input Loan Payback Length in 1a.")</f>
        <v>Input Loan Payback Length in 1a.</v>
      </c>
      <c r="O18" s="580"/>
      <c r="P18" s="580"/>
      <c r="Q18" s="575"/>
      <c r="R18" s="575"/>
      <c r="S18" s="575"/>
      <c r="T18" s="575"/>
      <c r="U18" s="575"/>
      <c r="V18" s="575"/>
      <c r="W18" s="575"/>
      <c r="X18" s="575"/>
      <c r="Y18" s="575"/>
      <c r="Z18" s="575"/>
      <c r="AA18" s="575"/>
      <c r="AB18" s="575"/>
      <c r="AC18" s="575"/>
      <c r="AD18" s="575"/>
      <c r="AE18" s="575"/>
      <c r="AF18" s="575"/>
      <c r="AN18" s="761" t="s">
        <v>240</v>
      </c>
      <c r="AO18" s="752" t="e">
        <f>IF(N18="","",((SUM(D49/12)*G50)*D50))</f>
        <v>#VALUE!</v>
      </c>
      <c r="AP18" s="725" t="s">
        <v>241</v>
      </c>
      <c r="AQ18" s="777" t="e">
        <f ca="1">(($N$31/12)*AQ16)*$D$50</f>
        <v>#VALUE!</v>
      </c>
      <c r="AR18" s="773" t="s">
        <v>241</v>
      </c>
      <c r="AS18" s="777" t="e">
        <f ca="1">((N31+N32)/12)*AS16*$D$50</f>
        <v>#VALUE!</v>
      </c>
    </row>
    <row r="19" spans="2:45" ht="18" customHeight="1" x14ac:dyDescent="0.2">
      <c r="B19" s="575"/>
      <c r="C19" s="781" t="s">
        <v>242</v>
      </c>
      <c r="D19" s="781"/>
      <c r="E19" s="781"/>
      <c r="F19" s="781"/>
      <c r="G19" s="780"/>
      <c r="H19" s="579"/>
      <c r="I19" s="579"/>
      <c r="J19" s="579"/>
      <c r="K19" s="584"/>
      <c r="L19" s="575"/>
      <c r="M19" s="585"/>
      <c r="N19" s="586"/>
      <c r="O19" s="580"/>
      <c r="P19" s="580"/>
      <c r="Q19" s="575"/>
      <c r="R19" s="575"/>
      <c r="S19" s="575"/>
      <c r="T19" s="575"/>
      <c r="U19" s="575"/>
      <c r="V19" s="575"/>
      <c r="W19" s="575"/>
      <c r="X19" s="575"/>
      <c r="Y19" s="575"/>
      <c r="Z19" s="575"/>
      <c r="AA19" s="575"/>
      <c r="AB19" s="575"/>
      <c r="AC19" s="575"/>
      <c r="AD19" s="575"/>
      <c r="AE19" s="575"/>
      <c r="AF19" s="575"/>
      <c r="AN19" s="761" t="s">
        <v>243</v>
      </c>
      <c r="AO19" s="752" t="e">
        <f>IF(N18="","",(SUM(AO20-AO18)))</f>
        <v>#VALUE!</v>
      </c>
      <c r="AP19" s="725" t="s">
        <v>244</v>
      </c>
      <c r="AQ19" s="777" t="e">
        <f ca="1">(($N$31+$N$32)/12)*AQ17*$D$50</f>
        <v>#VALUE!</v>
      </c>
      <c r="AR19" s="725" t="s">
        <v>244</v>
      </c>
      <c r="AS19" s="777" t="e">
        <f ca="1">((N31+N32+N33)/12)*AS17*$D$50</f>
        <v>#VALUE!</v>
      </c>
    </row>
    <row r="20" spans="2:45" ht="18" customHeight="1" x14ac:dyDescent="0.25">
      <c r="B20" s="575"/>
      <c r="C20" s="581"/>
      <c r="D20" s="581"/>
      <c r="E20" s="581"/>
      <c r="F20" s="581"/>
      <c r="G20" s="582"/>
      <c r="H20" s="586"/>
      <c r="I20" s="586"/>
      <c r="J20" s="586"/>
      <c r="K20" s="587"/>
      <c r="L20" s="575"/>
      <c r="M20" s="540"/>
      <c r="N20" s="586"/>
      <c r="O20" s="580"/>
      <c r="P20" s="580"/>
      <c r="Q20" s="575"/>
      <c r="R20" s="575"/>
      <c r="S20" s="575"/>
      <c r="T20" s="575"/>
      <c r="U20" s="575"/>
      <c r="V20" s="575"/>
      <c r="W20" s="575"/>
      <c r="X20" s="575"/>
      <c r="Y20" s="575"/>
      <c r="Z20" s="575"/>
      <c r="AA20" s="575"/>
      <c r="AB20" s="575"/>
      <c r="AC20" s="575"/>
      <c r="AD20" s="575"/>
      <c r="AE20" s="575"/>
      <c r="AF20" s="575"/>
      <c r="AN20" s="762" t="s">
        <v>245</v>
      </c>
      <c r="AO20" s="757" t="e">
        <f>IF(N18="","",(SUM(AC70:AC93)))</f>
        <v>#VALUE!</v>
      </c>
      <c r="AP20" s="725" t="s">
        <v>246</v>
      </c>
      <c r="AQ20" s="777" t="e">
        <f ca="1">SUM(AQ18:AQ19)</f>
        <v>#VALUE!</v>
      </c>
      <c r="AR20" s="725" t="s">
        <v>246</v>
      </c>
      <c r="AS20" s="777" t="e">
        <f ca="1">SUM(AS18:AS19)</f>
        <v>#VALUE!</v>
      </c>
    </row>
    <row r="21" spans="2:45" ht="18" customHeight="1" x14ac:dyDescent="0.2">
      <c r="B21" s="724"/>
      <c r="C21" s="581"/>
      <c r="D21" s="581"/>
      <c r="E21" s="581"/>
      <c r="F21" s="581"/>
      <c r="G21" s="581"/>
      <c r="H21" s="586"/>
      <c r="I21" s="586"/>
      <c r="J21" s="586"/>
      <c r="K21" s="587"/>
      <c r="L21" s="575"/>
      <c r="M21" s="779"/>
      <c r="N21" s="580"/>
      <c r="O21" s="580"/>
      <c r="P21" s="580"/>
      <c r="Q21" s="575"/>
      <c r="R21" s="575"/>
      <c r="S21" s="575"/>
      <c r="T21" s="575"/>
      <c r="U21" s="575"/>
      <c r="V21" s="575"/>
      <c r="W21" s="575"/>
      <c r="X21" s="575"/>
      <c r="Y21" s="575"/>
      <c r="Z21" s="575"/>
      <c r="AA21" s="575"/>
      <c r="AB21" s="575"/>
      <c r="AC21" s="575"/>
      <c r="AD21" s="575"/>
      <c r="AE21" s="575"/>
      <c r="AF21" s="575"/>
      <c r="AN21" s="764" t="s">
        <v>247</v>
      </c>
      <c r="AO21" s="758">
        <f>IF(N18="","",(SUM(M60-AO11)))</f>
        <v>0</v>
      </c>
    </row>
    <row r="22" spans="2:45" ht="18" customHeight="1" x14ac:dyDescent="0.2">
      <c r="B22" s="724"/>
      <c r="C22" s="780" t="s">
        <v>248</v>
      </c>
      <c r="D22" s="780"/>
      <c r="E22" s="780"/>
      <c r="F22" s="780"/>
      <c r="G22" s="780"/>
      <c r="H22" s="579"/>
      <c r="I22" s="579"/>
      <c r="J22" s="579"/>
      <c r="K22" s="579"/>
      <c r="L22" s="575"/>
      <c r="M22" s="543"/>
      <c r="N22" s="542"/>
      <c r="O22" s="580"/>
      <c r="P22" s="580"/>
      <c r="Q22" s="575"/>
      <c r="R22" s="575"/>
      <c r="S22" s="575"/>
      <c r="T22" s="575"/>
      <c r="U22" s="575"/>
      <c r="V22" s="575"/>
      <c r="W22" s="575"/>
      <c r="X22" s="575"/>
      <c r="Y22" s="575"/>
      <c r="Z22" s="575"/>
      <c r="AA22" s="575"/>
      <c r="AB22" s="575"/>
      <c r="AC22" s="575"/>
      <c r="AD22" s="575"/>
      <c r="AE22" s="575"/>
      <c r="AF22" s="575"/>
      <c r="AN22" s="724" t="s">
        <v>249</v>
      </c>
      <c r="AO22" s="745" t="str">
        <f>IF(MONTH(D54)&lt;4,YEAR(D54)-1 &amp; "-" &amp; RIGHT(YEAR(D54),2),YEAR(D54) &amp; "-" &amp; RIGHT(YEAR(D54)+1,2))</f>
        <v>1899-00</v>
      </c>
    </row>
    <row r="23" spans="2:45" ht="18" customHeight="1" x14ac:dyDescent="0.2">
      <c r="B23" s="724"/>
      <c r="C23" s="951" t="s">
        <v>250</v>
      </c>
      <c r="D23" s="951"/>
      <c r="E23" s="951"/>
      <c r="F23" s="951"/>
      <c r="G23" s="626"/>
      <c r="H23" s="579"/>
      <c r="I23" s="579"/>
      <c r="J23" s="579"/>
      <c r="K23" s="579"/>
      <c r="L23" s="575"/>
      <c r="M23" s="541"/>
      <c r="N23" s="940" t="str">
        <f>IF(N15="","Please Input Loan Payback Length in 1a.",IF(N22="","Please confirm whether you anticipate to make Early Loan Repayments in 1b.",IF(N22="Yes","Please enter Early Repayments in Section 3.","Please see the indicative Loan Amortisation schedule in Section 3 below for your information.")))</f>
        <v>Please Input Loan Payback Length in 1a.</v>
      </c>
      <c r="O23" s="580"/>
      <c r="P23" s="580"/>
      <c r="Q23" s="575"/>
      <c r="R23" s="575"/>
      <c r="S23" s="575"/>
      <c r="T23" s="575"/>
      <c r="U23" s="575"/>
      <c r="V23" s="575"/>
      <c r="W23" s="575"/>
      <c r="X23" s="575"/>
      <c r="Y23" s="575"/>
      <c r="Z23" s="575"/>
      <c r="AA23" s="575"/>
      <c r="AB23" s="575"/>
      <c r="AC23" s="575"/>
      <c r="AD23" s="575"/>
      <c r="AE23" s="575"/>
      <c r="AF23" s="575"/>
      <c r="AN23" s="724" t="s">
        <v>251</v>
      </c>
      <c r="AO23" s="744" t="str">
        <f>IF(AO22="2024-25","10",IF(AO22="2025-26","9",IF(AO22="2026-27","8",IF(AO22="2027-28","7","Input Project Complete Date"))))</f>
        <v>Input Project Complete Date</v>
      </c>
    </row>
    <row r="24" spans="2:45" ht="18" customHeight="1" x14ac:dyDescent="0.2">
      <c r="B24" s="724"/>
      <c r="C24" s="951"/>
      <c r="D24" s="951"/>
      <c r="E24" s="951"/>
      <c r="F24" s="951"/>
      <c r="G24" s="581"/>
      <c r="H24" s="586"/>
      <c r="I24" s="586"/>
      <c r="J24" s="586"/>
      <c r="K24" s="586"/>
      <c r="L24" s="575"/>
      <c r="M24" s="541"/>
      <c r="N24" s="941"/>
      <c r="O24" s="580"/>
      <c r="P24" s="580"/>
      <c r="Q24" s="575"/>
      <c r="R24" s="575"/>
      <c r="S24" s="575"/>
      <c r="T24" s="575"/>
      <c r="U24" s="575"/>
      <c r="V24" s="575"/>
      <c r="W24" s="575"/>
      <c r="X24" s="575"/>
      <c r="Y24" s="575"/>
      <c r="Z24" s="575"/>
      <c r="AA24" s="575"/>
      <c r="AB24" s="575"/>
      <c r="AC24" s="575"/>
      <c r="AD24" s="575"/>
      <c r="AE24" s="575"/>
      <c r="AF24" s="575"/>
      <c r="AN24" s="746" t="s">
        <v>251</v>
      </c>
      <c r="AO24" s="750" t="e">
        <f>VALUE(AO23)</f>
        <v>#VALUE!</v>
      </c>
    </row>
    <row r="25" spans="2:45" ht="18" customHeight="1" x14ac:dyDescent="0.2">
      <c r="B25" s="724"/>
      <c r="C25" s="581"/>
      <c r="D25" s="581"/>
      <c r="E25" s="581"/>
      <c r="F25" s="581"/>
      <c r="G25" s="581"/>
      <c r="H25" s="586"/>
      <c r="I25" s="586"/>
      <c r="J25" s="586"/>
      <c r="K25" s="586"/>
      <c r="L25" s="575"/>
      <c r="M25" s="541"/>
      <c r="N25" s="941"/>
      <c r="O25" s="580"/>
      <c r="P25" s="580"/>
      <c r="Q25" s="575"/>
      <c r="R25" s="575"/>
      <c r="S25" s="575"/>
      <c r="T25" s="575"/>
      <c r="U25" s="575"/>
      <c r="V25" s="575"/>
      <c r="W25" s="575"/>
      <c r="X25" s="575"/>
      <c r="Y25" s="575"/>
      <c r="Z25" s="575"/>
      <c r="AA25" s="575"/>
      <c r="AB25" s="575"/>
      <c r="AC25" s="575"/>
      <c r="AD25" s="575"/>
      <c r="AE25" s="575"/>
      <c r="AF25" s="575"/>
      <c r="AN25" s="746" t="s">
        <v>252</v>
      </c>
      <c r="AO25" s="750">
        <f>YEAR(D54)</f>
        <v>1900</v>
      </c>
    </row>
    <row r="26" spans="2:45" ht="18" customHeight="1" x14ac:dyDescent="0.2">
      <c r="B26" s="724"/>
      <c r="C26" s="581"/>
      <c r="D26" s="581"/>
      <c r="E26" s="581"/>
      <c r="F26" s="581"/>
      <c r="G26" s="581"/>
      <c r="H26" s="586"/>
      <c r="I26" s="586"/>
      <c r="J26" s="586"/>
      <c r="K26" s="586"/>
      <c r="L26" s="575"/>
      <c r="M26" s="541"/>
      <c r="N26" s="942"/>
      <c r="O26" s="580"/>
      <c r="P26" s="580"/>
      <c r="Q26" s="575"/>
      <c r="R26" s="575"/>
      <c r="S26" s="575"/>
      <c r="T26" s="575"/>
      <c r="U26" s="575"/>
      <c r="V26" s="575"/>
      <c r="W26" s="575"/>
      <c r="X26" s="575"/>
      <c r="Y26" s="575"/>
      <c r="Z26" s="575"/>
      <c r="AA26" s="575"/>
      <c r="AB26" s="575"/>
      <c r="AC26" s="575"/>
      <c r="AD26" s="575"/>
      <c r="AE26" s="575"/>
      <c r="AF26" s="575"/>
      <c r="AN26" s="747" t="s">
        <v>253</v>
      </c>
      <c r="AO26" s="750" t="str">
        <f>TRIM(AO25)</f>
        <v>1900</v>
      </c>
    </row>
    <row r="27" spans="2:45" ht="18" customHeight="1" x14ac:dyDescent="0.2">
      <c r="B27" s="724"/>
      <c r="C27" s="581"/>
      <c r="D27" s="581"/>
      <c r="E27" s="581"/>
      <c r="F27" s="581"/>
      <c r="G27" s="581"/>
      <c r="H27" s="586"/>
      <c r="I27" s="586"/>
      <c r="J27" s="586"/>
      <c r="K27" s="586"/>
      <c r="L27" s="575"/>
      <c r="M27" s="541"/>
      <c r="N27" s="771"/>
      <c r="O27" s="580"/>
      <c r="P27" s="580"/>
      <c r="Q27" s="575"/>
      <c r="R27" s="575"/>
      <c r="S27" s="575"/>
      <c r="T27" s="575"/>
      <c r="U27" s="575"/>
      <c r="V27" s="575"/>
      <c r="W27" s="575"/>
      <c r="X27" s="575"/>
      <c r="Y27" s="575"/>
      <c r="Z27" s="575"/>
      <c r="AA27" s="575"/>
      <c r="AB27" s="575"/>
      <c r="AC27" s="575"/>
      <c r="AD27" s="575"/>
      <c r="AE27" s="575"/>
      <c r="AF27" s="575"/>
      <c r="AN27" s="748" t="str">
        <f>TRIM(AO27)</f>
        <v>1900</v>
      </c>
      <c r="AO27" s="750" t="str">
        <f>RIGHT(AO15,4)</f>
        <v>1900</v>
      </c>
    </row>
    <row r="28" spans="2:45" ht="18" customHeight="1" x14ac:dyDescent="0.2">
      <c r="B28" s="724"/>
      <c r="C28" s="943" t="s">
        <v>254</v>
      </c>
      <c r="D28" s="943"/>
      <c r="E28" s="943"/>
      <c r="F28" s="943"/>
      <c r="G28" s="626"/>
      <c r="H28" s="586"/>
      <c r="I28" s="586"/>
      <c r="J28" s="586"/>
      <c r="K28" s="586"/>
      <c r="L28" s="575"/>
      <c r="M28" s="541"/>
      <c r="N28" s="542"/>
      <c r="O28" s="580"/>
      <c r="P28" s="580"/>
      <c r="Q28" s="575"/>
      <c r="R28" s="575"/>
      <c r="S28" s="575"/>
      <c r="T28" s="575"/>
      <c r="U28" s="575"/>
      <c r="V28" s="575"/>
      <c r="W28" s="575"/>
      <c r="X28" s="575"/>
      <c r="Y28" s="575"/>
      <c r="Z28" s="575"/>
      <c r="AA28" s="575"/>
      <c r="AB28" s="575"/>
      <c r="AC28" s="575"/>
      <c r="AD28" s="575"/>
      <c r="AE28" s="575"/>
      <c r="AF28" s="575"/>
      <c r="AN28" s="747" t="s">
        <v>255</v>
      </c>
      <c r="AO28" s="750">
        <f>MONTH(D51)</f>
        <v>2</v>
      </c>
    </row>
    <row r="29" spans="2:45" ht="18" x14ac:dyDescent="0.2">
      <c r="B29" s="724"/>
      <c r="C29" s="943" t="s">
        <v>256</v>
      </c>
      <c r="D29" s="943"/>
      <c r="E29" s="943"/>
      <c r="F29" s="943"/>
      <c r="G29" s="943"/>
      <c r="H29" s="586"/>
      <c r="I29" s="586"/>
      <c r="J29" s="586"/>
      <c r="K29" s="586"/>
      <c r="L29" s="575"/>
      <c r="M29" s="541"/>
      <c r="N29" s="771"/>
      <c r="O29" s="580"/>
      <c r="P29" s="580"/>
      <c r="Q29" s="575"/>
      <c r="R29" s="575"/>
      <c r="S29" s="575"/>
      <c r="T29" s="575"/>
      <c r="U29" s="575"/>
      <c r="V29" s="575"/>
      <c r="W29" s="575"/>
      <c r="X29" s="575"/>
      <c r="Y29" s="575"/>
      <c r="Z29" s="575"/>
      <c r="AA29" s="575"/>
      <c r="AB29" s="575"/>
      <c r="AC29" s="575"/>
      <c r="AD29" s="575"/>
      <c r="AE29" s="575"/>
      <c r="AF29" s="575"/>
      <c r="AN29" s="747" t="s">
        <v>257</v>
      </c>
      <c r="AO29" s="750" t="str">
        <f>IFERROR(IF(OR(N66=11,N66=12),AO26+1,AO26),"")</f>
        <v>1900</v>
      </c>
    </row>
    <row r="30" spans="2:45" ht="24.95" customHeight="1" x14ac:dyDescent="0.2">
      <c r="B30" s="724"/>
      <c r="C30" s="581"/>
      <c r="D30" s="581"/>
      <c r="E30" s="586"/>
      <c r="F30" s="575"/>
      <c r="G30" s="575"/>
      <c r="H30" s="586"/>
      <c r="I30" s="575"/>
      <c r="J30" s="575"/>
      <c r="K30" s="575"/>
      <c r="L30" s="783" t="s">
        <v>258</v>
      </c>
      <c r="M30" s="783" t="s">
        <v>259</v>
      </c>
      <c r="N30" s="783" t="s">
        <v>260</v>
      </c>
      <c r="O30" s="580"/>
      <c r="P30" s="580"/>
      <c r="Q30" s="575"/>
      <c r="R30" s="575"/>
      <c r="S30" s="575"/>
      <c r="T30" s="575"/>
      <c r="U30" s="575"/>
      <c r="V30" s="575"/>
      <c r="W30" s="575"/>
      <c r="X30" s="575"/>
      <c r="Y30" s="575"/>
      <c r="Z30" s="575"/>
      <c r="AA30" s="575"/>
      <c r="AB30" s="575"/>
      <c r="AC30" s="575"/>
      <c r="AD30" s="575"/>
      <c r="AE30" s="575"/>
      <c r="AF30" s="575"/>
      <c r="AN30" s="747" t="s">
        <v>261</v>
      </c>
      <c r="AO30" s="750" t="str">
        <f>IFERROR(IF(OR(N66=5,N66=6,N66=7,N66=8,N66=9,N66=10),N61,N60),"")</f>
        <v>April</v>
      </c>
    </row>
    <row r="31" spans="2:45" ht="24.95" customHeight="1" x14ac:dyDescent="0.2">
      <c r="B31" s="724"/>
      <c r="C31" s="581"/>
      <c r="D31" s="581"/>
      <c r="E31" s="575"/>
      <c r="F31" s="575"/>
      <c r="G31" s="784" t="s">
        <v>262</v>
      </c>
      <c r="H31" s="586"/>
      <c r="I31" s="575"/>
      <c r="J31" s="575"/>
      <c r="K31" s="575"/>
      <c r="L31" s="786" t="s">
        <v>263</v>
      </c>
      <c r="M31" s="786">
        <f>IFERROR(D51,"")</f>
        <v>42</v>
      </c>
      <c r="N31" s="772"/>
      <c r="O31" s="580"/>
      <c r="P31" s="580"/>
      <c r="Q31" s="575"/>
      <c r="R31" s="575"/>
      <c r="S31" s="575"/>
      <c r="T31" s="575"/>
      <c r="U31" s="575"/>
      <c r="V31" s="575"/>
      <c r="W31" s="575"/>
      <c r="X31" s="575"/>
      <c r="Y31" s="575"/>
      <c r="Z31" s="575"/>
      <c r="AA31" s="575"/>
      <c r="AB31" s="575"/>
      <c r="AC31" s="575"/>
      <c r="AD31" s="575"/>
      <c r="AE31" s="575"/>
      <c r="AF31" s="575"/>
      <c r="AN31" s="747" t="s">
        <v>264</v>
      </c>
      <c r="AO31" s="751" t="s">
        <v>265</v>
      </c>
    </row>
    <row r="32" spans="2:45" ht="24.95" customHeight="1" x14ac:dyDescent="0.2">
      <c r="B32" s="724"/>
      <c r="C32" s="581"/>
      <c r="D32" s="581"/>
      <c r="E32" s="575"/>
      <c r="F32" s="575"/>
      <c r="G32" s="784" t="s">
        <v>266</v>
      </c>
      <c r="H32" s="586"/>
      <c r="I32" s="575"/>
      <c r="J32" s="575"/>
      <c r="K32" s="575"/>
      <c r="L32" s="542"/>
      <c r="M32" s="542"/>
      <c r="N32" s="772"/>
      <c r="O32" s="580"/>
      <c r="P32" s="580"/>
      <c r="Q32" s="575"/>
      <c r="R32" s="575"/>
      <c r="S32" s="575"/>
      <c r="T32" s="575"/>
      <c r="U32" s="575"/>
      <c r="V32" s="575"/>
      <c r="W32" s="575"/>
      <c r="X32" s="575"/>
      <c r="Y32" s="575"/>
      <c r="Z32" s="575"/>
      <c r="AA32" s="575"/>
      <c r="AB32" s="575"/>
      <c r="AC32" s="575"/>
      <c r="AD32" s="575"/>
      <c r="AE32" s="575"/>
      <c r="AF32" s="575"/>
      <c r="AN32" s="747" t="s">
        <v>264</v>
      </c>
      <c r="AO32" s="752" t="s">
        <v>265</v>
      </c>
    </row>
    <row r="33" spans="2:42" ht="24.95" customHeight="1" x14ac:dyDescent="0.2">
      <c r="B33" s="724"/>
      <c r="C33" s="581"/>
      <c r="D33" s="581"/>
      <c r="E33" s="575"/>
      <c r="F33" s="575"/>
      <c r="G33" s="784" t="s">
        <v>267</v>
      </c>
      <c r="H33" s="586"/>
      <c r="I33" s="575"/>
      <c r="J33" s="575"/>
      <c r="K33" s="575"/>
      <c r="L33" s="542"/>
      <c r="M33" s="542"/>
      <c r="N33" s="772"/>
      <c r="O33" s="580"/>
      <c r="P33" s="580"/>
      <c r="Q33" s="575"/>
      <c r="R33" s="575"/>
      <c r="S33" s="575"/>
      <c r="T33" s="575"/>
      <c r="U33" s="575"/>
      <c r="V33" s="575"/>
      <c r="W33" s="575"/>
      <c r="X33" s="575"/>
      <c r="Y33" s="575"/>
      <c r="Z33" s="575"/>
      <c r="AA33" s="575"/>
      <c r="AB33" s="575"/>
      <c r="AC33" s="575"/>
      <c r="AD33" s="575"/>
      <c r="AE33" s="575"/>
      <c r="AF33" s="575"/>
      <c r="AN33" s="747" t="s">
        <v>264</v>
      </c>
      <c r="AO33" s="753" t="s">
        <v>268</v>
      </c>
    </row>
    <row r="34" spans="2:42" ht="24.95" customHeight="1" x14ac:dyDescent="0.2">
      <c r="B34" s="724"/>
      <c r="C34" s="581"/>
      <c r="D34" s="581"/>
      <c r="E34" s="581"/>
      <c r="F34" s="581"/>
      <c r="G34" s="581"/>
      <c r="H34" s="586"/>
      <c r="I34" s="586"/>
      <c r="J34" s="586"/>
      <c r="K34" s="586"/>
      <c r="L34" s="575"/>
      <c r="M34" s="541"/>
      <c r="N34" s="775" t="str">
        <f>D49</f>
        <v/>
      </c>
      <c r="O34" s="785" t="str">
        <f>IFERROR(IF(AND(N34&lt;&gt;SUM(N31:N33),N28="No"),"Please input draw down amounts that add up to the total loan requested value",""),"")</f>
        <v/>
      </c>
      <c r="P34" s="580"/>
      <c r="Q34" s="575"/>
      <c r="R34" s="575"/>
      <c r="S34" s="575"/>
      <c r="T34" s="575"/>
      <c r="U34" s="575"/>
      <c r="V34" s="575"/>
      <c r="W34" s="575"/>
      <c r="X34" s="575"/>
      <c r="Y34" s="575"/>
      <c r="Z34" s="575"/>
      <c r="AA34" s="575"/>
      <c r="AB34" s="575"/>
      <c r="AC34" s="575"/>
      <c r="AD34" s="575"/>
      <c r="AE34" s="575"/>
      <c r="AF34" s="575"/>
      <c r="AN34" s="747" t="s">
        <v>269</v>
      </c>
      <c r="AO34" s="754">
        <f>SUM(AN27-1)</f>
        <v>1899</v>
      </c>
    </row>
    <row r="35" spans="2:42" ht="18" customHeight="1" x14ac:dyDescent="0.2">
      <c r="B35" s="724"/>
      <c r="C35" s="943" t="s">
        <v>270</v>
      </c>
      <c r="D35" s="943"/>
      <c r="E35" s="943"/>
      <c r="F35" s="943"/>
      <c r="G35" s="943"/>
      <c r="H35" s="579"/>
      <c r="I35" s="579"/>
      <c r="J35" s="579"/>
      <c r="K35" s="579"/>
      <c r="L35" s="590"/>
      <c r="M35" s="541"/>
      <c r="N35" s="541"/>
      <c r="O35" s="580"/>
      <c r="P35" s="580"/>
      <c r="Q35" s="575"/>
      <c r="R35" s="575"/>
      <c r="S35" s="575"/>
      <c r="T35" s="575"/>
      <c r="U35" s="575"/>
      <c r="V35" s="575"/>
      <c r="W35" s="575"/>
      <c r="X35" s="575"/>
      <c r="Y35" s="575"/>
      <c r="Z35" s="575"/>
      <c r="AA35" s="575"/>
      <c r="AB35" s="575"/>
      <c r="AC35" s="575"/>
      <c r="AD35" s="575"/>
      <c r="AE35" s="575"/>
      <c r="AF35" s="575"/>
      <c r="AN35" s="747" t="s">
        <v>271</v>
      </c>
      <c r="AO35" s="754">
        <f>AN27+1</f>
        <v>1901</v>
      </c>
    </row>
    <row r="36" spans="2:42" ht="14.25" customHeight="1" x14ac:dyDescent="0.2">
      <c r="B36" s="575"/>
      <c r="C36" s="944" t="s">
        <v>272</v>
      </c>
      <c r="D36" s="944"/>
      <c r="E36" s="944"/>
      <c r="F36" s="944"/>
      <c r="G36" s="944"/>
      <c r="H36" s="944"/>
      <c r="I36" s="944"/>
      <c r="J36" s="944"/>
      <c r="K36" s="944"/>
      <c r="L36" s="944"/>
      <c r="M36" s="591"/>
      <c r="N36" s="591"/>
      <c r="O36" s="575"/>
      <c r="P36" s="575"/>
      <c r="Q36" s="575"/>
      <c r="R36" s="575"/>
      <c r="S36" s="575"/>
      <c r="T36" s="575"/>
      <c r="U36" s="575"/>
      <c r="V36" s="575"/>
      <c r="W36" s="575"/>
      <c r="X36" s="575"/>
      <c r="Y36" s="575"/>
      <c r="Z36" s="575"/>
      <c r="AA36" s="575"/>
      <c r="AB36" s="575"/>
      <c r="AC36" s="575"/>
      <c r="AD36" s="575"/>
      <c r="AE36" s="575"/>
      <c r="AF36" s="575"/>
      <c r="AN36" s="749" t="s">
        <v>264</v>
      </c>
      <c r="AO36" s="745" t="s">
        <v>273</v>
      </c>
    </row>
    <row r="37" spans="2:42" ht="60.75" customHeight="1" x14ac:dyDescent="0.2">
      <c r="B37" s="575"/>
      <c r="C37" s="944"/>
      <c r="D37" s="944"/>
      <c r="E37" s="944"/>
      <c r="F37" s="944"/>
      <c r="G37" s="944"/>
      <c r="H37" s="944"/>
      <c r="I37" s="944"/>
      <c r="J37" s="944"/>
      <c r="K37" s="944"/>
      <c r="L37" s="944"/>
      <c r="M37" s="591"/>
      <c r="N37" s="591"/>
      <c r="O37" s="575"/>
      <c r="P37" s="575"/>
      <c r="Q37" s="575"/>
      <c r="R37" s="575"/>
      <c r="S37" s="575"/>
      <c r="T37" s="575"/>
      <c r="U37" s="575"/>
      <c r="V37" s="575"/>
      <c r="W37" s="575"/>
      <c r="X37" s="575"/>
      <c r="Y37" s="575"/>
      <c r="Z37" s="575"/>
      <c r="AA37" s="575"/>
      <c r="AB37" s="575"/>
      <c r="AC37" s="575"/>
      <c r="AD37" s="575"/>
      <c r="AE37" s="575"/>
      <c r="AF37" s="575"/>
      <c r="AN37" s="761" t="s">
        <v>245</v>
      </c>
      <c r="AO37" s="767" t="str">
        <f>IF(N15="","",(SUM(AC70:AC93)))</f>
        <v/>
      </c>
    </row>
    <row r="38" spans="2:42" ht="15" customHeight="1" x14ac:dyDescent="0.2">
      <c r="B38" s="575"/>
      <c r="C38" s="592"/>
      <c r="D38" s="592"/>
      <c r="E38" s="592"/>
      <c r="F38" s="592"/>
      <c r="G38" s="592"/>
      <c r="H38" s="593"/>
      <c r="I38" s="593"/>
      <c r="J38" s="593"/>
      <c r="K38" s="593"/>
      <c r="L38" s="593"/>
      <c r="M38" s="583"/>
      <c r="N38" s="583"/>
      <c r="O38" s="575"/>
      <c r="P38" s="575"/>
      <c r="Q38" s="575"/>
      <c r="R38" s="575"/>
      <c r="S38" s="575"/>
      <c r="T38" s="575"/>
      <c r="U38" s="575"/>
      <c r="V38" s="575"/>
      <c r="W38" s="575"/>
      <c r="X38" s="575"/>
      <c r="Y38" s="575"/>
      <c r="Z38" s="575"/>
      <c r="AA38" s="575"/>
      <c r="AB38" s="575"/>
      <c r="AC38" s="575"/>
      <c r="AD38" s="575"/>
      <c r="AE38" s="575"/>
      <c r="AF38" s="575"/>
    </row>
    <row r="39" spans="2:42" x14ac:dyDescent="0.2">
      <c r="B39" s="576"/>
      <c r="C39" s="945"/>
      <c r="D39" s="945"/>
      <c r="E39" s="945"/>
      <c r="F39" s="945"/>
      <c r="G39" s="945"/>
      <c r="H39" s="945"/>
      <c r="I39" s="945"/>
      <c r="J39" s="945"/>
      <c r="K39" s="945"/>
      <c r="L39" s="946"/>
      <c r="M39" s="596"/>
      <c r="N39" s="594"/>
      <c r="O39" s="595"/>
      <c r="P39" s="595"/>
      <c r="Q39" s="595"/>
      <c r="R39" s="595"/>
      <c r="S39" s="575"/>
      <c r="T39" s="575"/>
      <c r="U39" s="575"/>
      <c r="V39" s="575"/>
      <c r="W39" s="575"/>
      <c r="X39" s="575"/>
      <c r="Y39" s="575"/>
      <c r="Z39" s="575"/>
      <c r="AA39" s="575"/>
      <c r="AB39" s="575"/>
      <c r="AC39" s="575"/>
      <c r="AD39" s="575"/>
      <c r="AE39" s="575"/>
      <c r="AF39" s="575"/>
    </row>
    <row r="40" spans="2:42" x14ac:dyDescent="0.2">
      <c r="B40" s="576"/>
      <c r="C40" s="947"/>
      <c r="D40" s="947"/>
      <c r="E40" s="947"/>
      <c r="F40" s="947"/>
      <c r="G40" s="947"/>
      <c r="H40" s="947"/>
      <c r="I40" s="947"/>
      <c r="J40" s="947"/>
      <c r="K40" s="947"/>
      <c r="L40" s="948"/>
      <c r="M40" s="596"/>
      <c r="N40" s="594"/>
      <c r="O40" s="595"/>
      <c r="P40" s="595"/>
      <c r="Q40" s="595"/>
      <c r="R40" s="595"/>
      <c r="S40" s="575"/>
      <c r="T40" s="575"/>
      <c r="U40" s="575"/>
      <c r="V40" s="575"/>
      <c r="W40" s="575"/>
      <c r="X40" s="575"/>
      <c r="Y40" s="575"/>
      <c r="Z40" s="575"/>
      <c r="AA40" s="575"/>
      <c r="AB40" s="575"/>
      <c r="AC40" s="575"/>
      <c r="AD40" s="575"/>
      <c r="AE40" s="575"/>
      <c r="AF40" s="575"/>
      <c r="AN40" s="725" t="s">
        <v>274</v>
      </c>
      <c r="AP40" s="774">
        <v>45748</v>
      </c>
    </row>
    <row r="41" spans="2:42" x14ac:dyDescent="0.2">
      <c r="B41" s="576"/>
      <c r="C41" s="947"/>
      <c r="D41" s="947"/>
      <c r="E41" s="947"/>
      <c r="F41" s="947"/>
      <c r="G41" s="947"/>
      <c r="H41" s="947"/>
      <c r="I41" s="947"/>
      <c r="J41" s="947"/>
      <c r="K41" s="947"/>
      <c r="L41" s="948"/>
      <c r="M41" s="596"/>
      <c r="N41" s="594"/>
      <c r="O41" s="595"/>
      <c r="P41" s="595"/>
      <c r="Q41" s="595"/>
      <c r="R41" s="595"/>
      <c r="S41" s="575"/>
      <c r="T41" s="575"/>
      <c r="U41" s="575"/>
      <c r="V41" s="575"/>
      <c r="W41" s="575"/>
      <c r="X41" s="575"/>
      <c r="Y41" s="575"/>
      <c r="Z41" s="575"/>
      <c r="AA41" s="575"/>
      <c r="AB41" s="575"/>
      <c r="AC41" s="575"/>
      <c r="AD41" s="575"/>
      <c r="AE41" s="575"/>
      <c r="AF41" s="575"/>
      <c r="AN41" s="725" t="s">
        <v>233</v>
      </c>
      <c r="AO41" s="725" t="str">
        <f ca="1">("Mar "&amp;($AO$8+1))</f>
        <v>Mar 2025</v>
      </c>
      <c r="AP41" s="773">
        <f>EOMONTH($AP$40,-1)</f>
        <v>45747</v>
      </c>
    </row>
    <row r="42" spans="2:42" x14ac:dyDescent="0.2">
      <c r="B42" s="576"/>
      <c r="C42" s="947"/>
      <c r="D42" s="947"/>
      <c r="E42" s="947"/>
      <c r="F42" s="947"/>
      <c r="G42" s="947"/>
      <c r="H42" s="947"/>
      <c r="I42" s="947"/>
      <c r="J42" s="947"/>
      <c r="K42" s="947"/>
      <c r="L42" s="948"/>
      <c r="M42" s="596"/>
      <c r="N42" s="575"/>
      <c r="O42" s="575"/>
      <c r="P42" s="595"/>
      <c r="Q42" s="595"/>
      <c r="R42" s="595"/>
      <c r="S42" s="575"/>
      <c r="T42" s="575"/>
      <c r="U42" s="575"/>
      <c r="V42" s="575"/>
      <c r="W42" s="575"/>
      <c r="X42" s="575"/>
      <c r="Y42" s="575"/>
      <c r="Z42" s="575"/>
      <c r="AA42" s="575"/>
      <c r="AB42" s="575"/>
      <c r="AC42" s="575"/>
      <c r="AD42" s="575"/>
      <c r="AE42" s="575"/>
      <c r="AF42" s="575"/>
      <c r="AN42" s="725" t="s">
        <v>233</v>
      </c>
      <c r="AO42" s="725" t="str">
        <f ca="1">("Jun "&amp;($AO$8+1))</f>
        <v>Jun 2025</v>
      </c>
      <c r="AP42" s="773">
        <f>EOMONTH($AP$40,2)</f>
        <v>45838</v>
      </c>
    </row>
    <row r="43" spans="2:42" ht="27" customHeight="1" x14ac:dyDescent="0.2">
      <c r="B43" s="576"/>
      <c r="C43" s="949"/>
      <c r="D43" s="949"/>
      <c r="E43" s="949"/>
      <c r="F43" s="949"/>
      <c r="G43" s="949"/>
      <c r="H43" s="949"/>
      <c r="I43" s="949"/>
      <c r="J43" s="949"/>
      <c r="K43" s="949"/>
      <c r="L43" s="950"/>
      <c r="M43" s="596"/>
      <c r="N43" s="575"/>
      <c r="O43" s="575"/>
      <c r="P43" s="595"/>
      <c r="Q43" s="595"/>
      <c r="R43" s="595"/>
      <c r="S43" s="575"/>
      <c r="T43" s="575"/>
      <c r="U43" s="575"/>
      <c r="V43" s="575"/>
      <c r="W43" s="575"/>
      <c r="X43" s="575"/>
      <c r="Y43" s="575"/>
      <c r="Z43" s="575"/>
      <c r="AA43" s="575"/>
      <c r="AB43" s="575"/>
      <c r="AC43" s="575"/>
      <c r="AD43" s="575"/>
      <c r="AE43" s="575"/>
      <c r="AF43" s="575"/>
      <c r="AN43" s="725" t="s">
        <v>233</v>
      </c>
      <c r="AO43" s="725" t="str">
        <f ca="1">("Sep "&amp;($AO$8+1))</f>
        <v>Sep 2025</v>
      </c>
      <c r="AP43" s="773">
        <f>EOMONTH(AP40,5)</f>
        <v>45930</v>
      </c>
    </row>
    <row r="44" spans="2:42" ht="25.5" customHeight="1" x14ac:dyDescent="0.2">
      <c r="B44" s="575"/>
      <c r="C44" s="592"/>
      <c r="D44" s="592"/>
      <c r="E44" s="592"/>
      <c r="F44" s="592"/>
      <c r="G44" s="592"/>
      <c r="H44" s="593"/>
      <c r="I44" s="593"/>
      <c r="J44" s="593"/>
      <c r="K44" s="593"/>
      <c r="L44" s="597"/>
      <c r="M44" s="598"/>
      <c r="N44" s="575"/>
      <c r="O44" s="575"/>
      <c r="P44" s="595"/>
      <c r="Q44" s="595"/>
      <c r="R44" s="595"/>
      <c r="S44" s="575"/>
      <c r="T44" s="575"/>
      <c r="U44" s="575"/>
      <c r="V44" s="575"/>
      <c r="W44" s="575"/>
      <c r="X44" s="575"/>
      <c r="Y44" s="575"/>
      <c r="Z44" s="575"/>
      <c r="AA44" s="575"/>
      <c r="AB44" s="575"/>
      <c r="AC44" s="575"/>
      <c r="AD44" s="575"/>
      <c r="AE44" s="575"/>
      <c r="AF44" s="575"/>
      <c r="AN44" s="725" t="s">
        <v>233</v>
      </c>
      <c r="AO44" s="725" t="str">
        <f ca="1">("Dec "&amp;($AO$8+1))</f>
        <v>Dec 2025</v>
      </c>
      <c r="AP44" s="773">
        <f>EOMONTH(AP40,8)</f>
        <v>46022</v>
      </c>
    </row>
    <row r="45" spans="2:42" ht="20.45" customHeight="1" x14ac:dyDescent="0.2">
      <c r="B45" s="575"/>
      <c r="C45" s="952" t="s">
        <v>275</v>
      </c>
      <c r="D45" s="952"/>
      <c r="E45" s="952"/>
      <c r="F45" s="952"/>
      <c r="G45" s="952"/>
      <c r="H45" s="952"/>
      <c r="I45" s="952"/>
      <c r="J45" s="952"/>
      <c r="K45" s="952"/>
      <c r="L45" s="952"/>
      <c r="M45" s="952"/>
      <c r="N45" s="952"/>
      <c r="O45" s="599"/>
      <c r="P45" s="595"/>
      <c r="Q45" s="953"/>
      <c r="R45" s="953"/>
      <c r="S45" s="600"/>
      <c r="T45" s="601"/>
      <c r="U45" s="601"/>
      <c r="V45" s="601"/>
      <c r="W45" s="601"/>
      <c r="X45" s="601"/>
      <c r="Y45" s="601"/>
      <c r="Z45" s="601"/>
      <c r="AA45" s="601"/>
      <c r="AB45" s="601"/>
      <c r="AC45" s="575"/>
      <c r="AD45" s="575"/>
      <c r="AE45" s="575"/>
      <c r="AF45" s="575"/>
      <c r="AN45" s="725" t="s">
        <v>234</v>
      </c>
      <c r="AO45" s="725" t="str">
        <f ca="1">("Mar "&amp;($AO$8+2))</f>
        <v>Mar 2026</v>
      </c>
      <c r="AP45" s="773">
        <f>EOMONTH(AP40,11)</f>
        <v>46112</v>
      </c>
    </row>
    <row r="46" spans="2:42" ht="15" customHeight="1" x14ac:dyDescent="0.2">
      <c r="B46" s="575"/>
      <c r="C46" s="592"/>
      <c r="D46" s="592"/>
      <c r="E46" s="592"/>
      <c r="F46" s="592"/>
      <c r="G46" s="592"/>
      <c r="H46" s="593"/>
      <c r="I46" s="593"/>
      <c r="J46" s="593"/>
      <c r="K46" s="602"/>
      <c r="L46" s="575"/>
      <c r="M46" s="575"/>
      <c r="N46" s="575"/>
      <c r="O46" s="575"/>
      <c r="P46" s="595"/>
      <c r="Q46" s="603"/>
      <c r="R46" s="604"/>
      <c r="S46" s="589"/>
      <c r="T46" s="601"/>
      <c r="U46" s="601"/>
      <c r="V46" s="601"/>
      <c r="W46" s="601"/>
      <c r="X46" s="601"/>
      <c r="Y46" s="601"/>
      <c r="Z46" s="601"/>
      <c r="AA46" s="601"/>
      <c r="AB46" s="601"/>
      <c r="AC46" s="575"/>
      <c r="AD46" s="575"/>
      <c r="AE46" s="575"/>
      <c r="AF46" s="575"/>
      <c r="AN46" s="725" t="s">
        <v>234</v>
      </c>
      <c r="AO46" s="725" t="str">
        <f ca="1">("Jun "&amp;($AO$8+2))</f>
        <v>Jun 2026</v>
      </c>
      <c r="AP46" s="773">
        <f>EOMONTH($AP$40,14)</f>
        <v>46203</v>
      </c>
    </row>
    <row r="47" spans="2:42" ht="20.100000000000001" customHeight="1" x14ac:dyDescent="0.2">
      <c r="B47" s="575"/>
      <c r="C47" s="954" t="s">
        <v>276</v>
      </c>
      <c r="D47" s="955"/>
      <c r="E47" s="592"/>
      <c r="F47" s="956" t="s">
        <v>277</v>
      </c>
      <c r="G47" s="957"/>
      <c r="H47" s="593"/>
      <c r="I47" s="593"/>
      <c r="J47" s="602"/>
      <c r="K47" s="602"/>
      <c r="L47" s="575"/>
      <c r="M47" s="575"/>
      <c r="N47" s="575"/>
      <c r="O47" s="575"/>
      <c r="P47" s="605"/>
      <c r="Q47" s="765"/>
      <c r="R47" s="604"/>
      <c r="S47" s="589"/>
      <c r="T47" s="601"/>
      <c r="U47" s="601"/>
      <c r="V47" s="601"/>
      <c r="W47" s="601"/>
      <c r="X47" s="601"/>
      <c r="Y47" s="601"/>
      <c r="Z47" s="601"/>
      <c r="AA47" s="601"/>
      <c r="AB47" s="601"/>
      <c r="AC47" s="575"/>
      <c r="AD47" s="575"/>
      <c r="AE47" s="575"/>
      <c r="AF47" s="575"/>
      <c r="AN47" s="725" t="s">
        <v>234</v>
      </c>
      <c r="AO47" s="725" t="str">
        <f ca="1">("Sep "&amp;($AO$8+2))</f>
        <v>Sep 2026</v>
      </c>
      <c r="AP47" s="773">
        <f>EOMONTH($AP$40,17)</f>
        <v>46295</v>
      </c>
    </row>
    <row r="48" spans="2:42" ht="24.95" customHeight="1" x14ac:dyDescent="0.2">
      <c r="B48" s="575"/>
      <c r="C48" s="544" t="s">
        <v>278</v>
      </c>
      <c r="D48" s="734" t="str">
        <f>IF('Project Compliance Tool'!$O$65="","",'Project Compliance Tool'!$O$65)</f>
        <v/>
      </c>
      <c r="E48" s="592"/>
      <c r="F48" s="544" t="s">
        <v>279</v>
      </c>
      <c r="G48" s="739" t="str">
        <f>IFERROR(AO14,"Input Loan Payback Length in 1a.")</f>
        <v>28/02/1900</v>
      </c>
      <c r="H48" s="593"/>
      <c r="I48" s="593"/>
      <c r="J48" s="602"/>
      <c r="K48" s="602"/>
      <c r="L48" s="575"/>
      <c r="M48" s="575"/>
      <c r="N48" s="575"/>
      <c r="O48" s="575"/>
      <c r="P48" s="606"/>
      <c r="Q48" s="766"/>
      <c r="R48" s="604"/>
      <c r="S48" s="589"/>
      <c r="T48" s="601"/>
      <c r="U48" s="601"/>
      <c r="V48" s="601"/>
      <c r="W48" s="601"/>
      <c r="X48" s="601"/>
      <c r="Y48" s="601"/>
      <c r="Z48" s="601"/>
      <c r="AA48" s="601"/>
      <c r="AB48" s="601"/>
      <c r="AC48" s="575"/>
      <c r="AD48" s="575"/>
      <c r="AE48" s="575"/>
      <c r="AF48" s="575"/>
      <c r="AN48" s="725" t="s">
        <v>234</v>
      </c>
      <c r="AO48" s="725" t="str">
        <f ca="1">("Dec "&amp;($AO$8+2))</f>
        <v>Dec 2026</v>
      </c>
      <c r="AP48" s="773">
        <f>EOMONTH($AP$40,20)</f>
        <v>46387</v>
      </c>
    </row>
    <row r="49" spans="2:42" ht="24.95" customHeight="1" x14ac:dyDescent="0.2">
      <c r="B49" s="575"/>
      <c r="C49" s="545" t="s">
        <v>280</v>
      </c>
      <c r="D49" s="735" t="str">
        <f>IF('Project Compliance Tool'!$N$65="","",'Project Compliance Tool'!$N$65)</f>
        <v/>
      </c>
      <c r="E49" s="592"/>
      <c r="F49" s="545" t="s">
        <v>281</v>
      </c>
      <c r="G49" s="735" t="str">
        <f>IFERROR(IF(N18="","",((SUM(D49/12)*G50)*D50)),"Input Loan Payback Length in 1a.")</f>
        <v>Input Loan Payback Length in 1a.</v>
      </c>
      <c r="H49" s="593"/>
      <c r="I49" s="794"/>
      <c r="J49" s="602"/>
      <c r="K49" s="602"/>
      <c r="L49" s="575"/>
      <c r="M49" s="575"/>
      <c r="N49" s="575"/>
      <c r="O49" s="575"/>
      <c r="P49" s="607"/>
      <c r="Q49" s="608"/>
      <c r="R49" s="589"/>
      <c r="S49" s="589"/>
      <c r="T49" s="601"/>
      <c r="U49" s="601"/>
      <c r="V49" s="601"/>
      <c r="W49" s="601"/>
      <c r="X49" s="601"/>
      <c r="Y49" s="601"/>
      <c r="Z49" s="601"/>
      <c r="AA49" s="601"/>
      <c r="AB49" s="601"/>
      <c r="AC49" s="575"/>
      <c r="AD49" s="575"/>
      <c r="AE49" s="575"/>
      <c r="AF49" s="575"/>
      <c r="AN49" s="782" t="s">
        <v>282</v>
      </c>
      <c r="AO49" s="782" t="str">
        <f ca="1">("Mar "&amp;($AO$8+3))</f>
        <v>Mar 2027</v>
      </c>
      <c r="AP49" s="774">
        <f>EOMONTH($AP$40,23)</f>
        <v>46477</v>
      </c>
    </row>
    <row r="50" spans="2:42" ht="24.95" customHeight="1" x14ac:dyDescent="0.2">
      <c r="B50" s="575"/>
      <c r="C50" s="545" t="s">
        <v>283</v>
      </c>
      <c r="D50" s="736">
        <v>2.0500000000000001E-2</v>
      </c>
      <c r="E50" s="592"/>
      <c r="F50" s="545" t="s">
        <v>284</v>
      </c>
      <c r="G50" s="740">
        <f>IFERROR(IF(N18="","",(DATEDIF(AO15,AO14,"m"))),"Input Loan Payback Length in 1a.")</f>
        <v>0</v>
      </c>
      <c r="H50" s="609"/>
      <c r="I50" s="795"/>
      <c r="J50" s="602"/>
      <c r="K50" s="602"/>
      <c r="L50" s="575"/>
      <c r="M50" s="575"/>
      <c r="N50" s="575"/>
      <c r="O50" s="575"/>
      <c r="P50" s="607"/>
      <c r="Q50" s="608"/>
      <c r="R50" s="589"/>
      <c r="S50" s="589"/>
      <c r="T50" s="601"/>
      <c r="U50" s="601"/>
      <c r="V50" s="601"/>
      <c r="W50" s="601"/>
      <c r="X50" s="601"/>
      <c r="Y50" s="601"/>
      <c r="Z50" s="601"/>
      <c r="AA50" s="601"/>
      <c r="AB50" s="601"/>
      <c r="AC50" s="575"/>
      <c r="AD50" s="575"/>
      <c r="AE50" s="575"/>
      <c r="AF50" s="575"/>
    </row>
    <row r="51" spans="2:42" ht="24.95" customHeight="1" x14ac:dyDescent="0.2">
      <c r="B51" s="575"/>
      <c r="C51" s="545" t="s">
        <v>285</v>
      </c>
      <c r="D51" s="737">
        <f>('Business Case'!D13)+42</f>
        <v>42</v>
      </c>
      <c r="E51" s="592"/>
      <c r="F51" s="545" t="s">
        <v>245</v>
      </c>
      <c r="G51" s="741" t="e">
        <f>IF(N15=1,SUM(Table145242[Hide - If ending capital is loan]),IF(N18="","",(SUM(AC70:AC93))))</f>
        <v>#VALUE!</v>
      </c>
      <c r="H51" s="593"/>
      <c r="I51" s="593"/>
      <c r="J51" s="602"/>
      <c r="K51" s="602"/>
      <c r="L51" s="575"/>
      <c r="M51" s="575"/>
      <c r="N51" s="575"/>
      <c r="O51" s="575"/>
      <c r="P51" s="607"/>
      <c r="Q51" s="608"/>
      <c r="R51" s="589"/>
      <c r="S51" s="589"/>
      <c r="T51" s="601"/>
      <c r="U51" s="601"/>
      <c r="V51" s="601"/>
      <c r="W51" s="601"/>
      <c r="X51" s="601"/>
      <c r="Y51" s="601"/>
      <c r="Z51" s="601"/>
      <c r="AA51" s="601"/>
      <c r="AB51" s="601"/>
      <c r="AC51" s="575"/>
      <c r="AD51" s="575"/>
      <c r="AE51" s="575"/>
      <c r="AF51" s="575"/>
    </row>
    <row r="52" spans="2:42" ht="24.95" customHeight="1" x14ac:dyDescent="0.2">
      <c r="B52" s="575"/>
      <c r="C52" s="732" t="s">
        <v>286</v>
      </c>
      <c r="D52" s="737" t="str">
        <f ca="1">_xlfn.XLOOKUP(M32,AO41:AO44,AP41:AP44,"N/A",0,1)</f>
        <v>N/A</v>
      </c>
      <c r="E52" s="592"/>
      <c r="F52" s="610"/>
      <c r="G52" s="770"/>
      <c r="H52" s="593"/>
      <c r="I52" s="593"/>
      <c r="J52" s="602"/>
      <c r="K52" s="602"/>
      <c r="L52" s="575"/>
      <c r="M52" s="575"/>
      <c r="N52" s="575"/>
      <c r="O52" s="575"/>
      <c r="P52" s="607"/>
      <c r="Q52" s="608"/>
      <c r="R52" s="589"/>
      <c r="S52" s="589"/>
      <c r="T52" s="601"/>
      <c r="U52" s="601"/>
      <c r="V52" s="601"/>
      <c r="W52" s="601"/>
      <c r="X52" s="601"/>
      <c r="Y52" s="601"/>
      <c r="Z52" s="601"/>
      <c r="AA52" s="601"/>
      <c r="AB52" s="601"/>
      <c r="AC52" s="575"/>
      <c r="AD52" s="575"/>
      <c r="AE52" s="575"/>
      <c r="AF52" s="575"/>
    </row>
    <row r="53" spans="2:42" ht="24.95" customHeight="1" x14ac:dyDescent="0.2">
      <c r="B53" s="575"/>
      <c r="C53" s="732" t="s">
        <v>287</v>
      </c>
      <c r="D53" s="737" t="str">
        <f ca="1">_xlfn.XLOOKUP(M33,AO45:AO48,AP45:AP48,"N/A",0,1)</f>
        <v>N/A</v>
      </c>
      <c r="E53" s="592"/>
      <c r="F53" s="610"/>
      <c r="G53" s="770"/>
      <c r="H53" s="593"/>
      <c r="I53" s="593"/>
      <c r="J53" s="602"/>
      <c r="K53" s="602"/>
      <c r="L53" s="575"/>
      <c r="M53" s="575"/>
      <c r="N53" s="575"/>
      <c r="O53" s="575"/>
      <c r="P53" s="607"/>
      <c r="Q53" s="608"/>
      <c r="R53" s="589"/>
      <c r="S53" s="589"/>
      <c r="T53" s="601"/>
      <c r="U53" s="601"/>
      <c r="V53" s="601"/>
      <c r="W53" s="601"/>
      <c r="X53" s="601"/>
      <c r="Y53" s="601"/>
      <c r="Z53" s="601"/>
      <c r="AA53" s="601"/>
      <c r="AB53" s="601"/>
      <c r="AC53" s="575"/>
      <c r="AD53" s="575"/>
      <c r="AE53" s="575"/>
      <c r="AF53" s="575"/>
    </row>
    <row r="54" spans="2:42" ht="24.95" customHeight="1" x14ac:dyDescent="0.2">
      <c r="B54" s="575"/>
      <c r="C54" s="732" t="s">
        <v>288</v>
      </c>
      <c r="D54" s="738">
        <f>'Business Case'!$D$15</f>
        <v>0</v>
      </c>
      <c r="E54" s="592"/>
      <c r="F54" s="592"/>
      <c r="G54" s="592"/>
      <c r="H54" s="593"/>
      <c r="I54" s="593"/>
      <c r="J54" s="602"/>
      <c r="K54" s="602"/>
      <c r="L54" s="575"/>
      <c r="M54" s="575"/>
      <c r="N54" s="575"/>
      <c r="O54" s="575"/>
      <c r="P54" s="607"/>
      <c r="Q54" s="608"/>
      <c r="R54" s="589"/>
      <c r="S54" s="589"/>
      <c r="T54" s="601"/>
      <c r="U54" s="601"/>
      <c r="V54" s="601"/>
      <c r="W54" s="601"/>
      <c r="X54" s="601"/>
      <c r="Y54" s="601"/>
      <c r="Z54" s="601"/>
      <c r="AA54" s="601"/>
      <c r="AB54" s="601"/>
      <c r="AC54" s="575"/>
      <c r="AD54" s="575"/>
      <c r="AE54" s="575"/>
      <c r="AF54" s="575"/>
    </row>
    <row r="55" spans="2:42" ht="20.100000000000001" customHeight="1" x14ac:dyDescent="0.2">
      <c r="B55" s="575"/>
      <c r="C55" s="546" t="s">
        <v>289</v>
      </c>
      <c r="D55" s="547" t="str">
        <f>IF(N15="","",(SUM(AD70:AD93)))</f>
        <v/>
      </c>
      <c r="E55" s="592"/>
      <c r="F55" s="958" t="s">
        <v>290</v>
      </c>
      <c r="G55" s="958"/>
      <c r="H55" s="593"/>
      <c r="I55" s="593"/>
      <c r="J55" s="602"/>
      <c r="K55" s="602"/>
      <c r="L55" s="575"/>
      <c r="M55" s="575"/>
      <c r="N55" s="575"/>
      <c r="O55" s="575"/>
      <c r="P55" s="607"/>
      <c r="Q55" s="608"/>
      <c r="R55" s="589"/>
      <c r="S55" s="589"/>
      <c r="T55" s="601"/>
      <c r="U55" s="601"/>
      <c r="V55" s="601"/>
      <c r="W55" s="601"/>
      <c r="X55" s="601"/>
      <c r="Y55" s="601"/>
      <c r="Z55" s="601"/>
      <c r="AA55" s="601"/>
      <c r="AB55" s="601"/>
      <c r="AC55" s="575"/>
      <c r="AD55" s="575"/>
      <c r="AE55" s="575"/>
      <c r="AF55" s="575"/>
    </row>
    <row r="56" spans="2:42" ht="24.95" customHeight="1" x14ac:dyDescent="0.2">
      <c r="B56" s="575"/>
      <c r="C56" s="592"/>
      <c r="D56" s="592"/>
      <c r="E56" s="592"/>
      <c r="F56" s="544" t="s">
        <v>291</v>
      </c>
      <c r="G56" s="739" t="str">
        <f>IF(N22="","Input selection to 1b",N22)</f>
        <v>Input selection to 1b</v>
      </c>
      <c r="H56" s="593"/>
      <c r="I56" s="593"/>
      <c r="J56" s="602"/>
      <c r="K56" s="602"/>
      <c r="L56" s="575"/>
      <c r="M56" s="575"/>
      <c r="N56" s="575"/>
      <c r="O56" s="575"/>
      <c r="P56" s="607"/>
      <c r="Q56" s="608"/>
      <c r="R56" s="589"/>
      <c r="S56" s="589"/>
      <c r="T56" s="601"/>
      <c r="U56" s="601"/>
      <c r="V56" s="601"/>
      <c r="W56" s="601"/>
      <c r="X56" s="601"/>
      <c r="Y56" s="601"/>
      <c r="Z56" s="601"/>
      <c r="AA56" s="601"/>
      <c r="AB56" s="601"/>
      <c r="AC56" s="575"/>
      <c r="AD56" s="575"/>
      <c r="AE56" s="575"/>
      <c r="AF56" s="575"/>
    </row>
    <row r="57" spans="2:42" ht="24.95" customHeight="1" x14ac:dyDescent="0.2">
      <c r="B57" s="575"/>
      <c r="C57" s="592"/>
      <c r="D57" s="592"/>
      <c r="E57" s="592"/>
      <c r="F57" s="545" t="s">
        <v>292</v>
      </c>
      <c r="G57" s="742">
        <f>IF(SUM(Q70:Q93)="","",SUM(Q70:Q93))</f>
        <v>0</v>
      </c>
      <c r="H57" s="593"/>
      <c r="I57" s="593"/>
      <c r="J57" s="602"/>
      <c r="K57" s="602"/>
      <c r="L57" s="575"/>
      <c r="M57" s="575"/>
      <c r="N57" s="575"/>
      <c r="O57" s="575"/>
      <c r="P57" s="607"/>
      <c r="Q57" s="608"/>
      <c r="R57" s="589"/>
      <c r="S57" s="589"/>
      <c r="T57" s="601"/>
      <c r="U57" s="601"/>
      <c r="V57" s="601"/>
      <c r="W57" s="601"/>
      <c r="X57" s="601"/>
      <c r="Y57" s="601"/>
      <c r="Z57" s="601"/>
      <c r="AA57" s="601"/>
      <c r="AB57" s="601"/>
      <c r="AC57" s="575"/>
      <c r="AD57" s="575"/>
      <c r="AE57" s="575"/>
      <c r="AF57" s="575"/>
    </row>
    <row r="58" spans="2:42" ht="24.95" customHeight="1" x14ac:dyDescent="0.2">
      <c r="B58" s="575"/>
      <c r="C58" s="592"/>
      <c r="D58" s="592"/>
      <c r="E58" s="611"/>
      <c r="F58" s="545" t="s">
        <v>289</v>
      </c>
      <c r="G58" s="743" t="str">
        <f>IF(N15=1,D49,IF(N15="","",(SUM(AD70:AD93))))</f>
        <v/>
      </c>
      <c r="H58" s="597"/>
      <c r="I58" s="593"/>
      <c r="J58" s="602"/>
      <c r="K58" s="602"/>
      <c r="L58" s="575"/>
      <c r="M58" s="575"/>
      <c r="N58" s="575"/>
      <c r="O58" s="575"/>
      <c r="P58" s="607"/>
      <c r="Q58" s="608"/>
      <c r="R58" s="589"/>
      <c r="S58" s="589"/>
      <c r="T58" s="601"/>
      <c r="U58" s="601"/>
      <c r="V58" s="601"/>
      <c r="W58" s="601"/>
      <c r="X58" s="601"/>
      <c r="Y58" s="601"/>
      <c r="Z58" s="601"/>
      <c r="AA58" s="601"/>
      <c r="AB58" s="601"/>
      <c r="AC58" s="575"/>
      <c r="AD58" s="575"/>
      <c r="AE58" s="575"/>
      <c r="AF58" s="575"/>
    </row>
    <row r="59" spans="2:42" ht="15" customHeight="1" x14ac:dyDescent="0.2">
      <c r="B59" s="575"/>
      <c r="C59" s="592"/>
      <c r="D59" s="592"/>
      <c r="E59" s="592"/>
      <c r="F59" s="603"/>
      <c r="G59" s="612"/>
      <c r="H59" s="593"/>
      <c r="I59" s="593"/>
      <c r="J59" s="602"/>
      <c r="K59" s="602"/>
      <c r="L59" s="575"/>
      <c r="M59" s="575"/>
      <c r="N59" s="575"/>
      <c r="O59" s="724"/>
      <c r="P59" s="607"/>
      <c r="Q59" s="608"/>
      <c r="R59" s="589"/>
      <c r="S59" s="589"/>
      <c r="T59" s="601"/>
      <c r="U59" s="601"/>
      <c r="V59" s="601"/>
      <c r="W59" s="601"/>
      <c r="X59" s="601"/>
      <c r="Y59" s="601"/>
      <c r="Z59" s="601"/>
      <c r="AA59" s="601"/>
      <c r="AB59" s="601"/>
      <c r="AC59" s="575"/>
      <c r="AD59" s="575"/>
      <c r="AE59" s="575"/>
      <c r="AF59" s="575"/>
    </row>
    <row r="60" spans="2:42" hidden="1" x14ac:dyDescent="0.2">
      <c r="B60" s="575"/>
      <c r="C60" s="592"/>
      <c r="D60" s="592"/>
      <c r="E60" s="592"/>
      <c r="F60" s="592"/>
      <c r="G60" s="592"/>
      <c r="H60" s="593"/>
      <c r="I60" s="593"/>
      <c r="J60" s="602"/>
      <c r="K60" s="602"/>
      <c r="L60" s="792" t="s">
        <v>293</v>
      </c>
      <c r="M60" s="789">
        <f>IF(N18="","",(SUM(AD70:AD93)))</f>
        <v>0</v>
      </c>
      <c r="N60" s="745" t="s">
        <v>294</v>
      </c>
      <c r="O60" s="749" t="s">
        <v>264</v>
      </c>
      <c r="P60" s="607"/>
      <c r="Q60" s="608"/>
      <c r="R60" s="589"/>
      <c r="S60" s="589"/>
      <c r="T60" s="601"/>
      <c r="U60" s="601"/>
      <c r="V60" s="601"/>
      <c r="W60" s="601"/>
      <c r="X60" s="601"/>
      <c r="Y60" s="601"/>
      <c r="Z60" s="601"/>
      <c r="AA60" s="601"/>
      <c r="AB60" s="601"/>
      <c r="AC60" s="575"/>
      <c r="AD60" s="575"/>
      <c r="AE60" s="575"/>
      <c r="AF60" s="575"/>
    </row>
    <row r="61" spans="2:42" hidden="1" x14ac:dyDescent="0.2">
      <c r="B61" s="575"/>
      <c r="C61" s="592"/>
      <c r="D61" s="592"/>
      <c r="E61" s="592"/>
      <c r="F61" s="592"/>
      <c r="G61" s="592"/>
      <c r="H61" s="593"/>
      <c r="I61" s="593"/>
      <c r="J61" s="602"/>
      <c r="K61" s="602"/>
      <c r="L61" s="792" t="s">
        <v>295</v>
      </c>
      <c r="M61" s="788" t="e">
        <f>IF(N18="","",(SUM(M60+AO20)))</f>
        <v>#VALUE!</v>
      </c>
      <c r="N61" s="745" t="s">
        <v>296</v>
      </c>
      <c r="O61" s="749" t="s">
        <v>264</v>
      </c>
      <c r="P61" s="607"/>
      <c r="Q61" s="608"/>
      <c r="R61" s="589"/>
      <c r="S61" s="589"/>
      <c r="T61" s="601"/>
      <c r="U61" s="601"/>
      <c r="V61" s="601"/>
      <c r="W61" s="601"/>
      <c r="X61" s="601"/>
      <c r="Y61" s="601"/>
      <c r="Z61" s="601"/>
      <c r="AA61" s="601"/>
      <c r="AB61" s="601"/>
      <c r="AC61" s="575"/>
      <c r="AD61" s="575"/>
      <c r="AE61" s="575"/>
      <c r="AF61" s="575"/>
    </row>
    <row r="62" spans="2:42" hidden="1" x14ac:dyDescent="0.2">
      <c r="B62" s="575"/>
      <c r="C62" s="614"/>
      <c r="D62" s="614"/>
      <c r="E62" s="614"/>
      <c r="F62" s="614"/>
      <c r="G62" s="614"/>
      <c r="H62" s="597"/>
      <c r="I62" s="597"/>
      <c r="J62" s="602"/>
      <c r="K62" s="602"/>
      <c r="L62" s="792" t="s">
        <v>297</v>
      </c>
      <c r="M62" s="745" t="str">
        <f>IF(N18="","Input value to 1b",N18)</f>
        <v>Input Loan Payback Length in 1a.</v>
      </c>
      <c r="N62" s="745" t="str">
        <f>TRIM(AO29)</f>
        <v>1900</v>
      </c>
      <c r="O62" s="749" t="s">
        <v>298</v>
      </c>
      <c r="P62" s="607"/>
      <c r="Q62" s="608"/>
      <c r="R62" s="589"/>
      <c r="S62" s="589"/>
      <c r="T62" s="601"/>
      <c r="U62" s="601"/>
      <c r="V62" s="601"/>
      <c r="W62" s="601"/>
      <c r="X62" s="601"/>
      <c r="Y62" s="601"/>
      <c r="Z62" s="601"/>
      <c r="AA62" s="601"/>
      <c r="AB62" s="601"/>
      <c r="AC62" s="601"/>
      <c r="AD62" s="575"/>
      <c r="AE62" s="575"/>
      <c r="AF62" s="575"/>
    </row>
    <row r="63" spans="2:42" hidden="1" x14ac:dyDescent="0.2">
      <c r="B63" s="575"/>
      <c r="C63" s="614"/>
      <c r="D63" s="614"/>
      <c r="E63" s="614"/>
      <c r="F63" s="614"/>
      <c r="G63" s="614"/>
      <c r="H63" s="597"/>
      <c r="I63" s="597"/>
      <c r="J63" s="602"/>
      <c r="K63" s="602"/>
      <c r="L63" s="602"/>
      <c r="M63" s="745"/>
      <c r="N63" s="745" t="str">
        <f>TRIM(D49)</f>
        <v/>
      </c>
      <c r="O63" s="749" t="s">
        <v>299</v>
      </c>
      <c r="P63" s="607"/>
      <c r="Q63" s="608"/>
      <c r="R63" s="589"/>
      <c r="S63" s="589"/>
      <c r="T63" s="601"/>
      <c r="U63" s="601"/>
      <c r="V63" s="601"/>
      <c r="W63" s="601"/>
      <c r="X63" s="601"/>
      <c r="Y63" s="601"/>
      <c r="Z63" s="601"/>
      <c r="AA63" s="601"/>
      <c r="AB63" s="601"/>
      <c r="AC63" s="601"/>
      <c r="AD63" s="575"/>
      <c r="AE63" s="575"/>
      <c r="AF63" s="575"/>
    </row>
    <row r="64" spans="2:42" hidden="1" x14ac:dyDescent="0.2">
      <c r="B64" s="575"/>
      <c r="C64" s="835"/>
      <c r="D64" s="835"/>
      <c r="E64" s="835"/>
      <c r="F64" s="536"/>
      <c r="G64" s="615"/>
      <c r="H64" s="615"/>
      <c r="I64" s="615"/>
      <c r="J64" s="613"/>
      <c r="K64" s="616"/>
      <c r="L64" s="616"/>
      <c r="M64" s="791" t="str">
        <f>TRIM(N18)</f>
        <v>Input Loan Payback Length in 1a.</v>
      </c>
      <c r="N64" s="790">
        <v>0.01</v>
      </c>
      <c r="O64" s="749" t="s">
        <v>264</v>
      </c>
      <c r="P64" s="607"/>
      <c r="Q64" s="608"/>
      <c r="R64" s="589"/>
      <c r="S64" s="589"/>
      <c r="T64" s="601"/>
      <c r="U64" s="601"/>
      <c r="V64" s="601"/>
      <c r="W64" s="601"/>
      <c r="X64" s="601"/>
      <c r="Y64" s="601"/>
      <c r="Z64" s="601"/>
      <c r="AA64" s="601"/>
      <c r="AB64" s="601"/>
      <c r="AC64" s="601"/>
      <c r="AD64" s="575"/>
      <c r="AE64" s="575"/>
      <c r="AF64" s="575"/>
    </row>
    <row r="65" spans="2:32" hidden="1" x14ac:dyDescent="0.2">
      <c r="B65" s="575"/>
      <c r="C65" s="617"/>
      <c r="D65" s="617"/>
      <c r="E65" s="589"/>
      <c r="F65" s="589"/>
      <c r="G65" s="615"/>
      <c r="H65" s="615"/>
      <c r="I65" s="615"/>
      <c r="J65" s="613"/>
      <c r="K65" s="618"/>
      <c r="L65" s="618"/>
      <c r="M65" s="548"/>
      <c r="N65" s="548"/>
      <c r="O65" s="793" t="s">
        <v>300</v>
      </c>
      <c r="P65" s="620"/>
      <c r="Q65" s="608"/>
      <c r="R65" s="621"/>
      <c r="S65" s="621"/>
      <c r="T65" s="601"/>
      <c r="U65" s="601"/>
      <c r="V65" s="601"/>
      <c r="W65" s="601"/>
      <c r="X65" s="601"/>
      <c r="Y65" s="601"/>
      <c r="Z65" s="601"/>
      <c r="AA65" s="601"/>
      <c r="AB65" s="601"/>
      <c r="AC65" s="601"/>
      <c r="AD65" s="575"/>
      <c r="AE65" s="575"/>
      <c r="AF65" s="575"/>
    </row>
    <row r="66" spans="2:32" x14ac:dyDescent="0.2">
      <c r="B66" s="575"/>
      <c r="C66" s="617"/>
      <c r="D66" s="617"/>
      <c r="E66" s="589"/>
      <c r="F66" s="589"/>
      <c r="G66" s="615"/>
      <c r="H66" s="615"/>
      <c r="I66" s="615"/>
      <c r="J66" s="613"/>
      <c r="K66" s="618"/>
      <c r="L66" s="618"/>
      <c r="M66" s="549"/>
      <c r="N66" s="550">
        <f>MONTH(D54)</f>
        <v>1</v>
      </c>
      <c r="O66" s="619" t="s">
        <v>301</v>
      </c>
      <c r="P66" s="619"/>
      <c r="Q66" s="603"/>
      <c r="R66" s="622"/>
      <c r="S66" s="623"/>
      <c r="T66" s="601"/>
      <c r="U66" s="601"/>
      <c r="V66" s="601"/>
      <c r="W66" s="601"/>
      <c r="X66" s="601"/>
      <c r="Y66" s="601"/>
      <c r="Z66" s="601"/>
      <c r="AA66" s="601"/>
      <c r="AB66" s="601"/>
      <c r="AC66" s="601"/>
      <c r="AD66" s="575"/>
      <c r="AE66" s="575"/>
      <c r="AF66" s="575"/>
    </row>
    <row r="67" spans="2:32" ht="21.95" customHeight="1" x14ac:dyDescent="0.2">
      <c r="B67" s="575"/>
      <c r="C67" s="952" t="s">
        <v>302</v>
      </c>
      <c r="D67" s="952"/>
      <c r="E67" s="952" t="str">
        <f>IF(N15=1,"Please skip this Section 3 if the loan is being repaid in one year (1a).","")</f>
        <v/>
      </c>
      <c r="F67" s="952"/>
      <c r="G67" s="952"/>
      <c r="H67" s="952"/>
      <c r="I67" s="952"/>
      <c r="J67" s="952"/>
      <c r="K67" s="952"/>
      <c r="L67" s="952"/>
      <c r="M67" s="952"/>
      <c r="N67" s="733"/>
      <c r="O67" s="619"/>
      <c r="P67" s="619"/>
      <c r="Q67" s="603"/>
      <c r="R67" s="622"/>
      <c r="S67" s="623"/>
      <c r="T67" s="601"/>
      <c r="U67" s="601"/>
      <c r="V67" s="601"/>
      <c r="W67" s="601"/>
      <c r="X67" s="601"/>
      <c r="Y67" s="601"/>
      <c r="Z67" s="601"/>
      <c r="AA67" s="601"/>
      <c r="AB67" s="601"/>
      <c r="AC67" s="601"/>
      <c r="AD67" s="575"/>
      <c r="AE67" s="575"/>
      <c r="AF67" s="575"/>
    </row>
    <row r="68" spans="2:32" x14ac:dyDescent="0.2">
      <c r="B68" s="575"/>
      <c r="C68" s="617"/>
      <c r="D68" s="617"/>
      <c r="E68" s="589"/>
      <c r="F68" s="589"/>
      <c r="G68" s="615"/>
      <c r="H68" s="615"/>
      <c r="I68" s="615"/>
      <c r="J68" s="613"/>
      <c r="K68" s="618"/>
      <c r="L68" s="618"/>
      <c r="M68" s="549"/>
      <c r="N68" s="550"/>
      <c r="O68" s="619"/>
      <c r="P68" s="619"/>
      <c r="Q68" s="603"/>
      <c r="R68" s="622"/>
      <c r="S68" s="623"/>
      <c r="T68" s="601"/>
      <c r="U68" s="601"/>
      <c r="V68" s="601"/>
      <c r="W68" s="601"/>
      <c r="X68" s="601"/>
      <c r="Y68" s="601"/>
      <c r="Z68" s="601"/>
      <c r="AA68" s="601"/>
      <c r="AB68" s="601"/>
      <c r="AC68" s="601"/>
      <c r="AD68" s="575"/>
      <c r="AE68" s="575"/>
      <c r="AF68" s="575"/>
    </row>
    <row r="69" spans="2:32" ht="49.5" customHeight="1" x14ac:dyDescent="0.2">
      <c r="B69" s="575"/>
      <c r="C69" s="716" t="s">
        <v>303</v>
      </c>
      <c r="D69" s="717" t="s">
        <v>304</v>
      </c>
      <c r="E69" s="717" t="s">
        <v>305</v>
      </c>
      <c r="F69" s="718" t="s">
        <v>306</v>
      </c>
      <c r="G69" s="717" t="s">
        <v>307</v>
      </c>
      <c r="H69" s="717" t="s">
        <v>308</v>
      </c>
      <c r="I69" s="717" t="s">
        <v>309</v>
      </c>
      <c r="J69" s="717" t="s">
        <v>310</v>
      </c>
      <c r="K69" s="717" t="s">
        <v>311</v>
      </c>
      <c r="L69" s="719" t="s">
        <v>312</v>
      </c>
      <c r="M69" s="719" t="s">
        <v>313</v>
      </c>
      <c r="N69" s="719" t="s">
        <v>314</v>
      </c>
      <c r="O69" s="719" t="s">
        <v>315</v>
      </c>
      <c r="P69" s="720" t="s">
        <v>316</v>
      </c>
      <c r="Q69" s="720" t="s">
        <v>317</v>
      </c>
      <c r="R69" s="719" t="s">
        <v>318</v>
      </c>
      <c r="S69" s="719" t="s">
        <v>319</v>
      </c>
      <c r="T69" s="719" t="s">
        <v>320</v>
      </c>
      <c r="U69" s="717" t="s">
        <v>321</v>
      </c>
      <c r="V69" s="717" t="s">
        <v>322</v>
      </c>
      <c r="W69" s="718" t="s">
        <v>323</v>
      </c>
      <c r="X69" s="718" t="s">
        <v>324</v>
      </c>
      <c r="Y69" s="718" t="s">
        <v>325</v>
      </c>
      <c r="Z69" s="721" t="s">
        <v>326</v>
      </c>
      <c r="AA69" s="721" t="s">
        <v>327</v>
      </c>
      <c r="AB69" s="722" t="s">
        <v>328</v>
      </c>
      <c r="AC69" s="723" t="s">
        <v>329</v>
      </c>
      <c r="AD69" s="723" t="s">
        <v>330</v>
      </c>
      <c r="AE69" s="575"/>
      <c r="AF69" s="575"/>
    </row>
    <row r="70" spans="2:32" x14ac:dyDescent="0.2">
      <c r="B70" s="575"/>
      <c r="C70" s="552">
        <v>45593</v>
      </c>
      <c r="D70" s="553">
        <v>45716</v>
      </c>
      <c r="E70" s="554" t="str">
        <f>IF((LEFT(G70,4))=(LEFT(AO29,4)),"1",IF((LEFT(G70,4))&lt;(LEFT(AO29,4)),"N/A",IF((LEFT(G70,4))&gt;(LEFT(AO29,4)),"N/A",)))</f>
        <v>N/A</v>
      </c>
      <c r="F70" s="554" t="str">
        <f>IF(H70=AN27,"1",IF(H70&lt;AN27,"N/A",IF(H70&gt;AN27,"2")))</f>
        <v>2</v>
      </c>
      <c r="G70" s="555" t="s">
        <v>331</v>
      </c>
      <c r="H70" s="556" t="str">
        <f>LEFT(Table145242[[#This Row],[Payment Financial Year]],4)</f>
        <v>2024</v>
      </c>
      <c r="I70" s="556" t="str">
        <f>TRIM(Table145242[[#This Row],[Hide Column, First PY]])</f>
        <v>2024</v>
      </c>
      <c r="J70" s="557" t="str">
        <f>TRIM(AO16)</f>
        <v>1899</v>
      </c>
      <c r="K70" s="555" t="str">
        <f>IF(L32="Yes",N31,D49)</f>
        <v/>
      </c>
      <c r="L70" s="558" t="str">
        <f>IF(I70=$AO$26,$D$49,D49)</f>
        <v/>
      </c>
      <c r="M70" s="559" t="str">
        <f>IF(Table145242[[#This Row],[Hide Column]]&gt;AN27,IF(AND(W70&gt;=0.1,W70&lt;N18),N18,IF(I70&gt;=AO29,N18,"N/A")),0)</f>
        <v>Input Loan Payback Length in 1a.</v>
      </c>
      <c r="N70" s="558" t="e">
        <f>IF(Table145242[[#This Row],[Hide Column]]&lt;AN27,"",IF(Table145242[[#This Row],[Hide Column]]=AN27,G49,SUM(SUM(Table145242[[#This Row],[Beginning Capital Balance]]*D50))))</f>
        <v>#VALUE!</v>
      </c>
      <c r="O70" s="558" t="str">
        <f>IF(AB71="Capital Repayments Finished",Table145242[[#This Row],[Beginning Capital Balance]],IF(Table145242[[#This Row],[Hide Column]]&gt;=AO26,IFERROR((Table145242[[#This Row],[Minimum required repayment value (per annum)]]-Table145242[[#This Row],[Interest Payment]]),0),0))</f>
        <v/>
      </c>
      <c r="P70" s="560" t="str">
        <f>TRIM(Table145242[[#This Row],[Capital Repayment]])</f>
        <v/>
      </c>
      <c r="Q70" s="551"/>
      <c r="R70" s="558">
        <f>SUM(Table145242[[#This Row],[Capital Repayment]:[Early Capital Repayment]])</f>
        <v>0</v>
      </c>
      <c r="S70" s="558" t="e">
        <f>SUM(Table145242[[#This Row],[Interest Payment]:[Early Capital Repayment]])</f>
        <v>#VALUE!</v>
      </c>
      <c r="T70" s="559" t="str">
        <f>IF(Table145242[[#This Row],[Total Repayment (excludes interest payments)]]=0,Table145242[[#This Row],[Beginning Capital Balance]],L70-R70)</f>
        <v/>
      </c>
      <c r="U70" s="558">
        <f>Table145242[[#This Row],[Total Repayment (excludes interest payments)]]</f>
        <v>0</v>
      </c>
      <c r="V70" s="558" t="e">
        <f>Table145242[[#This Row],[Interest Payment]]</f>
        <v>#VALUE!</v>
      </c>
      <c r="W70" s="561" t="str">
        <f>N18</f>
        <v>Input Loan Payback Length in 1a.</v>
      </c>
      <c r="X70" s="561" t="str">
        <f>IF(Table145242[[#This Row],[hide - Ending Balance Test - shows what the final payment should be]]&lt;M62,Table145242[[#This Row],[hide - Ending Balance Test - shows what the final payment should be]],"")</f>
        <v/>
      </c>
      <c r="Y70" s="562" t="str">
        <f>TRIM(Table145242[[#This Row],[Cumulative Capital Payments]])</f>
        <v>0</v>
      </c>
      <c r="Z70" s="563" t="e">
        <f>IF(Table145242[[#This Row],[Ending Capital Balance]]=D49,Table145242[[#This Row],[Interest Payment]],0)</f>
        <v>#VALUE!</v>
      </c>
      <c r="AA70" s="563">
        <f>IFERROR(VALUE(Table145242[[#This Row],[Capital Repayment Payment Number]]), 0)</f>
        <v>0</v>
      </c>
      <c r="AB70" s="564" t="str">
        <f>"Capital Repayments Incomplete"</f>
        <v>Capital Repayments Incomplete</v>
      </c>
      <c r="AC70" s="565" t="e">
        <f>IF(Table145242[[#This Row],[Repayment Status]]="Capital Repayments Finished",0,Table145242[[#This Row],[Interest Payment]])</f>
        <v>#VALUE!</v>
      </c>
      <c r="AD70" s="571" t="str">
        <f>IFERROR(IF(Table145242[[#This Row],[Capital Repayment]]&lt;=0,0,IF(Table145242[[#This Row],[Repayment Status]]="Capital Repayments Finished",0,Table145242[[#This Row],[Capital Repayment]])),0)</f>
        <v/>
      </c>
      <c r="AE70" s="575"/>
      <c r="AF70" s="575"/>
    </row>
    <row r="71" spans="2:32" x14ac:dyDescent="0.2">
      <c r="B71" s="575"/>
      <c r="C71" s="566">
        <v>45717</v>
      </c>
      <c r="D71" s="567">
        <v>46081</v>
      </c>
      <c r="E71" s="554" t="str">
        <f>IFERROR(IF((LEFT(G71,4))=(LEFT(AO29,4)),"1",IF((LEFT(G71,4))&lt;(LEFT(AO29,4)),"N/A",IF((LEFT(G71,4))&gt;(LEFT(AO29,4)),E70+1,))),"")</f>
        <v/>
      </c>
      <c r="F71" s="554">
        <f>IF(H71=AN27,"1",IF(H71&lt;AN27,"N/A",IF(H71&gt;AN27,SUM(F70+1))))</f>
        <v>3</v>
      </c>
      <c r="G71" s="568" t="s">
        <v>332</v>
      </c>
      <c r="H71" s="556" t="str">
        <f>LEFT(Table145242[[#This Row],[Payment Financial Year]],4)</f>
        <v>2025</v>
      </c>
      <c r="I71" s="556" t="str">
        <f>TRIM(Table145242[[#This Row],[Hide Column, First PY]])</f>
        <v>2025</v>
      </c>
      <c r="J71" s="557" t="str">
        <f>TRIM(AO16)</f>
        <v>1899</v>
      </c>
      <c r="K71" s="555" t="str">
        <f>IF(L33="Yes",N31+N32,D49)</f>
        <v/>
      </c>
      <c r="L71" s="558" t="str">
        <f>IF(I71=$AO$26,$D$49,T70)</f>
        <v/>
      </c>
      <c r="M71" s="559" t="e">
        <f>IF(SUM(T70+Table145242[[#This Row],[Interest Payment]])&lt;N18,SUM(Table145242[[#This Row],[Beginning Capital Balance]]+Table145242[[#This Row],[Interest Payment]]),IF(Table145242[[#This Row],[Hide Column]]&gt;AN27,IF(AND(W71&gt;=0.1,W71&lt;N18),N18,IF(I71&gt;=AO29,N18,0)),0))</f>
        <v>#VALUE!</v>
      </c>
      <c r="N71" s="558" t="e">
        <f>IF(Table145242[[#This Row],[Hide Column]]&lt;AN27,"",IF(Table145242[[#This Row],[Hide Column]]=AN27,G49,IF(L32="Yes",AQ20,SUM(SUM(Table145242[[#This Row],[Beginning Capital Balance]]*D50)))))</f>
        <v>#VALUE!</v>
      </c>
      <c r="O71" s="558" t="str">
        <f>IF(AB72="Capital Repayments Finished",Table145242[[#This Row],[Beginning Capital Balance]],IF(Table145242[[#This Row],[Hide Column]]&gt;=AO26,IFERROR((Table145242[[#This Row],[Minimum required repayment value (per annum)]]-Table145242[[#This Row],[Interest Payment]]),0),0))</f>
        <v/>
      </c>
      <c r="P71" s="560" t="str">
        <f>TRIM(Table145242[[#This Row],[Capital Repayment]])</f>
        <v/>
      </c>
      <c r="Q71" s="551"/>
      <c r="R71" s="558">
        <f>SUM(Table145242[[#This Row],[Capital Repayment]:[Early Capital Repayment]])</f>
        <v>0</v>
      </c>
      <c r="S71" s="558" t="e">
        <f>SUM(Table145242[[#This Row],[Interest Payment]:[Early Capital Repayment]])</f>
        <v>#VALUE!</v>
      </c>
      <c r="T71" s="559" t="str">
        <f>IF(Table145242[[#This Row],[Total Repayment (excludes interest payments)]]=0,Table145242[[#This Row],[Beginning Capital Balance]],L71-R71)</f>
        <v/>
      </c>
      <c r="U71" s="558">
        <f>U70+Table145242[[#This Row],[Total Repayment (excludes interest payments)]]</f>
        <v>0</v>
      </c>
      <c r="V71" s="558" t="e">
        <f>V70+Table145242[[#This Row],[Interest Payment]]</f>
        <v>#VALUE!</v>
      </c>
      <c r="W71" s="561" t="str">
        <f>IF(N18="","",IF(M62&gt;T70,T70,M62))</f>
        <v/>
      </c>
      <c r="X71" s="561" t="str">
        <f>IF(Table145242[[#This Row],[hide - Ending Balance Test - shows what the final payment should be]]&lt;M62,Table145242[[#This Row],[hide - Ending Balance Test - shows what the final payment should be]],"")</f>
        <v/>
      </c>
      <c r="Y71" s="562" t="str">
        <f>TRIM(Table145242[[#This Row],[Cumulative Capital Payments]])</f>
        <v>0</v>
      </c>
      <c r="Z71" s="563" t="e">
        <f>IF(Table145242[[#This Row],[Ending Capital Balance]]=D49,Table145242[[#This Row],[Interest Payment]],0)</f>
        <v>#VALUE!</v>
      </c>
      <c r="AA71" s="563">
        <f>IFERROR(VALUE(Table145242[[#This Row],[Capital Repayment Payment Number]]), 0)</f>
        <v>0</v>
      </c>
      <c r="AB71" s="564" t="str">
        <f t="shared" ref="AB71:AB86" si="0">IF(OR(L70&lt;=$N$18,AB70="Capital Repayments Finished"),"Capital Repayments Finished","Capital Repayments Incomplete")</f>
        <v>Capital Repayments Finished</v>
      </c>
      <c r="AC71" s="569">
        <f>IF(Table145242[[#This Row],[Repayment Status]]="Capital Repayments Finished",0,Table145242[[#This Row],[Interest Payment]])</f>
        <v>0</v>
      </c>
      <c r="AD71" s="569">
        <f>IFERROR(IF(Table145242[[#This Row],[Capital Repayment]]&lt;=0,0,IF(Table145242[[#This Row],[Repayment Status]]="Capital Repayments Finished",0,Table145242[[#This Row],[Capital Repayment]])),0)</f>
        <v>0</v>
      </c>
      <c r="AE71" s="575"/>
      <c r="AF71" s="575"/>
    </row>
    <row r="72" spans="2:32" x14ac:dyDescent="0.2">
      <c r="B72" s="575"/>
      <c r="C72" s="570">
        <v>46082</v>
      </c>
      <c r="D72" s="553">
        <v>46446</v>
      </c>
      <c r="E72" s="554" t="str">
        <f>IFERROR(IF((LEFT(G72,4))=(LEFT(AO29,4)),"1",IF((LEFT(G72,4))&lt;(LEFT(AO29,4)),"N/A",IF((LEFT(G72,4))&gt;(LEFT(AO29,4)),E71+1,))),"")</f>
        <v/>
      </c>
      <c r="F72" s="554">
        <f>IF(H72=AN27,"1",IF(H72&lt;AN27,"N/A",IF(H72&gt;AN27,SUM(F71+1))))</f>
        <v>4</v>
      </c>
      <c r="G72" s="555" t="s">
        <v>333</v>
      </c>
      <c r="H72" s="556" t="str">
        <f>LEFT(Table145242[[#This Row],[Payment Financial Year]],4)</f>
        <v>2026</v>
      </c>
      <c r="I72" s="556" t="str">
        <f>TRIM(Table145242[[#This Row],[Hide Column, First PY]])</f>
        <v>2026</v>
      </c>
      <c r="J72" s="557" t="str">
        <f>TRIM(AO16)</f>
        <v>1899</v>
      </c>
      <c r="K72" s="555" t="str">
        <f>D49</f>
        <v/>
      </c>
      <c r="L72" s="558" t="str">
        <f>IF(I72=$AO$26,$D$49,T71)</f>
        <v/>
      </c>
      <c r="M72" s="559" t="e">
        <f>IF(SUM(T71+Table145242[[#This Row],[Interest Payment]])&lt;N18,SUM(Table145242[[#This Row],[Beginning Capital Balance]]+Table145242[[#This Row],[Interest Payment]]),IF(Table145242[[#This Row],[Hide Column]]&gt;AN27,IF(AND(W72&gt;=0.1,W72&lt;N18),N18,IF(I72&gt;=AO29,N18,0)),0))</f>
        <v>#VALUE!</v>
      </c>
      <c r="N72" s="558" t="e">
        <f>IF(Table145242[[#This Row],[Hide Column]]&lt;AN27,"",IF(Table145242[[#This Row],[Hide Column]]=AN27,G49,IF(L33="Yes",AS20,SUM(SUM(Table145242[[#This Row],[Beginning Capital Balance]]*D50)))))</f>
        <v>#VALUE!</v>
      </c>
      <c r="O72" s="558" t="str">
        <f>IF(AB73="Capital Repayments Finished",Table145242[[#This Row],[Beginning Capital Balance]],IF(Table145242[[#This Row],[Hide Column]]&gt;=AO26,IFERROR((Table145242[[#This Row],[Minimum required repayment value (per annum)]]-Table145242[[#This Row],[Interest Payment]]),0),0))</f>
        <v/>
      </c>
      <c r="P72" s="560" t="str">
        <f>TRIM(Table145242[[#This Row],[Capital Repayment]])</f>
        <v/>
      </c>
      <c r="Q72" s="551"/>
      <c r="R72" s="558">
        <f>SUM(Table145242[[#This Row],[Capital Repayment]:[Early Capital Repayment]])</f>
        <v>0</v>
      </c>
      <c r="S72" s="558" t="e">
        <f>SUM(Table145242[[#This Row],[Interest Payment]:[Early Capital Repayment]])</f>
        <v>#VALUE!</v>
      </c>
      <c r="T72" s="559" t="str">
        <f>IF(Table145242[[#This Row],[Total Repayment (excludes interest payments)]]=0,Table145242[[#This Row],[Beginning Capital Balance]],L72-R72)</f>
        <v/>
      </c>
      <c r="U72" s="558">
        <f>U71+Table145242[[#This Row],[Total Repayment (excludes interest payments)]]</f>
        <v>0</v>
      </c>
      <c r="V72" s="558" t="e">
        <f>V71+Table145242[[#This Row],[Interest Payment]]</f>
        <v>#VALUE!</v>
      </c>
      <c r="W72" s="561" t="str">
        <f>IF(N18="","",IF(M62&gt;T71,T71,M62))</f>
        <v/>
      </c>
      <c r="X72" s="561" t="str">
        <f>IF(Table145242[[#This Row],[hide - Ending Balance Test - shows what the final payment should be]]&lt;M62,Table145242[[#This Row],[hide - Ending Balance Test - shows what the final payment should be]],"")</f>
        <v/>
      </c>
      <c r="Y72" s="562" t="str">
        <f>TRIM(Table145242[[#This Row],[Cumulative Capital Payments]])</f>
        <v>0</v>
      </c>
      <c r="Z72" s="563" t="e">
        <f>IF(Table145242[[#This Row],[Ending Capital Balance]]=D49,Table145242[[#This Row],[Interest Payment]],0)</f>
        <v>#VALUE!</v>
      </c>
      <c r="AA72" s="563">
        <f>IFERROR(VALUE(Table145242[[#This Row],[Capital Repayment Payment Number]]), 0)</f>
        <v>0</v>
      </c>
      <c r="AB72" s="564" t="str">
        <f t="shared" si="0"/>
        <v>Capital Repayments Finished</v>
      </c>
      <c r="AC72" s="569">
        <f>IF(Table145242[[#This Row],[Repayment Status]]="Capital Repayments Finished",0,Table145242[[#This Row],[Interest Payment]])</f>
        <v>0</v>
      </c>
      <c r="AD72" s="569">
        <f>IFERROR(IF(Table145242[[#This Row],[Capital Repayment]]&lt;=0,0,IF(Table145242[[#This Row],[Repayment Status]]="Capital Repayments Finished",0,Table145242[[#This Row],[Capital Repayment]])),0)</f>
        <v>0</v>
      </c>
      <c r="AE72" s="575"/>
      <c r="AF72" s="575"/>
    </row>
    <row r="73" spans="2:32" x14ac:dyDescent="0.2">
      <c r="B73" s="575"/>
      <c r="C73" s="566">
        <v>46447</v>
      </c>
      <c r="D73" s="567">
        <v>46811</v>
      </c>
      <c r="E73" s="554" t="str">
        <f>IFERROR(IF((LEFT(G73,4))=(LEFT(AO29,4)),"1",IF((LEFT(G73,4))&lt;(LEFT(AO29,4)),"N/A",IF((LEFT(G73,4))&gt;(LEFT(AO29,4)),E72+1,))),"")</f>
        <v/>
      </c>
      <c r="F73" s="554">
        <f>IF(H73=AN27,"1",IF(H73&lt;AN27,"N/A",IF(H73&gt;AN27,SUM(F72+1))))</f>
        <v>5</v>
      </c>
      <c r="G73" s="568" t="s">
        <v>334</v>
      </c>
      <c r="H73" s="556" t="str">
        <f>LEFT(Table145242[[#This Row],[Payment Financial Year]],4)</f>
        <v>2027</v>
      </c>
      <c r="I73" s="556" t="str">
        <f>TRIM(Table145242[[#This Row],[Hide Column, First PY]])</f>
        <v>2027</v>
      </c>
      <c r="J73" s="557" t="str">
        <f>TRIM(AO16)</f>
        <v>1899</v>
      </c>
      <c r="K73" s="555" t="str">
        <f>D49</f>
        <v/>
      </c>
      <c r="L73" s="558" t="str">
        <f>T72</f>
        <v/>
      </c>
      <c r="M73" s="559" t="e">
        <f>IF(SUM(T72+Table145242[[#This Row],[Interest Payment]])&lt;N18,SUM(Table145242[[#This Row],[Beginning Capital Balance]]+Table145242[[#This Row],[Interest Payment]]),IF(Table145242[[#This Row],[Hide Column]]&gt;AN27,IF(AND(W73&gt;=0.1,W73&lt;N18),N18,IF(I73&gt;=AO29,N18,0)),0))</f>
        <v>#VALUE!</v>
      </c>
      <c r="N73" s="558" t="e">
        <f>IF(Table145242[[#This Row],[Hide Column]]&lt;AN27,"",IF(Table145242[[#This Row],[Hide Column]]=AN27,G49,SUM(SUM(Table145242[[#This Row],[Beginning Capital Balance]]*D50))))</f>
        <v>#VALUE!</v>
      </c>
      <c r="O73" s="558" t="str">
        <f>IF(AB74="Capital Repayments Finished",Table145242[[#This Row],[Beginning Capital Balance]],IF(Table145242[[#This Row],[Hide Column]]&gt;=AO26,IFERROR((Table145242[[#This Row],[Minimum required repayment value (per annum)]]-Table145242[[#This Row],[Interest Payment]]),0),0))</f>
        <v/>
      </c>
      <c r="P73" s="560" t="str">
        <f>TRIM(Table145242[[#This Row],[Capital Repayment]])</f>
        <v/>
      </c>
      <c r="Q73" s="551"/>
      <c r="R73" s="558">
        <f>SUM(Table145242[[#This Row],[Capital Repayment]:[Early Capital Repayment]])</f>
        <v>0</v>
      </c>
      <c r="S73" s="558" t="e">
        <f>SUM(Table145242[[#This Row],[Interest Payment]:[Early Capital Repayment]])</f>
        <v>#VALUE!</v>
      </c>
      <c r="T73" s="559" t="str">
        <f>IF(Table145242[[#This Row],[Total Repayment (excludes interest payments)]]=0,Table145242[[#This Row],[Beginning Capital Balance]],L73-R73)</f>
        <v/>
      </c>
      <c r="U73" s="558">
        <f>U72+Table145242[[#This Row],[Total Repayment (excludes interest payments)]]</f>
        <v>0</v>
      </c>
      <c r="V73" s="558" t="e">
        <f>V72+Table145242[[#This Row],[Interest Payment]]</f>
        <v>#VALUE!</v>
      </c>
      <c r="W73" s="561" t="str">
        <f>IF(N18="","",IF(M62&gt;T72,T72,M62))</f>
        <v/>
      </c>
      <c r="X73" s="561" t="str">
        <f>IF(Table145242[[#This Row],[hide - Ending Balance Test - shows what the final payment should be]]&lt;M62,Table145242[[#This Row],[hide - Ending Balance Test - shows what the final payment should be]],"")</f>
        <v/>
      </c>
      <c r="Y73" s="562" t="str">
        <f>TRIM(Table145242[[#This Row],[Cumulative Capital Payments]])</f>
        <v>0</v>
      </c>
      <c r="Z73" s="563" t="e">
        <f>IF(Table145242[[#This Row],[Ending Capital Balance]]=D49,Table145242[[#This Row],[Interest Payment]],0)</f>
        <v>#VALUE!</v>
      </c>
      <c r="AA73" s="563">
        <f>IFERROR(VALUE(Table145242[[#This Row],[Capital Repayment Payment Number]]), 0)</f>
        <v>0</v>
      </c>
      <c r="AB73" s="564" t="str">
        <f t="shared" si="0"/>
        <v>Capital Repayments Finished</v>
      </c>
      <c r="AC73" s="569">
        <f>IF(Table145242[[#This Row],[Repayment Status]]="Capital Repayments Finished",0,Table145242[[#This Row],[Interest Payment]])</f>
        <v>0</v>
      </c>
      <c r="AD73" s="569">
        <f>IFERROR(IF(Table145242[[#This Row],[Capital Repayment]]&lt;=0,0,IF(Table145242[[#This Row],[Repayment Status]]="Capital Repayments Finished",0,Table145242[[#This Row],[Capital Repayment]])),0)</f>
        <v>0</v>
      </c>
      <c r="AE73" s="575"/>
      <c r="AF73" s="575"/>
    </row>
    <row r="74" spans="2:32" x14ac:dyDescent="0.2">
      <c r="B74" s="575"/>
      <c r="C74" s="570">
        <v>46813</v>
      </c>
      <c r="D74" s="553">
        <v>47177</v>
      </c>
      <c r="E74" s="554" t="str">
        <f>IFERROR(IF((LEFT(G74,4))=(LEFT(AO29,4)),"1",IF((LEFT(G74,4))&lt;(LEFT(AO29,4)),"N/A",IF((LEFT(G74,4))&gt;(LEFT(AO29,4)),E73+1,))),"")</f>
        <v/>
      </c>
      <c r="F74" s="554">
        <f>IF(H74=AN27,"1",IF(H74&lt;AN27,"N/A",IF(H74&gt;AN27,SUM(F73+1))))</f>
        <v>6</v>
      </c>
      <c r="G74" s="555" t="s">
        <v>335</v>
      </c>
      <c r="H74" s="556" t="str">
        <f>LEFT(Table145242[[#This Row],[Payment Financial Year]],4)</f>
        <v>2028</v>
      </c>
      <c r="I74" s="556" t="str">
        <f>TRIM(Table145242[[#This Row],[Hide Column, First PY]])</f>
        <v>2028</v>
      </c>
      <c r="J74" s="557" t="str">
        <f>TRIM(AO16)</f>
        <v>1899</v>
      </c>
      <c r="K74" s="555" t="str">
        <f>D49</f>
        <v/>
      </c>
      <c r="L74" s="558" t="str">
        <f t="shared" ref="L74:L93" si="1">T73</f>
        <v/>
      </c>
      <c r="M74" s="559" t="e">
        <f>IF(SUM(T73+Table145242[[#This Row],[Interest Payment]])&lt;N18,SUM(Table145242[[#This Row],[Beginning Capital Balance]]+Table145242[[#This Row],[Interest Payment]]),IF(Table145242[[#This Row],[Hide Column]]&gt;AN27,IF(AND(W74&gt;=0.1,W74&lt;N18),N18,IF(I74&gt;=AO29,N18,0)),0))</f>
        <v>#VALUE!</v>
      </c>
      <c r="N74" s="558" t="e">
        <f>IF(Table145242[[#This Row],[Hide Column]]&lt;AN27,"",IF(Table145242[[#This Row],[Hide Column]]=AN27,G49,SUM(SUM(Table145242[[#This Row],[Beginning Capital Balance]]*D50))))</f>
        <v>#VALUE!</v>
      </c>
      <c r="O74" s="558" t="str">
        <f>IF(AB75="Capital Repayments Finished",Table145242[[#This Row],[Beginning Capital Balance]],IF(Table145242[[#This Row],[Hide Column]]&gt;=AO26,IFERROR((Table145242[[#This Row],[Minimum required repayment value (per annum)]]-Table145242[[#This Row],[Interest Payment]]),0),0))</f>
        <v/>
      </c>
      <c r="P74" s="560" t="str">
        <f>TRIM(Table145242[[#This Row],[Capital Repayment]])</f>
        <v/>
      </c>
      <c r="Q74" s="551"/>
      <c r="R74" s="558">
        <f>SUM(Table145242[[#This Row],[Capital Repayment]:[Early Capital Repayment]])</f>
        <v>0</v>
      </c>
      <c r="S74" s="558" t="e">
        <f>SUM(Table145242[[#This Row],[Interest Payment]:[Early Capital Repayment]])</f>
        <v>#VALUE!</v>
      </c>
      <c r="T74" s="559" t="str">
        <f>IF(Table145242[[#This Row],[Total Repayment (excludes interest payments)]]=0,Table145242[[#This Row],[Beginning Capital Balance]],L74-R74)</f>
        <v/>
      </c>
      <c r="U74" s="558">
        <f>U73+Table145242[[#This Row],[Total Repayment (excludes interest payments)]]</f>
        <v>0</v>
      </c>
      <c r="V74" s="558" t="e">
        <f>V73+Table145242[[#This Row],[Interest Payment]]</f>
        <v>#VALUE!</v>
      </c>
      <c r="W74" s="561" t="str">
        <f>IF(N18="","",IF(M62&gt;T73,T73,M62))</f>
        <v/>
      </c>
      <c r="X74" s="561" t="str">
        <f>IF(Table145242[[#This Row],[hide - Ending Balance Test - shows what the final payment should be]]&lt;M62,Table145242[[#This Row],[hide - Ending Balance Test - shows what the final payment should be]],"")</f>
        <v/>
      </c>
      <c r="Y74" s="562" t="str">
        <f>TRIM(Table145242[[#This Row],[Cumulative Capital Payments]])</f>
        <v>0</v>
      </c>
      <c r="Z74" s="563" t="e">
        <f>IF(Table145242[[#This Row],[Ending Capital Balance]]=D49,Table145242[[#This Row],[Interest Payment]],0)</f>
        <v>#VALUE!</v>
      </c>
      <c r="AA74" s="563">
        <f>IFERROR(VALUE(Table145242[[#This Row],[Capital Repayment Payment Number]]), 0)</f>
        <v>0</v>
      </c>
      <c r="AB74" s="564" t="str">
        <f t="shared" si="0"/>
        <v>Capital Repayments Finished</v>
      </c>
      <c r="AC74" s="569">
        <f>IF(Table145242[[#This Row],[Repayment Status]]="Capital Repayments Finished",0,Table145242[[#This Row],[Interest Payment]])</f>
        <v>0</v>
      </c>
      <c r="AD74" s="569">
        <f>IFERROR(IF(Table145242[[#This Row],[Capital Repayment]]&lt;=0,0,IF(Table145242[[#This Row],[Repayment Status]]="Capital Repayments Finished",0,Table145242[[#This Row],[Capital Repayment]])),0)</f>
        <v>0</v>
      </c>
      <c r="AE74" s="575"/>
      <c r="AF74" s="575"/>
    </row>
    <row r="75" spans="2:32" x14ac:dyDescent="0.2">
      <c r="B75" s="575"/>
      <c r="C75" s="566">
        <v>47178</v>
      </c>
      <c r="D75" s="567">
        <v>47542</v>
      </c>
      <c r="E75" s="554" t="str">
        <f>IFERROR(IF((LEFT(G75,4))=(LEFT(AO29,4)),"1",IF((LEFT(G75,4))&lt;(LEFT(AO29,4)),"N/A",IF((LEFT(G75,4))&gt;(LEFT(AO29,4)),E74+1,))),"")</f>
        <v/>
      </c>
      <c r="F75" s="554">
        <f>IF(H75=AN27,"1",IF(H75&lt;AN27,"N/A",IF(H75&gt;AN27,SUM(F74+1))))</f>
        <v>7</v>
      </c>
      <c r="G75" s="568" t="s">
        <v>336</v>
      </c>
      <c r="H75" s="556" t="str">
        <f>LEFT(Table145242[[#This Row],[Payment Financial Year]],4)</f>
        <v>2029</v>
      </c>
      <c r="I75" s="556" t="str">
        <f>TRIM(Table145242[[#This Row],[Hide Column, First PY]])</f>
        <v>2029</v>
      </c>
      <c r="J75" s="557" t="str">
        <f>TRIM(AO16)</f>
        <v>1899</v>
      </c>
      <c r="K75" s="555" t="str">
        <f>D49</f>
        <v/>
      </c>
      <c r="L75" s="558" t="str">
        <f t="shared" si="1"/>
        <v/>
      </c>
      <c r="M75" s="559" t="e">
        <f>IF(SUM(T74+Table145242[[#This Row],[Interest Payment]])&lt;N18,SUM(Table145242[[#This Row],[Beginning Capital Balance]]+Table145242[[#This Row],[Interest Payment]]),IF(Table145242[[#This Row],[Hide Column]]&gt;AN27,IF(AND(W75&gt;=0.1,W75&lt;N18),N18,IF(I75&gt;=AO29,N18,0)),0))</f>
        <v>#VALUE!</v>
      </c>
      <c r="N75" s="558" t="e">
        <f>IF(Table145242[[#This Row],[Hide Column]]&lt;AN27,"",IF(Table145242[[#This Row],[Hide Column]]=AN27,G49,SUM(SUM(Table145242[[#This Row],[Beginning Capital Balance]]*D50))))</f>
        <v>#VALUE!</v>
      </c>
      <c r="O75" s="558" t="str">
        <f>IF(AB76="Capital Repayments Finished",Table145242[[#This Row],[Beginning Capital Balance]],IF(Table145242[[#This Row],[Hide Column]]&gt;=AO26,IFERROR((Table145242[[#This Row],[Minimum required repayment value (per annum)]]-Table145242[[#This Row],[Interest Payment]]),0),0))</f>
        <v/>
      </c>
      <c r="P75" s="560" t="str">
        <f>TRIM(Table145242[[#This Row],[Capital Repayment]])</f>
        <v/>
      </c>
      <c r="Q75" s="551"/>
      <c r="R75" s="558">
        <f>SUM(Table145242[[#This Row],[Capital Repayment]:[Early Capital Repayment]])</f>
        <v>0</v>
      </c>
      <c r="S75" s="558" t="e">
        <f>SUM(Table145242[[#This Row],[Interest Payment]:[Early Capital Repayment]])</f>
        <v>#VALUE!</v>
      </c>
      <c r="T75" s="559" t="str">
        <f>IF(Table145242[[#This Row],[Total Repayment (excludes interest payments)]]=0,Table145242[[#This Row],[Beginning Capital Balance]],L75-R75)</f>
        <v/>
      </c>
      <c r="U75" s="558">
        <f>U74+Table145242[[#This Row],[Total Repayment (excludes interest payments)]]</f>
        <v>0</v>
      </c>
      <c r="V75" s="558" t="e">
        <f>V74+Table145242[[#This Row],[Interest Payment]]</f>
        <v>#VALUE!</v>
      </c>
      <c r="W75" s="561" t="str">
        <f>IF(N18="","",IF(M62&gt;T74,T74,M62))</f>
        <v/>
      </c>
      <c r="X75" s="561" t="str">
        <f>IF(Table145242[[#This Row],[hide - Ending Balance Test - shows what the final payment should be]]&lt;M62,Table145242[[#This Row],[hide - Ending Balance Test - shows what the final payment should be]],"")</f>
        <v/>
      </c>
      <c r="Y75" s="562" t="str">
        <f>TRIM(Table145242[[#This Row],[Cumulative Capital Payments]])</f>
        <v>0</v>
      </c>
      <c r="Z75" s="563" t="e">
        <f>IF(Table145242[[#This Row],[Ending Capital Balance]]=D49,Table145242[[#This Row],[Interest Payment]],0)</f>
        <v>#VALUE!</v>
      </c>
      <c r="AA75" s="563">
        <f>IFERROR(VALUE(Table145242[[#This Row],[Capital Repayment Payment Number]]), 0)</f>
        <v>0</v>
      </c>
      <c r="AB75" s="564" t="str">
        <f t="shared" si="0"/>
        <v>Capital Repayments Finished</v>
      </c>
      <c r="AC75" s="569">
        <f>IF(Table145242[[#This Row],[Repayment Status]]="Capital Repayments Finished",0,Table145242[[#This Row],[Interest Payment]])</f>
        <v>0</v>
      </c>
      <c r="AD75" s="569">
        <f>IFERROR(IF(Table145242[[#This Row],[Capital Repayment]]&lt;=0,0,IF(Table145242[[#This Row],[Repayment Status]]="Capital Repayments Finished",0,Table145242[[#This Row],[Capital Repayment]])),0)</f>
        <v>0</v>
      </c>
      <c r="AE75" s="575"/>
      <c r="AF75" s="575"/>
    </row>
    <row r="76" spans="2:32" x14ac:dyDescent="0.2">
      <c r="B76" s="575"/>
      <c r="C76" s="570">
        <v>47543</v>
      </c>
      <c r="D76" s="553">
        <v>47907</v>
      </c>
      <c r="E76" s="554" t="str">
        <f>IFERROR(IF((LEFT(G76,4))=(LEFT(AO29,4)),"1",IF((LEFT(G76,4))&lt;(LEFT(AO29,4)),"N/A",IF((LEFT(G76,4))&gt;(LEFT(AO29,4)),E75+1,))),"")</f>
        <v/>
      </c>
      <c r="F76" s="554">
        <f>IF(H76=AN27,"1",IF(H76&lt;AN27,"N/A",IF(H76&gt;AN27,SUM(F75+1))))</f>
        <v>8</v>
      </c>
      <c r="G76" s="555" t="s">
        <v>337</v>
      </c>
      <c r="H76" s="556" t="str">
        <f>LEFT(Table145242[[#This Row],[Payment Financial Year]],4)</f>
        <v>2030</v>
      </c>
      <c r="I76" s="556" t="str">
        <f>TRIM(Table145242[[#This Row],[Hide Column, First PY]])</f>
        <v>2030</v>
      </c>
      <c r="J76" s="557" t="str">
        <f>TRIM(AO16)</f>
        <v>1899</v>
      </c>
      <c r="K76" s="555" t="str">
        <f>D49</f>
        <v/>
      </c>
      <c r="L76" s="558" t="str">
        <f t="shared" si="1"/>
        <v/>
      </c>
      <c r="M76" s="559" t="e">
        <f>IF(SUM(T75+Table145242[[#This Row],[Interest Payment]])&lt;N18,SUM(Table145242[[#This Row],[Beginning Capital Balance]]+Table145242[[#This Row],[Interest Payment]]),IF(Table145242[[#This Row],[Hide Column]]&gt;AN27,IF(AND(W76&gt;=0.1,W76&lt;N18),N18,IF(I76&gt;=AO29,N18,0)),0))</f>
        <v>#VALUE!</v>
      </c>
      <c r="N76" s="558" t="e">
        <f>IF(Table145242[[#This Row],[Hide Column]]&lt;AN27,"",IF(Table145242[[#This Row],[Hide Column]]=AN27,G49,SUM(SUM(Table145242[[#This Row],[Beginning Capital Balance]]*D50))))</f>
        <v>#VALUE!</v>
      </c>
      <c r="O76" s="558" t="str">
        <f>IF(AB77="Capital Repayments Finished",Table145242[[#This Row],[Beginning Capital Balance]],IF(Table145242[[#This Row],[Hide Column]]&gt;=AO26,IFERROR((Table145242[[#This Row],[Minimum required repayment value (per annum)]]-Table145242[[#This Row],[Interest Payment]]),0),0))</f>
        <v/>
      </c>
      <c r="P76" s="560" t="str">
        <f>TRIM(Table145242[[#This Row],[Capital Repayment]])</f>
        <v/>
      </c>
      <c r="Q76" s="551"/>
      <c r="R76" s="558">
        <f>SUM(Table145242[[#This Row],[Capital Repayment]:[Early Capital Repayment]])</f>
        <v>0</v>
      </c>
      <c r="S76" s="558" t="e">
        <f>SUM(Table145242[[#This Row],[Interest Payment]:[Early Capital Repayment]])</f>
        <v>#VALUE!</v>
      </c>
      <c r="T76" s="559" t="str">
        <f>IF(Table145242[[#This Row],[Total Repayment (excludes interest payments)]]=0,Table145242[[#This Row],[Beginning Capital Balance]],L76-R76)</f>
        <v/>
      </c>
      <c r="U76" s="558">
        <f>U75+Table145242[[#This Row],[Total Repayment (excludes interest payments)]]</f>
        <v>0</v>
      </c>
      <c r="V76" s="558" t="e">
        <f>V75+Table145242[[#This Row],[Interest Payment]]</f>
        <v>#VALUE!</v>
      </c>
      <c r="W76" s="561" t="str">
        <f>IF(N18="","",IF(M62&gt;T75,T75,M62))</f>
        <v/>
      </c>
      <c r="X76" s="561" t="str">
        <f>IF(Table145242[[#This Row],[hide - Ending Balance Test - shows what the final payment should be]]&lt;M62,Table145242[[#This Row],[hide - Ending Balance Test - shows what the final payment should be]],"")</f>
        <v/>
      </c>
      <c r="Y76" s="562" t="str">
        <f>TRIM(Table145242[[#This Row],[Cumulative Capital Payments]])</f>
        <v>0</v>
      </c>
      <c r="Z76" s="563" t="e">
        <f>IF(Table145242[[#This Row],[Ending Capital Balance]]=D49,Table145242[[#This Row],[Interest Payment]],0)</f>
        <v>#VALUE!</v>
      </c>
      <c r="AA76" s="563">
        <f>IFERROR(VALUE(Table145242[[#This Row],[Capital Repayment Payment Number]]), 0)</f>
        <v>0</v>
      </c>
      <c r="AB76" s="564" t="str">
        <f t="shared" si="0"/>
        <v>Capital Repayments Finished</v>
      </c>
      <c r="AC76" s="569">
        <f>IF(Table145242[[#This Row],[Repayment Status]]="Capital Repayments Finished",0,Table145242[[#This Row],[Interest Payment]])</f>
        <v>0</v>
      </c>
      <c r="AD76" s="569">
        <f>IFERROR(IF(Table145242[[#This Row],[Capital Repayment]]&lt;=0,0,IF(Table145242[[#This Row],[Repayment Status]]="Capital Repayments Finished",0,Table145242[[#This Row],[Capital Repayment]])),0)</f>
        <v>0</v>
      </c>
      <c r="AE76" s="575"/>
      <c r="AF76" s="575"/>
    </row>
    <row r="77" spans="2:32" x14ac:dyDescent="0.2">
      <c r="B77" s="575"/>
      <c r="C77" s="566">
        <v>47908</v>
      </c>
      <c r="D77" s="567">
        <v>48272</v>
      </c>
      <c r="E77" s="554" t="str">
        <f>IFERROR(IF((LEFT(G77,4))=(LEFT(AO29,4)),"1",IF((LEFT(G77,4))&lt;(LEFT(AO29,4)),"N/A",IF((LEFT(G77,4))&gt;(LEFT(AO29,4)),E76+1,))),"")</f>
        <v/>
      </c>
      <c r="F77" s="554">
        <f>IF(H77=AN27,"1",IF(H77&lt;AN27,"N/A",IF(H77&gt;AN27,SUM(F76+1))))</f>
        <v>9</v>
      </c>
      <c r="G77" s="568" t="s">
        <v>338</v>
      </c>
      <c r="H77" s="556" t="str">
        <f>LEFT(Table145242[[#This Row],[Payment Financial Year]],4)</f>
        <v>2031</v>
      </c>
      <c r="I77" s="556" t="str">
        <f>TRIM(Table145242[[#This Row],[Hide Column, First PY]])</f>
        <v>2031</v>
      </c>
      <c r="J77" s="557" t="str">
        <f>TRIM(AO16)</f>
        <v>1899</v>
      </c>
      <c r="K77" s="555" t="str">
        <f>D49</f>
        <v/>
      </c>
      <c r="L77" s="558" t="str">
        <f t="shared" si="1"/>
        <v/>
      </c>
      <c r="M77" s="559" t="e">
        <f>IF(SUM(T76+Table145242[[#This Row],[Interest Payment]])&lt;N18,SUM(Table145242[[#This Row],[Beginning Capital Balance]]+Table145242[[#This Row],[Interest Payment]]),IF(Table145242[[#This Row],[Hide Column]]&gt;AN27,IF(AND(W77&gt;=0.1,W77&lt;N18),N18,IF(I77&gt;=AO29,N18,0)),0))</f>
        <v>#VALUE!</v>
      </c>
      <c r="N77" s="558" t="e">
        <f>IF(Table145242[[#This Row],[Hide Column]]&lt;AN27,"",IF(Table145242[[#This Row],[Hide Column]]=AN27,G49,SUM(SUM(Table145242[[#This Row],[Beginning Capital Balance]]*D50))))</f>
        <v>#VALUE!</v>
      </c>
      <c r="O77" s="558" t="str">
        <f>IF(AB78="Capital Repayments Finished",Table145242[[#This Row],[Beginning Capital Balance]],IF(Table145242[[#This Row],[Hide Column]]&gt;=AO26,IFERROR((Table145242[[#This Row],[Minimum required repayment value (per annum)]]-Table145242[[#This Row],[Interest Payment]]),0),0))</f>
        <v/>
      </c>
      <c r="P77" s="560" t="str">
        <f>TRIM(Table145242[[#This Row],[Capital Repayment]])</f>
        <v/>
      </c>
      <c r="Q77" s="551"/>
      <c r="R77" s="558">
        <f>SUM(Table145242[[#This Row],[Capital Repayment]:[Early Capital Repayment]])</f>
        <v>0</v>
      </c>
      <c r="S77" s="558" t="e">
        <f>SUM(Table145242[[#This Row],[Interest Payment]:[Early Capital Repayment]])</f>
        <v>#VALUE!</v>
      </c>
      <c r="T77" s="559" t="str">
        <f>IF(Table145242[[#This Row],[Total Repayment (excludes interest payments)]]=0,Table145242[[#This Row],[Beginning Capital Balance]],L77-R77)</f>
        <v/>
      </c>
      <c r="U77" s="558">
        <f>U76+Table145242[[#This Row],[Total Repayment (excludes interest payments)]]</f>
        <v>0</v>
      </c>
      <c r="V77" s="558" t="e">
        <f>V76+Table145242[[#This Row],[Interest Payment]]</f>
        <v>#VALUE!</v>
      </c>
      <c r="W77" s="561" t="str">
        <f>IF(N18="","",IF(M62&gt;T76,T76,M62))</f>
        <v/>
      </c>
      <c r="X77" s="561" t="str">
        <f>IF(Table145242[[#This Row],[hide - Ending Balance Test - shows what the final payment should be]]&lt;M62,Table145242[[#This Row],[hide - Ending Balance Test - shows what the final payment should be]],"")</f>
        <v/>
      </c>
      <c r="Y77" s="562" t="str">
        <f>TRIM(Table145242[[#This Row],[Cumulative Capital Payments]])</f>
        <v>0</v>
      </c>
      <c r="Z77" s="563" t="e">
        <f>IF(Table145242[[#This Row],[Ending Capital Balance]]=D49,Table145242[[#This Row],[Interest Payment]],0)</f>
        <v>#VALUE!</v>
      </c>
      <c r="AA77" s="563">
        <f>IFERROR(VALUE(Table145242[[#This Row],[Capital Repayment Payment Number]]), 0)</f>
        <v>0</v>
      </c>
      <c r="AB77" s="564" t="str">
        <f t="shared" si="0"/>
        <v>Capital Repayments Finished</v>
      </c>
      <c r="AC77" s="569">
        <f>IF(Table145242[[#This Row],[Repayment Status]]="Capital Repayments Finished",0,Table145242[[#This Row],[Interest Payment]])</f>
        <v>0</v>
      </c>
      <c r="AD77" s="569">
        <f>IFERROR(IF(Table145242[[#This Row],[Capital Repayment]]&lt;=0,0,IF(Table145242[[#This Row],[Repayment Status]]="Capital Repayments Finished",0,Table145242[[#This Row],[Capital Repayment]])),0)</f>
        <v>0</v>
      </c>
      <c r="AE77" s="575"/>
      <c r="AF77" s="575"/>
    </row>
    <row r="78" spans="2:32" x14ac:dyDescent="0.2">
      <c r="B78" s="575"/>
      <c r="C78" s="570">
        <v>48274</v>
      </c>
      <c r="D78" s="553">
        <v>48638</v>
      </c>
      <c r="E78" s="554" t="str">
        <f>IFERROR(IF((LEFT(G78,4))=(LEFT(AO29,4)),"1",IF((LEFT(G78,4))&lt;(LEFT(AO29,4)),"N/A",IF((LEFT(G78,4))&gt;(LEFT(AO29,4)),E77+1,))),"")</f>
        <v/>
      </c>
      <c r="F78" s="554">
        <f>IF(H78=AN27,"1",IF(H78&lt;AN27,"N/A",IF(H78&gt;AN27,SUM(F77+1))))</f>
        <v>10</v>
      </c>
      <c r="G78" s="555" t="s">
        <v>339</v>
      </c>
      <c r="H78" s="556" t="str">
        <f>LEFT(Table145242[[#This Row],[Payment Financial Year]],4)</f>
        <v>2032</v>
      </c>
      <c r="I78" s="556" t="str">
        <f>TRIM(Table145242[[#This Row],[Hide Column, First PY]])</f>
        <v>2032</v>
      </c>
      <c r="J78" s="557" t="str">
        <f>TRIM(AO16)</f>
        <v>1899</v>
      </c>
      <c r="K78" s="555" t="str">
        <f>D49</f>
        <v/>
      </c>
      <c r="L78" s="558" t="str">
        <f>T77</f>
        <v/>
      </c>
      <c r="M78" s="559" t="e">
        <f>IF(SUM(T77+Table145242[[#This Row],[Interest Payment]])&lt;N18,SUM(Table145242[[#This Row],[Beginning Capital Balance]]+Table145242[[#This Row],[Interest Payment]]),IF(Table145242[[#This Row],[Hide Column]]&gt;AN27,IF(AND(W78&gt;=0.1,W78&lt;N18),N18,IF(I78&gt;=AO29,N18,0)),0))</f>
        <v>#VALUE!</v>
      </c>
      <c r="N78" s="558" t="e">
        <f>IF(Table145242[[#This Row],[Hide Column]]&lt;AN27,"",IF(Table145242[[#This Row],[Hide Column]]=AN27,G49,SUM(SUM(Table145242[[#This Row],[Beginning Capital Balance]]*D50))))</f>
        <v>#VALUE!</v>
      </c>
      <c r="O78" s="558" t="str">
        <f>IF(AB79="Capital Repayments Finished",Table145242[[#This Row],[Beginning Capital Balance]],IF(Table145242[[#This Row],[Hide Column]]&gt;=AO26,IFERROR((Table145242[[#This Row],[Minimum required repayment value (per annum)]]-Table145242[[#This Row],[Interest Payment]]),0),0))</f>
        <v/>
      </c>
      <c r="P78" s="560" t="str">
        <f>TRIM(Table145242[[#This Row],[Capital Repayment]])</f>
        <v/>
      </c>
      <c r="Q78" s="551"/>
      <c r="R78" s="558">
        <f>SUM(Table145242[[#This Row],[Capital Repayment]:[Early Capital Repayment]])</f>
        <v>0</v>
      </c>
      <c r="S78" s="558" t="e">
        <f>SUM(Table145242[[#This Row],[Interest Payment]:[Early Capital Repayment]])</f>
        <v>#VALUE!</v>
      </c>
      <c r="T78" s="559" t="str">
        <f>IF(Table145242[[#This Row],[Total Repayment (excludes interest payments)]]=0,Table145242[[#This Row],[Beginning Capital Balance]],L78-R78)</f>
        <v/>
      </c>
      <c r="U78" s="558">
        <f>U77+Table145242[[#This Row],[Total Repayment (excludes interest payments)]]</f>
        <v>0</v>
      </c>
      <c r="V78" s="558" t="e">
        <f>V77+Table145242[[#This Row],[Interest Payment]]</f>
        <v>#VALUE!</v>
      </c>
      <c r="W78" s="561" t="str">
        <f>IF(N18="","",IF(M62&gt;T77,T77,M62))</f>
        <v/>
      </c>
      <c r="X78" s="561" t="str">
        <f>IF(Table145242[[#This Row],[hide - Ending Balance Test - shows what the final payment should be]]&lt;M62,Table145242[[#This Row],[hide - Ending Balance Test - shows what the final payment should be]],"")</f>
        <v/>
      </c>
      <c r="Y78" s="562" t="str">
        <f>TRIM(Table145242[[#This Row],[Cumulative Capital Payments]])</f>
        <v>0</v>
      </c>
      <c r="Z78" s="563" t="e">
        <f>IF(Table145242[[#This Row],[Ending Capital Balance]]=D49,Table145242[[#This Row],[Interest Payment]],0)</f>
        <v>#VALUE!</v>
      </c>
      <c r="AA78" s="563">
        <f>IFERROR(VALUE(Table145242[[#This Row],[Capital Repayment Payment Number]]), 0)</f>
        <v>0</v>
      </c>
      <c r="AB78" s="564" t="str">
        <f t="shared" si="0"/>
        <v>Capital Repayments Finished</v>
      </c>
      <c r="AC78" s="569">
        <f>IF(Table145242[[#This Row],[Repayment Status]]="Capital Repayments Finished",0,Table145242[[#This Row],[Interest Payment]])</f>
        <v>0</v>
      </c>
      <c r="AD78" s="569">
        <f>IFERROR(IF(Table145242[[#This Row],[Capital Repayment]]&lt;=0,0,IF(Table145242[[#This Row],[Repayment Status]]="Capital Repayments Finished",0,Table145242[[#This Row],[Capital Repayment]])),0)</f>
        <v>0</v>
      </c>
      <c r="AE78" s="575"/>
      <c r="AF78" s="575"/>
    </row>
    <row r="79" spans="2:32" x14ac:dyDescent="0.2">
      <c r="B79" s="575"/>
      <c r="C79" s="566">
        <v>48639</v>
      </c>
      <c r="D79" s="567">
        <v>49003</v>
      </c>
      <c r="E79" s="554" t="str">
        <f>IFERROR(IF((LEFT(G79,4))=(LEFT(AO29,4)),"1",IF((LEFT(G79,4))&lt;(LEFT(AO29,4)),"N/A",IF((LEFT(G79,4))&gt;(LEFT(AO29,4)),E78+1,))),"")</f>
        <v/>
      </c>
      <c r="F79" s="554">
        <f>IF(H79=AN27,"1",IF(H79&lt;AN27,"N/A",IF(H79&gt;AN27,SUM(F78+1))))</f>
        <v>11</v>
      </c>
      <c r="G79" s="568" t="s">
        <v>340</v>
      </c>
      <c r="H79" s="556" t="str">
        <f>LEFT(Table145242[[#This Row],[Payment Financial Year]],4)</f>
        <v>2033</v>
      </c>
      <c r="I79" s="556" t="str">
        <f>TRIM(Table145242[[#This Row],[Hide Column, First PY]])</f>
        <v>2033</v>
      </c>
      <c r="J79" s="557" t="str">
        <f>TRIM(AO16)</f>
        <v>1899</v>
      </c>
      <c r="K79" s="555" t="str">
        <f>D49</f>
        <v/>
      </c>
      <c r="L79" s="558" t="str">
        <f t="shared" si="1"/>
        <v/>
      </c>
      <c r="M79" s="559" t="e">
        <f>IF(SUM(T78+Table145242[[#This Row],[Interest Payment]])&lt;N18,SUM(Table145242[[#This Row],[Beginning Capital Balance]]+Table145242[[#This Row],[Interest Payment]]),IF(Table145242[[#This Row],[Hide Column]]&gt;AN27,IF(AND(W79&gt;=0.1,W79&lt;N18),N18,IF(I79&gt;=AO29,N18,0)),0))</f>
        <v>#VALUE!</v>
      </c>
      <c r="N79" s="558" t="e">
        <f>IF(Table145242[[#This Row],[Hide Column]]&lt;AN27,"",IF(Table145242[[#This Row],[Hide Column]]=AN27,G49,SUM(SUM(Table145242[[#This Row],[Beginning Capital Balance]]*D50))))</f>
        <v>#VALUE!</v>
      </c>
      <c r="O79" s="558" t="str">
        <f>IF(AB80="Capital Repayments Finished",Table145242[[#This Row],[Beginning Capital Balance]],IF(Table145242[[#This Row],[Hide Column]]&gt;=AO26,IFERROR((Table145242[[#This Row],[Minimum required repayment value (per annum)]]-Table145242[[#This Row],[Interest Payment]]),0),0))</f>
        <v/>
      </c>
      <c r="P79" s="560" t="str">
        <f>TRIM(Table145242[[#This Row],[Capital Repayment]])</f>
        <v/>
      </c>
      <c r="Q79" s="551"/>
      <c r="R79" s="558">
        <f>SUM(Table145242[[#This Row],[Capital Repayment]:[Early Capital Repayment]])</f>
        <v>0</v>
      </c>
      <c r="S79" s="558" t="e">
        <f>SUM(Table145242[[#This Row],[Interest Payment]:[Early Capital Repayment]])</f>
        <v>#VALUE!</v>
      </c>
      <c r="T79" s="559" t="str">
        <f>IF(Table145242[[#This Row],[Total Repayment (excludes interest payments)]]=0,Table145242[[#This Row],[Beginning Capital Balance]],L79-R79)</f>
        <v/>
      </c>
      <c r="U79" s="558">
        <f>U78+Table145242[[#This Row],[Total Repayment (excludes interest payments)]]</f>
        <v>0</v>
      </c>
      <c r="V79" s="558" t="e">
        <f>V78+Table145242[[#This Row],[Interest Payment]]</f>
        <v>#VALUE!</v>
      </c>
      <c r="W79" s="561" t="str">
        <f>IF(N18="","",IF(M62&gt;T78,T78,M62))</f>
        <v/>
      </c>
      <c r="X79" s="561" t="str">
        <f>IF(Table145242[[#This Row],[hide - Ending Balance Test - shows what the final payment should be]]&lt;M62,Table145242[[#This Row],[hide - Ending Balance Test - shows what the final payment should be]],"")</f>
        <v/>
      </c>
      <c r="Y79" s="562" t="str">
        <f>TRIM(Table145242[[#This Row],[Cumulative Capital Payments]])</f>
        <v>0</v>
      </c>
      <c r="Z79" s="563" t="e">
        <f>IF(Table145242[[#This Row],[Ending Capital Balance]]=D49,Table145242[[#This Row],[Interest Payment]],0)</f>
        <v>#VALUE!</v>
      </c>
      <c r="AA79" s="563">
        <f>IFERROR(VALUE(Table145242[[#This Row],[Capital Repayment Payment Number]]), 0)</f>
        <v>0</v>
      </c>
      <c r="AB79" s="564" t="str">
        <f t="shared" si="0"/>
        <v>Capital Repayments Finished</v>
      </c>
      <c r="AC79" s="569">
        <f>IF(Table145242[[#This Row],[Repayment Status]]="Capital Repayments Finished",0,Table145242[[#This Row],[Interest Payment]])</f>
        <v>0</v>
      </c>
      <c r="AD79" s="569">
        <f>IFERROR(IF(Table145242[[#This Row],[Capital Repayment]]&lt;=0,0,IF(Table145242[[#This Row],[Repayment Status]]="Capital Repayments Finished",0,Table145242[[#This Row],[Capital Repayment]])),0)</f>
        <v>0</v>
      </c>
      <c r="AE79" s="575"/>
      <c r="AF79" s="575"/>
    </row>
    <row r="80" spans="2:32" x14ac:dyDescent="0.2">
      <c r="B80" s="575"/>
      <c r="C80" s="570">
        <v>49004</v>
      </c>
      <c r="D80" s="553">
        <v>49368</v>
      </c>
      <c r="E80" s="554" t="str">
        <f>IFERROR(IF((LEFT(G80,4))=(LEFT(AO29,4)),"1",IF((LEFT(G80,4))&lt;(LEFT(AO29,4)),"N/A",IF((LEFT(G80,4))&gt;(LEFT(AO29,4)),E79+1,))),"")</f>
        <v/>
      </c>
      <c r="F80" s="554">
        <f>IF(H80=AN27,"1",IF(H80&lt;AN27,"N/A",IF(H80&gt;AN27,SUM(F79+1))))</f>
        <v>12</v>
      </c>
      <c r="G80" s="555" t="s">
        <v>341</v>
      </c>
      <c r="H80" s="556" t="str">
        <f>LEFT(Table145242[[#This Row],[Payment Financial Year]],4)</f>
        <v>2034</v>
      </c>
      <c r="I80" s="556" t="str">
        <f>TRIM(Table145242[[#This Row],[Hide Column, First PY]])</f>
        <v>2034</v>
      </c>
      <c r="J80" s="557" t="str">
        <f>TRIM(AO16)</f>
        <v>1899</v>
      </c>
      <c r="K80" s="555" t="str">
        <f>D49</f>
        <v/>
      </c>
      <c r="L80" s="558" t="str">
        <f>T79</f>
        <v/>
      </c>
      <c r="M80" s="559" t="e">
        <f>IF(SUM(T79+Table145242[[#This Row],[Interest Payment]])&lt;N18,SUM(Table145242[[#This Row],[Beginning Capital Balance]]+Table145242[[#This Row],[Interest Payment]]),IF(Table145242[[#This Row],[Hide Column]]&gt;AN27,IF(AND(W80&gt;=0.1,W80&lt;N18),N18,IF(I80&gt;=AO29,N18,0)),0))</f>
        <v>#VALUE!</v>
      </c>
      <c r="N80" s="558" t="e">
        <f>IF(Table145242[[#This Row],[Hide Column]]&lt;AN27,"",IF(Table145242[[#This Row],[Hide Column]]=AN27,G49,SUM(SUM(Table145242[[#This Row],[Beginning Capital Balance]]*D50))))</f>
        <v>#VALUE!</v>
      </c>
      <c r="O80" s="558" t="str">
        <f>IF(AB81="Capital Repayments Finished",Table145242[[#This Row],[Beginning Capital Balance]],IF(Table145242[[#This Row],[Hide Column]]&gt;=AO26,IFERROR((Table145242[[#This Row],[Minimum required repayment value (per annum)]]-Table145242[[#This Row],[Interest Payment]]),0),0))</f>
        <v/>
      </c>
      <c r="P80" s="560" t="str">
        <f>TRIM(Table145242[[#This Row],[Capital Repayment]])</f>
        <v/>
      </c>
      <c r="Q80" s="551"/>
      <c r="R80" s="558">
        <f>SUM(Table145242[[#This Row],[Capital Repayment]:[Early Capital Repayment]])</f>
        <v>0</v>
      </c>
      <c r="S80" s="558" t="e">
        <f>SUM(Table145242[[#This Row],[Interest Payment]:[Early Capital Repayment]])</f>
        <v>#VALUE!</v>
      </c>
      <c r="T80" s="559" t="str">
        <f>IF(Table145242[[#This Row],[Total Repayment (excludes interest payments)]]=0,Table145242[[#This Row],[Beginning Capital Balance]],L80-R80)</f>
        <v/>
      </c>
      <c r="U80" s="558">
        <f>U79+Table145242[[#This Row],[Total Repayment (excludes interest payments)]]</f>
        <v>0</v>
      </c>
      <c r="V80" s="558" t="e">
        <f>V79+Table145242[[#This Row],[Interest Payment]]</f>
        <v>#VALUE!</v>
      </c>
      <c r="W80" s="561" t="str">
        <f>IF(N18="","",IF(M62&gt;T79,T79,M62))</f>
        <v/>
      </c>
      <c r="X80" s="561" t="str">
        <f>IF(Table145242[[#This Row],[hide - Ending Balance Test - shows what the final payment should be]]&lt;M62,Table145242[[#This Row],[hide - Ending Balance Test - shows what the final payment should be]],"")</f>
        <v/>
      </c>
      <c r="Y80" s="562" t="str">
        <f>TRIM(Table145242[[#This Row],[Cumulative Capital Payments]])</f>
        <v>0</v>
      </c>
      <c r="Z80" s="563" t="e">
        <f>IF(Table145242[[#This Row],[Ending Capital Balance]]=D49,Table145242[[#This Row],[Interest Payment]],0)</f>
        <v>#VALUE!</v>
      </c>
      <c r="AA80" s="563">
        <f>IFERROR(VALUE(Table145242[[#This Row],[Capital Repayment Payment Number]]), 0)</f>
        <v>0</v>
      </c>
      <c r="AB80" s="564" t="str">
        <f t="shared" si="0"/>
        <v>Capital Repayments Finished</v>
      </c>
      <c r="AC80" s="569">
        <f>IF(Table145242[[#This Row],[Repayment Status]]="Capital Repayments Finished",0,Table145242[[#This Row],[Interest Payment]])</f>
        <v>0</v>
      </c>
      <c r="AD80" s="569">
        <f>IFERROR(IF(Table145242[[#This Row],[Capital Repayment]]&lt;=0,0,IF(Table145242[[#This Row],[Repayment Status]]="Capital Repayments Finished",0,Table145242[[#This Row],[Capital Repayment]])),0)</f>
        <v>0</v>
      </c>
      <c r="AE80" s="575"/>
      <c r="AF80" s="575"/>
    </row>
    <row r="81" spans="2:32" x14ac:dyDescent="0.2">
      <c r="B81" s="575"/>
      <c r="C81" s="566">
        <v>49369</v>
      </c>
      <c r="D81" s="567">
        <v>49733</v>
      </c>
      <c r="E81" s="554" t="str">
        <f>IFERROR(IF((LEFT(G81,4))=(LEFT(AO29,4)),"1",IF((LEFT(G81,4))&lt;(LEFT(AO29,4)),"N/A",IF((LEFT(G81,4))&gt;(LEFT(AO29,4)),E80+1,))),"")</f>
        <v/>
      </c>
      <c r="F81" s="554">
        <f>IF(H81=AN27,"1",IF(H81&lt;AN27,"N/A",IF(H81&gt;AN27,SUM(F80+1))))</f>
        <v>13</v>
      </c>
      <c r="G81" s="568" t="s">
        <v>342</v>
      </c>
      <c r="H81" s="556" t="str">
        <f>LEFT(Table145242[[#This Row],[Payment Financial Year]],4)</f>
        <v>2035</v>
      </c>
      <c r="I81" s="556" t="str">
        <f>TRIM(Table145242[[#This Row],[Hide Column, First PY]])</f>
        <v>2035</v>
      </c>
      <c r="J81" s="557" t="str">
        <f>TRIM(AO16)</f>
        <v>1899</v>
      </c>
      <c r="K81" s="555" t="str">
        <f>D49</f>
        <v/>
      </c>
      <c r="L81" s="558" t="str">
        <f t="shared" si="1"/>
        <v/>
      </c>
      <c r="M81" s="559" t="e">
        <f>IF(SUM(T80+Table145242[[#This Row],[Interest Payment]])&lt;N18,SUM(Table145242[[#This Row],[Beginning Capital Balance]]+Table145242[[#This Row],[Interest Payment]]),IF(Table145242[[#This Row],[Hide Column]]&gt;AN27,IF(AND(W81&gt;=0.1,W81&lt;N18),N18,IF(I81&gt;=AO29,N18,0)),0))</f>
        <v>#VALUE!</v>
      </c>
      <c r="N81" s="558" t="e">
        <f>IF(Table145242[[#This Row],[Hide Column]]&lt;AN27,"",IF(Table145242[[#This Row],[Hide Column]]=AN27,G49,SUM(SUM(Table145242[[#This Row],[Beginning Capital Balance]]*D50))))</f>
        <v>#VALUE!</v>
      </c>
      <c r="O81" s="558" t="str">
        <f>IF(AB82="Capital Repayments Finished",Table145242[[#This Row],[Beginning Capital Balance]],IF(Table145242[[#This Row],[Hide Column]]&gt;=AO26,IFERROR((Table145242[[#This Row],[Minimum required repayment value (per annum)]]-Table145242[[#This Row],[Interest Payment]]),0),0))</f>
        <v/>
      </c>
      <c r="P81" s="560" t="str">
        <f>TRIM(Table145242[[#This Row],[Capital Repayment]])</f>
        <v/>
      </c>
      <c r="Q81" s="551"/>
      <c r="R81" s="558">
        <f>SUM(Table145242[[#This Row],[Capital Repayment]:[Early Capital Repayment]])</f>
        <v>0</v>
      </c>
      <c r="S81" s="558" t="e">
        <f>SUM(Table145242[[#This Row],[Interest Payment]:[Early Capital Repayment]])</f>
        <v>#VALUE!</v>
      </c>
      <c r="T81" s="559" t="str">
        <f>IF(Table145242[[#This Row],[Total Repayment (excludes interest payments)]]=0,Table145242[[#This Row],[Beginning Capital Balance]],L81-R81)</f>
        <v/>
      </c>
      <c r="U81" s="558">
        <f>U80+Table145242[[#This Row],[Total Repayment (excludes interest payments)]]</f>
        <v>0</v>
      </c>
      <c r="V81" s="558" t="e">
        <f>V80+Table145242[[#This Row],[Interest Payment]]</f>
        <v>#VALUE!</v>
      </c>
      <c r="W81" s="561" t="str">
        <f>IF(N18="","",IF(M62&gt;T80,T80,M62))</f>
        <v/>
      </c>
      <c r="X81" s="561" t="str">
        <f>IF(Table145242[[#This Row],[hide - Ending Balance Test - shows what the final payment should be]]&lt;M62,Table145242[[#This Row],[hide - Ending Balance Test - shows what the final payment should be]],"")</f>
        <v/>
      </c>
      <c r="Y81" s="562" t="str">
        <f>TRIM(Table145242[[#This Row],[Cumulative Capital Payments]])</f>
        <v>0</v>
      </c>
      <c r="Z81" s="563" t="e">
        <f>IF(Table145242[[#This Row],[Ending Capital Balance]]=D49,Table145242[[#This Row],[Interest Payment]],0)</f>
        <v>#VALUE!</v>
      </c>
      <c r="AA81" s="563">
        <f>IFERROR(VALUE(Table145242[[#This Row],[Capital Repayment Payment Number]]), 0)</f>
        <v>0</v>
      </c>
      <c r="AB81" s="564" t="str">
        <f t="shared" si="0"/>
        <v>Capital Repayments Finished</v>
      </c>
      <c r="AC81" s="569">
        <f>IF(Table145242[[#This Row],[Repayment Status]]="Capital Repayments Finished",0,Table145242[[#This Row],[Interest Payment]])</f>
        <v>0</v>
      </c>
      <c r="AD81" s="569">
        <f>IFERROR(IF(Table145242[[#This Row],[Capital Repayment]]&lt;=0,0,IF(Table145242[[#This Row],[Repayment Status]]="Capital Repayments Finished",0,Table145242[[#This Row],[Capital Repayment]])),0)</f>
        <v>0</v>
      </c>
      <c r="AE81" s="575"/>
      <c r="AF81" s="575"/>
    </row>
    <row r="82" spans="2:32" x14ac:dyDescent="0.2">
      <c r="B82" s="575"/>
      <c r="C82" s="553">
        <v>49735</v>
      </c>
      <c r="D82" s="553">
        <v>50099</v>
      </c>
      <c r="E82" s="554" t="str">
        <f>IFERROR(IF((LEFT(G82,4))=(LEFT(AO29,4)),"1",IF((LEFT(G82,4))&lt;(LEFT(AO29,4)),"N/A",IF((LEFT(G82,4))&gt;(LEFT(AO29,4)),E81+1,))),"")</f>
        <v/>
      </c>
      <c r="F82" s="554">
        <f>IF(H82=AN27,"1",IF(H82&lt;AN27,"N/A",IF(H82&gt;AN27,SUM(F81+1))))</f>
        <v>14</v>
      </c>
      <c r="G82" s="555" t="s">
        <v>343</v>
      </c>
      <c r="H82" s="556" t="str">
        <f>LEFT(Table145242[[#This Row],[Payment Financial Year]],4)</f>
        <v>2036</v>
      </c>
      <c r="I82" s="556" t="str">
        <f>TRIM(Table145242[[#This Row],[Hide Column, First PY]])</f>
        <v>2036</v>
      </c>
      <c r="J82" s="557" t="str">
        <f>TRIM(AO16)</f>
        <v>1899</v>
      </c>
      <c r="K82" s="555" t="str">
        <f>D49</f>
        <v/>
      </c>
      <c r="L82" s="558" t="str">
        <f t="shared" si="1"/>
        <v/>
      </c>
      <c r="M82" s="559" t="e">
        <f>IF(SUM(T81+Table145242[[#This Row],[Interest Payment]])&lt;N18,SUM(Table145242[[#This Row],[Beginning Capital Balance]]+Table145242[[#This Row],[Interest Payment]]),IF(Table145242[[#This Row],[Hide Column]]&gt;AN27,IF(AND(W82&gt;=0.1,W82&lt;N18),N18,IF(I82&gt;=AO29,N18,0)),0))</f>
        <v>#VALUE!</v>
      </c>
      <c r="N82" s="558" t="e">
        <f>IF(Table145242[[#This Row],[Hide Column]]&lt;AN27,"",IF(Table145242[[#This Row],[Hide Column]]=AN27,G49,SUM(SUM(Table145242[[#This Row],[Beginning Capital Balance]]*D50))))</f>
        <v>#VALUE!</v>
      </c>
      <c r="O82" s="558" t="str">
        <f>IF(AB83="Capital Repayments Finished",Table145242[[#This Row],[Beginning Capital Balance]],IF(Table145242[[#This Row],[Hide Column]]&gt;=AO26,IFERROR((Table145242[[#This Row],[Minimum required repayment value (per annum)]]-Table145242[[#This Row],[Interest Payment]]),0),0))</f>
        <v/>
      </c>
      <c r="P82" s="560" t="str">
        <f>TRIM(Table145242[[#This Row],[Capital Repayment]])</f>
        <v/>
      </c>
      <c r="Q82" s="551"/>
      <c r="R82" s="558">
        <f>SUM(Table145242[[#This Row],[Capital Repayment]:[Early Capital Repayment]])</f>
        <v>0</v>
      </c>
      <c r="S82" s="558" t="e">
        <f>SUM(Table145242[[#This Row],[Interest Payment]:[Early Capital Repayment]])</f>
        <v>#VALUE!</v>
      </c>
      <c r="T82" s="559" t="str">
        <f>IF(Table145242[[#This Row],[Total Repayment (excludes interest payments)]]=0,Table145242[[#This Row],[Beginning Capital Balance]],L82-R82)</f>
        <v/>
      </c>
      <c r="U82" s="558">
        <f>U81+Table145242[[#This Row],[Total Repayment (excludes interest payments)]]</f>
        <v>0</v>
      </c>
      <c r="V82" s="558" t="e">
        <f>V81+Table145242[[#This Row],[Interest Payment]]</f>
        <v>#VALUE!</v>
      </c>
      <c r="W82" s="561" t="str">
        <f>IF(N18="","",IF(M62&gt;T81,T81,M62))</f>
        <v/>
      </c>
      <c r="X82" s="561" t="str">
        <f>IF(Table145242[[#This Row],[hide - Ending Balance Test - shows what the final payment should be]]&lt;M62,Table145242[[#This Row],[hide - Ending Balance Test - shows what the final payment should be]],"")</f>
        <v/>
      </c>
      <c r="Y82" s="562" t="str">
        <f>TRIM(Table145242[[#This Row],[Cumulative Capital Payments]])</f>
        <v>0</v>
      </c>
      <c r="Z82" s="563" t="e">
        <f>IF(Table145242[[#This Row],[Ending Capital Balance]]=D49,Table145242[[#This Row],[Interest Payment]],0)</f>
        <v>#VALUE!</v>
      </c>
      <c r="AA82" s="563">
        <f>IFERROR(VALUE(Table145242[[#This Row],[Capital Repayment Payment Number]]), 0)</f>
        <v>0</v>
      </c>
      <c r="AB82" s="564" t="str">
        <f t="shared" si="0"/>
        <v>Capital Repayments Finished</v>
      </c>
      <c r="AC82" s="569">
        <f>IF(Table145242[[#This Row],[Repayment Status]]="Capital Repayments Finished",0,Table145242[[#This Row],[Interest Payment]])</f>
        <v>0</v>
      </c>
      <c r="AD82" s="569">
        <f>IFERROR(IF(Table145242[[#This Row],[Capital Repayment]]&lt;=0,0,IF(Table145242[[#This Row],[Repayment Status]]="Capital Repayments Finished",0,Table145242[[#This Row],[Capital Repayment]])),0)</f>
        <v>0</v>
      </c>
      <c r="AE82" s="575"/>
      <c r="AF82" s="575"/>
    </row>
    <row r="83" spans="2:32" hidden="1" x14ac:dyDescent="0.2">
      <c r="B83" s="575"/>
      <c r="C83" s="566">
        <v>50100</v>
      </c>
      <c r="D83" s="567">
        <v>50464</v>
      </c>
      <c r="E83" s="554" t="str">
        <f>IFERROR(IF((LEFT(G83,4))=(LEFT(AO29,4)),"1",IF((LEFT(G83,4))&lt;(LEFT(AO29,4)),"N/A",IF((LEFT(G83,4))&gt;(LEFT(AO29,4)),E82+1,))),"")</f>
        <v/>
      </c>
      <c r="F83" s="554">
        <f>IF(H83=AN27,"1",IF(H83&lt;AN27,"N/A",IF(H83&gt;AN27,SUM(F82+1))))</f>
        <v>15</v>
      </c>
      <c r="G83" s="568" t="s">
        <v>344</v>
      </c>
      <c r="H83" s="556" t="str">
        <f>LEFT(Table145242[[#This Row],[Payment Financial Year]],4)</f>
        <v>2037</v>
      </c>
      <c r="I83" s="556" t="str">
        <f>TRIM(Table145242[[#This Row],[Hide Column, First PY]])</f>
        <v>2037</v>
      </c>
      <c r="J83" s="557" t="str">
        <f>TRIM(AO16)</f>
        <v>1899</v>
      </c>
      <c r="K83" s="555" t="str">
        <f>D49</f>
        <v/>
      </c>
      <c r="L83" s="558" t="str">
        <f t="shared" si="1"/>
        <v/>
      </c>
      <c r="M83" s="559" t="e">
        <f>IF(SUM(T82+Table145242[[#This Row],[Interest Payment]])&lt;N18,SUM(Table145242[[#This Row],[Beginning Capital Balance]]+Table145242[[#This Row],[Interest Payment]]),IF(Table145242[[#This Row],[Hide Column]]&gt;AN27,IF(AND(W83&gt;=0.1,W83&lt;N18),N18,IF(I83&gt;=AO29,N18,0)),0))</f>
        <v>#VALUE!</v>
      </c>
      <c r="N83" s="558" t="e">
        <f>IF(Table145242[[#This Row],[Hide Column]]&lt;AN27,"",IF(Table145242[[#This Row],[Hide Column]]=AN27,G49,SUM(SUM(Table145242[[#This Row],[Beginning Capital Balance]]*D50))))</f>
        <v>#VALUE!</v>
      </c>
      <c r="O83" s="558" t="str">
        <f>IF(AB84="Capital Repayments Finished",Table145242[[#This Row],[Beginning Capital Balance]],IF(Table145242[[#This Row],[Hide Column]]&gt;=AO26,IFERROR((Table145242[[#This Row],[Minimum required repayment value (per annum)]]-Table145242[[#This Row],[Interest Payment]]),0),0))</f>
        <v/>
      </c>
      <c r="P83" s="560" t="str">
        <f>TRIM(Table145242[[#This Row],[Capital Repayment]])</f>
        <v/>
      </c>
      <c r="Q83" s="551">
        <v>0</v>
      </c>
      <c r="R83" s="558">
        <f>SUM(Table145242[[#This Row],[Capital Repayment]:[Early Capital Repayment]])</f>
        <v>0</v>
      </c>
      <c r="S83" s="558" t="e">
        <f>SUM(Table145242[[#This Row],[Interest Payment]:[Early Capital Repayment]])</f>
        <v>#VALUE!</v>
      </c>
      <c r="T83" s="559" t="str">
        <f>IF(Table145242[[#This Row],[Total Repayment (excludes interest payments)]]=0,Table145242[[#This Row],[Beginning Capital Balance]],L83-R83)</f>
        <v/>
      </c>
      <c r="U83" s="558">
        <f>U82+Table145242[[#This Row],[Total Repayment (excludes interest payments)]]</f>
        <v>0</v>
      </c>
      <c r="V83" s="558" t="e">
        <f>V82+Table145242[[#This Row],[Interest Payment]]</f>
        <v>#VALUE!</v>
      </c>
      <c r="W83" s="561" t="str">
        <f>IF(N18="","",IF(M62&gt;T82,T82,M62))</f>
        <v/>
      </c>
      <c r="X83" s="561" t="str">
        <f>IF(Table145242[[#This Row],[hide - Ending Balance Test - shows what the final payment should be]]&lt;M62,Table145242[[#This Row],[hide - Ending Balance Test - shows what the final payment should be]],"")</f>
        <v/>
      </c>
      <c r="Y83" s="562" t="str">
        <f>TRIM(Table145242[[#This Row],[Cumulative Capital Payments]])</f>
        <v>0</v>
      </c>
      <c r="Z83" s="563" t="e">
        <f>IF(Table145242[[#This Row],[Ending Capital Balance]]=D49,Table145242[[#This Row],[Interest Payment]],0)</f>
        <v>#VALUE!</v>
      </c>
      <c r="AA83" s="563">
        <f>IFERROR(VALUE(Table145242[[#This Row],[Capital Repayment Payment Number]]), 0)</f>
        <v>0</v>
      </c>
      <c r="AB83" s="564" t="str">
        <f t="shared" si="0"/>
        <v>Capital Repayments Finished</v>
      </c>
      <c r="AC83" s="569">
        <f>IF(Table145242[[#This Row],[Repayment Status]]="Capital Repayments Finished",0,Table145242[[#This Row],[Interest Payment]])</f>
        <v>0</v>
      </c>
      <c r="AD83" s="569">
        <f>IFERROR(IF(Table145242[[#This Row],[Capital Repayment]]&lt;=0,0,IF(Table145242[[#This Row],[Repayment Status]]="Capital Repayments Finished",0,Table145242[[#This Row],[Capital Repayment]])),0)</f>
        <v>0</v>
      </c>
      <c r="AE83" s="575"/>
      <c r="AF83" s="575"/>
    </row>
    <row r="84" spans="2:32" hidden="1" x14ac:dyDescent="0.2">
      <c r="B84" s="575"/>
      <c r="C84" s="570">
        <v>50465</v>
      </c>
      <c r="D84" s="553">
        <v>50829</v>
      </c>
      <c r="E84" s="554" t="str">
        <f>IFERROR(IF((LEFT(G84,4))=(LEFT(AO29,4)),"1",IF((LEFT(G84,4))&lt;(LEFT(AO29,4)),"N/A",IF((LEFT(G84,4))&gt;(LEFT(AO29,4)),E83+1,))),"")</f>
        <v/>
      </c>
      <c r="F84" s="554">
        <f>IF(H84=AN27,"1",IF(H84&lt;AN27,"N/A",IF(H84&gt;AN27,SUM(F83+1))))</f>
        <v>16</v>
      </c>
      <c r="G84" s="555" t="s">
        <v>345</v>
      </c>
      <c r="H84" s="556" t="str">
        <f>LEFT(Table145242[[#This Row],[Payment Financial Year]],4)</f>
        <v>2038</v>
      </c>
      <c r="I84" s="556" t="str">
        <f>TRIM(Table145242[[#This Row],[Hide Column, First PY]])</f>
        <v>2038</v>
      </c>
      <c r="J84" s="557" t="str">
        <f>TRIM(AO16)</f>
        <v>1899</v>
      </c>
      <c r="K84" s="555" t="str">
        <f>D49</f>
        <v/>
      </c>
      <c r="L84" s="558" t="str">
        <f t="shared" si="1"/>
        <v/>
      </c>
      <c r="M84" s="559" t="e">
        <f>IF(SUM(T83+Table145242[[#This Row],[Interest Payment]])&lt;N18,SUM(Table145242[[#This Row],[Beginning Capital Balance]]+Table145242[[#This Row],[Interest Payment]]),IF(Table145242[[#This Row],[Hide Column]]&gt;AN27,IF(AND(W84&gt;=0.1,W84&lt;N18),N18,IF(I84&gt;=AO29,N18,0)),0))</f>
        <v>#VALUE!</v>
      </c>
      <c r="N84" s="558" t="e">
        <f>IF(Table145242[[#This Row],[Hide Column]]&lt;AN27,"",IF(Table145242[[#This Row],[Hide Column]]=AN27,G49,SUM(SUM(Table145242[[#This Row],[Beginning Capital Balance]]*D50))))</f>
        <v>#VALUE!</v>
      </c>
      <c r="O84" s="558" t="str">
        <f>IF(AB85="Capital Repayments Finished",Table145242[[#This Row],[Beginning Capital Balance]],IF(Table145242[[#This Row],[Hide Column]]&gt;=AO26,IFERROR((Table145242[[#This Row],[Minimum required repayment value (per annum)]]-Table145242[[#This Row],[Interest Payment]]),0),0))</f>
        <v/>
      </c>
      <c r="P84" s="560" t="str">
        <f>TRIM(Table145242[[#This Row],[Capital Repayment]])</f>
        <v/>
      </c>
      <c r="Q84" s="551">
        <v>0</v>
      </c>
      <c r="R84" s="558">
        <f>SUM(Table145242[[#This Row],[Capital Repayment]:[Early Capital Repayment]])</f>
        <v>0</v>
      </c>
      <c r="S84" s="558" t="e">
        <f>SUM(Table145242[[#This Row],[Interest Payment]:[Early Capital Repayment]])</f>
        <v>#VALUE!</v>
      </c>
      <c r="T84" s="559" t="str">
        <f>IF(Table145242[[#This Row],[Total Repayment (excludes interest payments)]]=0,Table145242[[#This Row],[Beginning Capital Balance]],L84-R84)</f>
        <v/>
      </c>
      <c r="U84" s="558">
        <f>U83+Table145242[[#This Row],[Total Repayment (excludes interest payments)]]</f>
        <v>0</v>
      </c>
      <c r="V84" s="558" t="e">
        <f>V83+Table145242[[#This Row],[Interest Payment]]</f>
        <v>#VALUE!</v>
      </c>
      <c r="W84" s="561" t="str">
        <f>IF(N18="","",IF(M62&gt;T83,T83,M62))</f>
        <v/>
      </c>
      <c r="X84" s="561" t="str">
        <f>IF(Table145242[[#This Row],[hide - Ending Balance Test - shows what the final payment should be]]&lt;M62,Table145242[[#This Row],[hide - Ending Balance Test - shows what the final payment should be]],"")</f>
        <v/>
      </c>
      <c r="Y84" s="562" t="str">
        <f>TRIM(Table145242[[#This Row],[Cumulative Capital Payments]])</f>
        <v>0</v>
      </c>
      <c r="Z84" s="563" t="e">
        <f>IF(Table145242[[#This Row],[Ending Capital Balance]]=D49,Table145242[[#This Row],[Interest Payment]],0)</f>
        <v>#VALUE!</v>
      </c>
      <c r="AA84" s="563">
        <f>IFERROR(VALUE(Table145242[[#This Row],[Capital Repayment Payment Number]]), 0)</f>
        <v>0</v>
      </c>
      <c r="AB84" s="564" t="str">
        <f t="shared" si="0"/>
        <v>Capital Repayments Finished</v>
      </c>
      <c r="AC84" s="569">
        <f>IF(Table145242[[#This Row],[Repayment Status]]="Capital Repayments Finished",0,Table145242[[#This Row],[Interest Payment]])</f>
        <v>0</v>
      </c>
      <c r="AD84" s="569">
        <f>IFERROR(IF(Table145242[[#This Row],[Capital Repayment]]&lt;=0,0,IF(Table145242[[#This Row],[Repayment Status]]="Capital Repayments Finished",0,Table145242[[#This Row],[Capital Repayment]])),0)</f>
        <v>0</v>
      </c>
      <c r="AE84" s="575"/>
      <c r="AF84" s="575"/>
    </row>
    <row r="85" spans="2:32" hidden="1" x14ac:dyDescent="0.2">
      <c r="B85" s="575"/>
      <c r="C85" s="566">
        <v>50830</v>
      </c>
      <c r="D85" s="567">
        <v>51194</v>
      </c>
      <c r="E85" s="554" t="str">
        <f>IFERROR(IF((LEFT(G85,4))=(LEFT(AO29,4)),"1",IF((LEFT(G85,4))&lt;(LEFT(AO29,4)),"N/A",IF((LEFT(G85,4))&gt;(LEFT(AO29,4)),E84+1,))),"")</f>
        <v/>
      </c>
      <c r="F85" s="554">
        <f>IF(H85=AN27,"1",IF(H85&lt;AN27,"N/A",IF(H85&gt;AN27,SUM(F84+1))))</f>
        <v>17</v>
      </c>
      <c r="G85" s="568" t="s">
        <v>346</v>
      </c>
      <c r="H85" s="556" t="str">
        <f>LEFT(Table145242[[#This Row],[Payment Financial Year]],4)</f>
        <v>2039</v>
      </c>
      <c r="I85" s="556" t="str">
        <f>TRIM(Table145242[[#This Row],[Hide Column, First PY]])</f>
        <v>2039</v>
      </c>
      <c r="J85" s="557" t="str">
        <f>TRIM(AO16)</f>
        <v>1899</v>
      </c>
      <c r="K85" s="555" t="str">
        <f>D49</f>
        <v/>
      </c>
      <c r="L85" s="558" t="str">
        <f t="shared" si="1"/>
        <v/>
      </c>
      <c r="M85" s="559" t="e">
        <f>IF(SUM(T84+Table145242[[#This Row],[Interest Payment]])&lt;N18,SUM(Table145242[[#This Row],[Beginning Capital Balance]]+Table145242[[#This Row],[Interest Payment]]),IF(Table145242[[#This Row],[Hide Column]]&gt;AN27,IF(AND(W85&gt;=0.1,W85&lt;N18),N18,IF(I85&gt;=AO29,N18,0)),0))</f>
        <v>#VALUE!</v>
      </c>
      <c r="N85" s="558" t="e">
        <f>IF(Table145242[[#This Row],[Hide Column]]&lt;AN27,"",IF(Table145242[[#This Row],[Hide Column]]=AN27,G49,SUM(SUM(Table145242[[#This Row],[Beginning Capital Balance]]*D50))))</f>
        <v>#VALUE!</v>
      </c>
      <c r="O85" s="558" t="str">
        <f>IF(AB86="Capital Repayments Finished",Table145242[[#This Row],[Beginning Capital Balance]],IF(Table145242[[#This Row],[Hide Column]]&gt;=AO26,IFERROR((Table145242[[#This Row],[Minimum required repayment value (per annum)]]-Table145242[[#This Row],[Interest Payment]]),0),0))</f>
        <v/>
      </c>
      <c r="P85" s="560" t="str">
        <f>TRIM(Table145242[[#This Row],[Capital Repayment]])</f>
        <v/>
      </c>
      <c r="Q85" s="551">
        <v>0</v>
      </c>
      <c r="R85" s="558">
        <f>SUM(Table145242[[#This Row],[Capital Repayment]:[Early Capital Repayment]])</f>
        <v>0</v>
      </c>
      <c r="S85" s="558" t="e">
        <f>SUM(Table145242[[#This Row],[Interest Payment]:[Early Capital Repayment]])</f>
        <v>#VALUE!</v>
      </c>
      <c r="T85" s="559" t="str">
        <f>IF(Table145242[[#This Row],[Total Repayment (excludes interest payments)]]=0,Table145242[[#This Row],[Beginning Capital Balance]],L85-R85)</f>
        <v/>
      </c>
      <c r="U85" s="558">
        <f>U84+Table145242[[#This Row],[Total Repayment (excludes interest payments)]]</f>
        <v>0</v>
      </c>
      <c r="V85" s="558" t="e">
        <f>V84+Table145242[[#This Row],[Interest Payment]]</f>
        <v>#VALUE!</v>
      </c>
      <c r="W85" s="561" t="str">
        <f>IF(N18="","",IF(M62&gt;T84,T84,M62))</f>
        <v/>
      </c>
      <c r="X85" s="561" t="str">
        <f>IF(Table145242[[#This Row],[hide - Ending Balance Test - shows what the final payment should be]]&lt;M62,Table145242[[#This Row],[hide - Ending Balance Test - shows what the final payment should be]],"")</f>
        <v/>
      </c>
      <c r="Y85" s="562" t="str">
        <f>TRIM(Table145242[[#This Row],[Cumulative Capital Payments]])</f>
        <v>0</v>
      </c>
      <c r="Z85" s="563" t="e">
        <f>IF(Table145242[[#This Row],[Ending Capital Balance]]=D49,Table145242[[#This Row],[Interest Payment]],0)</f>
        <v>#VALUE!</v>
      </c>
      <c r="AA85" s="563">
        <f>IFERROR(VALUE(Table145242[[#This Row],[Capital Repayment Payment Number]]), 0)</f>
        <v>0</v>
      </c>
      <c r="AB85" s="564" t="str">
        <f t="shared" si="0"/>
        <v>Capital Repayments Finished</v>
      </c>
      <c r="AC85" s="569">
        <f>IF(Table145242[[#This Row],[Repayment Status]]="Capital Repayments Finished",0,Table145242[[#This Row],[Interest Payment]])</f>
        <v>0</v>
      </c>
      <c r="AD85" s="569">
        <f>IFERROR(IF(Table145242[[#This Row],[Capital Repayment]]&lt;=0,0,IF(Table145242[[#This Row],[Repayment Status]]="Capital Repayments Finished",0,Table145242[[#This Row],[Capital Repayment]])),0)</f>
        <v>0</v>
      </c>
      <c r="AE85" s="575"/>
      <c r="AF85" s="575"/>
    </row>
    <row r="86" spans="2:32" hidden="1" x14ac:dyDescent="0.2">
      <c r="B86" s="575"/>
      <c r="C86" s="570">
        <v>51196</v>
      </c>
      <c r="D86" s="553">
        <v>51560</v>
      </c>
      <c r="E86" s="554" t="str">
        <f>IFERROR(IF((LEFT(G86,4))=(LEFT(AO29,4)),"1",IF((LEFT(G86,4))&lt;(LEFT(AO29,4)),"N/A",IF((LEFT(G86,4))&gt;(LEFT(AO29,4)),E85+1,))),"")</f>
        <v/>
      </c>
      <c r="F86" s="554">
        <f>IF(H86=AN27,"1",IF(H86&lt;AN27,"N/A",IF(H86&gt;AN27,SUM(F85+1))))</f>
        <v>18</v>
      </c>
      <c r="G86" s="555" t="s">
        <v>347</v>
      </c>
      <c r="H86" s="556" t="str">
        <f>LEFT(Table145242[[#This Row],[Payment Financial Year]],4)</f>
        <v>2040</v>
      </c>
      <c r="I86" s="556" t="str">
        <f>TRIM(Table145242[[#This Row],[Hide Column, First PY]])</f>
        <v>2040</v>
      </c>
      <c r="J86" s="557" t="str">
        <f>TRIM(AO16)</f>
        <v>1899</v>
      </c>
      <c r="K86" s="555" t="str">
        <f>D49</f>
        <v/>
      </c>
      <c r="L86" s="558" t="str">
        <f t="shared" si="1"/>
        <v/>
      </c>
      <c r="M86" s="559" t="e">
        <f>IF(SUM(T85+Table145242[[#This Row],[Interest Payment]])&lt;N18,SUM(Table145242[[#This Row],[Beginning Capital Balance]]+Table145242[[#This Row],[Interest Payment]]),IF(Table145242[[#This Row],[Hide Column]]&gt;AN27,IF(AND(W86&gt;=0.1,W86&lt;N18),N18,IF(I86&gt;=AO29,N18,0)),0))</f>
        <v>#VALUE!</v>
      </c>
      <c r="N86" s="558" t="e">
        <f>IF(Table145242[[#This Row],[Hide Column]]&lt;AN27,"",IF(Table145242[[#This Row],[Hide Column]]=AN27,G49,SUM(SUM(Table145242[[#This Row],[Beginning Capital Balance]]*D50))))</f>
        <v>#VALUE!</v>
      </c>
      <c r="O86" s="558" t="str">
        <f>IF(AB87="Capital Repayments Finished",Table145242[[#This Row],[Beginning Capital Balance]],IF(Table145242[[#This Row],[Hide Column]]&gt;=AO26,IFERROR((Table145242[[#This Row],[Minimum required repayment value (per annum)]]-Table145242[[#This Row],[Interest Payment]]),0),0))</f>
        <v/>
      </c>
      <c r="P86" s="560" t="str">
        <f>TRIM(Table145242[[#This Row],[Capital Repayment]])</f>
        <v/>
      </c>
      <c r="Q86" s="551">
        <v>0</v>
      </c>
      <c r="R86" s="558">
        <f>SUM(Table145242[[#This Row],[Capital Repayment]:[Early Capital Repayment]])</f>
        <v>0</v>
      </c>
      <c r="S86" s="558" t="e">
        <f>SUM(Table145242[[#This Row],[Interest Payment]:[Early Capital Repayment]])</f>
        <v>#VALUE!</v>
      </c>
      <c r="T86" s="559" t="str">
        <f>IF(Table145242[[#This Row],[Total Repayment (excludes interest payments)]]=0,Table145242[[#This Row],[Beginning Capital Balance]],L86-R86)</f>
        <v/>
      </c>
      <c r="U86" s="558">
        <f>U85+Table145242[[#This Row],[Total Repayment (excludes interest payments)]]</f>
        <v>0</v>
      </c>
      <c r="V86" s="558" t="e">
        <f>V85+Table145242[[#This Row],[Interest Payment]]</f>
        <v>#VALUE!</v>
      </c>
      <c r="W86" s="561" t="str">
        <f>IF(N18="","",IF(M62&gt;T85,T85,M62))</f>
        <v/>
      </c>
      <c r="X86" s="561" t="str">
        <f>IF(Table145242[[#This Row],[hide - Ending Balance Test - shows what the final payment should be]]&lt;M62,Table145242[[#This Row],[hide - Ending Balance Test - shows what the final payment should be]],"")</f>
        <v/>
      </c>
      <c r="Y86" s="562" t="str">
        <f>TRIM(Table145242[[#This Row],[Cumulative Capital Payments]])</f>
        <v>0</v>
      </c>
      <c r="Z86" s="563" t="e">
        <f>IF(Table145242[[#This Row],[Ending Capital Balance]]=D49,Table145242[[#This Row],[Interest Payment]],0)</f>
        <v>#VALUE!</v>
      </c>
      <c r="AA86" s="563">
        <f>IFERROR(VALUE(Table145242[[#This Row],[Capital Repayment Payment Number]]), 0)</f>
        <v>0</v>
      </c>
      <c r="AB86" s="564" t="str">
        <f t="shared" si="0"/>
        <v>Capital Repayments Finished</v>
      </c>
      <c r="AC86" s="569">
        <f>IF(Table145242[[#This Row],[Repayment Status]]="Capital Repayments Finished",0,Table145242[[#This Row],[Interest Payment]])</f>
        <v>0</v>
      </c>
      <c r="AD86" s="569">
        <f>IFERROR(IF(Table145242[[#This Row],[Capital Repayment]]&lt;=0,0,IF(Table145242[[#This Row],[Repayment Status]]="Capital Repayments Finished",0,Table145242[[#This Row],[Capital Repayment]])),0)</f>
        <v>0</v>
      </c>
      <c r="AE86" s="575"/>
      <c r="AF86" s="575"/>
    </row>
    <row r="87" spans="2:32" hidden="1" x14ac:dyDescent="0.2">
      <c r="B87" s="575"/>
      <c r="C87" s="566">
        <v>51561</v>
      </c>
      <c r="D87" s="567">
        <v>51925</v>
      </c>
      <c r="E87" s="554" t="str">
        <f>IFERROR(IF((LEFT(G87,4))=(LEFT(AO29,4)),"1",IF((LEFT(G87,4))&lt;(LEFT(AO29,4)),"N/A",IF((LEFT(G87,4))&gt;(LEFT(AO29,4)),E86+1,))),"")</f>
        <v/>
      </c>
      <c r="F87" s="554">
        <f>IF(H87=AN27,"1",IF(H87&lt;AN27,"N/A",IF(H87&gt;AN27,SUM(F86+1))))</f>
        <v>19</v>
      </c>
      <c r="G87" s="568" t="s">
        <v>348</v>
      </c>
      <c r="H87" s="556" t="str">
        <f>LEFT(Table145242[[#This Row],[Payment Financial Year]],4)</f>
        <v>2041</v>
      </c>
      <c r="I87" s="556" t="str">
        <f>TRIM(Table145242[[#This Row],[Hide Column, First PY]])</f>
        <v>2041</v>
      </c>
      <c r="J87" s="557" t="str">
        <f>TRIM(AO16)</f>
        <v>1899</v>
      </c>
      <c r="K87" s="555" t="str">
        <f>D49</f>
        <v/>
      </c>
      <c r="L87" s="558" t="str">
        <f t="shared" si="1"/>
        <v/>
      </c>
      <c r="M87" s="559" t="e">
        <f>IF(SUM(T86+Table145242[[#This Row],[Interest Payment]])&lt;N18,SUM(Table145242[[#This Row],[Beginning Capital Balance]]+Table145242[[#This Row],[Interest Payment]]),IF(Table145242[[#This Row],[Hide Column]]&gt;AN27,IF(AND(W87&gt;=0.1,W87&lt;N18),N18,IF(I87&gt;=AO29,N18,0)),0))</f>
        <v>#VALUE!</v>
      </c>
      <c r="N87" s="558" t="e">
        <f>IF(Table145242[[#This Row],[Hide Column]]&lt;AN27,"",IF(Table145242[[#This Row],[Hide Column]]=AN27,G49,SUM(SUM(Table145242[[#This Row],[Beginning Capital Balance]]*D50))))</f>
        <v>#VALUE!</v>
      </c>
      <c r="O87" s="558" t="str">
        <f>IF(AB88="Capital Repayments Finished",Table145242[[#This Row],[Beginning Capital Balance]],IF(Table145242[[#This Row],[Hide Column]]&gt;=AO26,IFERROR((Table145242[[#This Row],[Minimum required repayment value (per annum)]]-Table145242[[#This Row],[Interest Payment]]),0),0))</f>
        <v/>
      </c>
      <c r="P87" s="560" t="str">
        <f>TRIM(Table145242[[#This Row],[Capital Repayment]])</f>
        <v/>
      </c>
      <c r="Q87" s="551">
        <v>0</v>
      </c>
      <c r="R87" s="558">
        <f>SUM(Table145242[[#This Row],[Capital Repayment]:[Early Capital Repayment]])</f>
        <v>0</v>
      </c>
      <c r="S87" s="558" t="e">
        <f>SUM(Table145242[[#This Row],[Interest Payment]:[Early Capital Repayment]])</f>
        <v>#VALUE!</v>
      </c>
      <c r="T87" s="559" t="str">
        <f>IF(Table145242[[#This Row],[Total Repayment (excludes interest payments)]]=0,Table145242[[#This Row],[Beginning Capital Balance]],L87-R87)</f>
        <v/>
      </c>
      <c r="U87" s="558">
        <f>U86+Table145242[[#This Row],[Total Repayment (excludes interest payments)]]</f>
        <v>0</v>
      </c>
      <c r="V87" s="558" t="e">
        <f>V86+Table145242[[#This Row],[Interest Payment]]</f>
        <v>#VALUE!</v>
      </c>
      <c r="W87" s="561" t="str">
        <f>IF(N18="","",IF(M62&gt;T86,T86,M62))</f>
        <v/>
      </c>
      <c r="X87" s="561" t="str">
        <f>IF(Table145242[[#This Row],[hide - Ending Balance Test - shows what the final payment should be]]&lt;M62,Table145242[[#This Row],[hide - Ending Balance Test - shows what the final payment should be]],"")</f>
        <v/>
      </c>
      <c r="Y87" s="562" t="str">
        <f>TRIM(Table145242[[#This Row],[Cumulative Capital Payments]])</f>
        <v>0</v>
      </c>
      <c r="Z87" s="563" t="e">
        <f>IF(Table145242[[#This Row],[Ending Capital Balance]]=D49,Table145242[[#This Row],[Interest Payment]],0)</f>
        <v>#VALUE!</v>
      </c>
      <c r="AA87" s="563">
        <f>IFERROR(VALUE(Table145242[[#This Row],[Capital Repayment Payment Number]]), 0)</f>
        <v>0</v>
      </c>
      <c r="AB87" s="564" t="str">
        <f>IF(OR(L86&lt;=$N$18,AB686="Capital Repayments Finished"),"Capital Repayments Finished","Capital Repayments Incomplete")</f>
        <v>Capital Repayments Finished</v>
      </c>
      <c r="AC87" s="569">
        <f>IF(Table145242[[#This Row],[Repayment Status]]="Capital Repayments Finished",0,Table145242[[#This Row],[Interest Payment]])</f>
        <v>0</v>
      </c>
      <c r="AD87" s="569">
        <f>IFERROR(IF(Table145242[[#This Row],[Capital Repayment]]&lt;=0,0,IF(Table145242[[#This Row],[Repayment Status]]="Capital Repayments Finished",0,Table145242[[#This Row],[Capital Repayment]])),0)</f>
        <v>0</v>
      </c>
      <c r="AE87" s="575"/>
      <c r="AF87" s="575"/>
    </row>
    <row r="88" spans="2:32" hidden="1" x14ac:dyDescent="0.2">
      <c r="B88" s="575"/>
      <c r="C88" s="570">
        <v>51926</v>
      </c>
      <c r="D88" s="553">
        <v>52290</v>
      </c>
      <c r="E88" s="554" t="str">
        <f>IFERROR(IF((LEFT(G88,4))=(LEFT(AO29,4)),"1",IF((LEFT(G88,4))&lt;(LEFT(AO29,4)),"N/A",IF((LEFT(G88,4))&gt;(LEFT(AO29,4)),E87+1,))),"")</f>
        <v/>
      </c>
      <c r="F88" s="554">
        <f>IF(H88=AN27,"1",IF(H88&lt;AN27,"N/A",IF(H88&gt;AN27,SUM(F87+1))))</f>
        <v>20</v>
      </c>
      <c r="G88" s="555" t="s">
        <v>349</v>
      </c>
      <c r="H88" s="556" t="str">
        <f>LEFT(Table145242[[#This Row],[Payment Financial Year]],4)</f>
        <v>2042</v>
      </c>
      <c r="I88" s="556" t="str">
        <f>TRIM(Table145242[[#This Row],[Hide Column, First PY]])</f>
        <v>2042</v>
      </c>
      <c r="J88" s="557" t="str">
        <f>TRIM(AO16)</f>
        <v>1899</v>
      </c>
      <c r="K88" s="555" t="str">
        <f>D49</f>
        <v/>
      </c>
      <c r="L88" s="558" t="str">
        <f t="shared" si="1"/>
        <v/>
      </c>
      <c r="M88" s="559" t="e">
        <f>IF(SUM(T87+Table145242[[#This Row],[Interest Payment]])&lt;N18,SUM(Table145242[[#This Row],[Beginning Capital Balance]]+Table145242[[#This Row],[Interest Payment]]),IF(Table145242[[#This Row],[Hide Column]]&gt;AN27,IF(AND(W88&gt;=0.1,W88&lt;N18),N18,IF(I88&gt;=AO29,N18,0)),0))</f>
        <v>#VALUE!</v>
      </c>
      <c r="N88" s="558" t="e">
        <f>IF(Table145242[[#This Row],[Hide Column]]&lt;AN27,"",IF(Table145242[[#This Row],[Hide Column]]=AN27,G49,SUM(SUM(Table145242[[#This Row],[Beginning Capital Balance]]*D50))))</f>
        <v>#VALUE!</v>
      </c>
      <c r="O88" s="558" t="str">
        <f>IF(AB89="Capital Repayments Finished",Table145242[[#This Row],[Beginning Capital Balance]],IF(Table145242[[#This Row],[Hide Column]]&gt;=AO26,IFERROR((Table145242[[#This Row],[Minimum required repayment value (per annum)]]-Table145242[[#This Row],[Interest Payment]]),0),0))</f>
        <v/>
      </c>
      <c r="P88" s="560" t="str">
        <f>TRIM(Table145242[[#This Row],[Capital Repayment]])</f>
        <v/>
      </c>
      <c r="Q88" s="551">
        <v>0</v>
      </c>
      <c r="R88" s="558">
        <f>SUM(Table145242[[#This Row],[Capital Repayment]:[Early Capital Repayment]])</f>
        <v>0</v>
      </c>
      <c r="S88" s="558" t="e">
        <f>SUM(Table145242[[#This Row],[Interest Payment]:[Early Capital Repayment]])</f>
        <v>#VALUE!</v>
      </c>
      <c r="T88" s="559" t="str">
        <f>IF(Table145242[[#This Row],[Total Repayment (excludes interest payments)]]=0,Table145242[[#This Row],[Beginning Capital Balance]],L88-R88)</f>
        <v/>
      </c>
      <c r="U88" s="558">
        <f>U87+Table145242[[#This Row],[Total Repayment (excludes interest payments)]]</f>
        <v>0</v>
      </c>
      <c r="V88" s="558" t="e">
        <f>V87+Table145242[[#This Row],[Interest Payment]]</f>
        <v>#VALUE!</v>
      </c>
      <c r="W88" s="561" t="str">
        <f>IF(N18="","",IF(M62&gt;T87,T87,M62))</f>
        <v/>
      </c>
      <c r="X88" s="561" t="str">
        <f>IF(Table145242[[#This Row],[hide - Ending Balance Test - shows what the final payment should be]]&lt;M62,Table145242[[#This Row],[hide - Ending Balance Test - shows what the final payment should be]],"")</f>
        <v/>
      </c>
      <c r="Y88" s="562" t="str">
        <f>TRIM(Table145242[[#This Row],[Cumulative Capital Payments]])</f>
        <v>0</v>
      </c>
      <c r="Z88" s="563" t="e">
        <f>IF(Table145242[[#This Row],[Ending Capital Balance]]=D49,Table145242[[#This Row],[Interest Payment]],0)</f>
        <v>#VALUE!</v>
      </c>
      <c r="AA88" s="563">
        <f>IFERROR(VALUE(Table145242[[#This Row],[Capital Repayment Payment Number]]), 0)</f>
        <v>0</v>
      </c>
      <c r="AB88" s="564" t="str">
        <f t="shared" ref="AB88:AB93" si="2">IF(OR(L87&lt;=$N$18,AB87="Capital Repayments Finished"),"Capital Repayments Finished","Capital Repayments Incomplete")</f>
        <v>Capital Repayments Finished</v>
      </c>
      <c r="AC88" s="569">
        <f>IF(Table145242[[#This Row],[Repayment Status]]="Capital Repayments Finished",0,Table145242[[#This Row],[Interest Payment]])</f>
        <v>0</v>
      </c>
      <c r="AD88" s="569">
        <f>IFERROR(IF(Table145242[[#This Row],[Capital Repayment]]&lt;=0,0,IF(Table145242[[#This Row],[Repayment Status]]="Capital Repayments Finished",0,Table145242[[#This Row],[Capital Repayment]])),0)</f>
        <v>0</v>
      </c>
      <c r="AE88" s="575"/>
      <c r="AF88" s="575"/>
    </row>
    <row r="89" spans="2:32" hidden="1" x14ac:dyDescent="0.2">
      <c r="B89" s="575"/>
      <c r="C89" s="566">
        <v>52291</v>
      </c>
      <c r="D89" s="567">
        <v>52655</v>
      </c>
      <c r="E89" s="554" t="str">
        <f>IFERROR(IF((LEFT(G89,4))=(LEFT(AO29,4)),"1",IF((LEFT(G89,4))&lt;(LEFT(AO29,4)),"N/A",IF((LEFT(G89,4))&gt;(LEFT(AO29,4)),E88+1,))),"")</f>
        <v/>
      </c>
      <c r="F89" s="554">
        <f>IF(H89=AN27,"1",IF(H89&lt;AN27,"N/A",IF(H89&gt;AN27,SUM(F88+1))))</f>
        <v>21</v>
      </c>
      <c r="G89" s="568" t="s">
        <v>350</v>
      </c>
      <c r="H89" s="556" t="str">
        <f>LEFT(Table145242[[#This Row],[Payment Financial Year]],4)</f>
        <v>2043</v>
      </c>
      <c r="I89" s="556" t="str">
        <f>TRIM(Table145242[[#This Row],[Hide Column, First PY]])</f>
        <v>2043</v>
      </c>
      <c r="J89" s="557" t="str">
        <f>TRIM(AO16)</f>
        <v>1899</v>
      </c>
      <c r="K89" s="555" t="str">
        <f>D49</f>
        <v/>
      </c>
      <c r="L89" s="558" t="str">
        <f t="shared" si="1"/>
        <v/>
      </c>
      <c r="M89" s="559" t="e">
        <f>IF(SUM(T88+Table145242[[#This Row],[Interest Payment]])&lt;N18,SUM(Table145242[[#This Row],[Beginning Capital Balance]]+Table145242[[#This Row],[Interest Payment]]),IF(Table145242[[#This Row],[Hide Column]]&gt;AN27,IF(AND(W89&gt;=0.1,W89&lt;N18),N18,IF(I89&gt;=AO29,N18,0)),0))</f>
        <v>#VALUE!</v>
      </c>
      <c r="N89" s="558" t="e">
        <f>IF(Table145242[[#This Row],[Hide Column]]&lt;AN27,"",IF(Table145242[[#This Row],[Hide Column]]=AN27,G49,SUM(SUM(Table145242[[#This Row],[Beginning Capital Balance]]*D50))))</f>
        <v>#VALUE!</v>
      </c>
      <c r="O89" s="558" t="str">
        <f>IF(AB90="Capital Repayments Finished",Table145242[[#This Row],[Beginning Capital Balance]],IF(Table145242[[#This Row],[Hide Column]]&gt;=AO26,IFERROR((Table145242[[#This Row],[Minimum required repayment value (per annum)]]-Table145242[[#This Row],[Interest Payment]]),0),0))</f>
        <v/>
      </c>
      <c r="P89" s="560" t="str">
        <f>TRIM(Table145242[[#This Row],[Capital Repayment]])</f>
        <v/>
      </c>
      <c r="Q89" s="551">
        <v>0</v>
      </c>
      <c r="R89" s="558">
        <f>SUM(Table145242[[#This Row],[Capital Repayment]:[Early Capital Repayment]])</f>
        <v>0</v>
      </c>
      <c r="S89" s="558" t="e">
        <f>SUM(Table145242[[#This Row],[Interest Payment]:[Early Capital Repayment]])</f>
        <v>#VALUE!</v>
      </c>
      <c r="T89" s="559" t="str">
        <f>IF(Table145242[[#This Row],[Total Repayment (excludes interest payments)]]=0,Table145242[[#This Row],[Beginning Capital Balance]],L89-R89)</f>
        <v/>
      </c>
      <c r="U89" s="558">
        <f>U88+Table145242[[#This Row],[Total Repayment (excludes interest payments)]]</f>
        <v>0</v>
      </c>
      <c r="V89" s="558" t="e">
        <f>V88+Table145242[[#This Row],[Interest Payment]]</f>
        <v>#VALUE!</v>
      </c>
      <c r="W89" s="561" t="str">
        <f>IF(N18="","",IF(M62&gt;T88,T88,M62))</f>
        <v/>
      </c>
      <c r="X89" s="561" t="str">
        <f>IF(Table145242[[#This Row],[hide - Ending Balance Test - shows what the final payment should be]]&lt;M62,Table145242[[#This Row],[hide - Ending Balance Test - shows what the final payment should be]],"")</f>
        <v/>
      </c>
      <c r="Y89" s="562" t="str">
        <f>TRIM(Table145242[[#This Row],[Cumulative Capital Payments]])</f>
        <v>0</v>
      </c>
      <c r="Z89" s="563" t="e">
        <f>IF(Table145242[[#This Row],[Ending Capital Balance]]=D49,Table145242[[#This Row],[Interest Payment]],0)</f>
        <v>#VALUE!</v>
      </c>
      <c r="AA89" s="563">
        <f>IFERROR(VALUE(Table145242[[#This Row],[Capital Repayment Payment Number]]), 0)</f>
        <v>0</v>
      </c>
      <c r="AB89" s="564" t="str">
        <f t="shared" si="2"/>
        <v>Capital Repayments Finished</v>
      </c>
      <c r="AC89" s="569">
        <f>IF(Table145242[[#This Row],[Repayment Status]]="Capital Repayments Finished",0,Table145242[[#This Row],[Interest Payment]])</f>
        <v>0</v>
      </c>
      <c r="AD89" s="569">
        <f>IFERROR(IF(Table145242[[#This Row],[Capital Repayment]]&lt;=0,0,IF(Table145242[[#This Row],[Repayment Status]]="Capital Repayments Finished",0,Table145242[[#This Row],[Capital Repayment]])),0)</f>
        <v>0</v>
      </c>
      <c r="AE89" s="575"/>
      <c r="AF89" s="575"/>
    </row>
    <row r="90" spans="2:32" hidden="1" x14ac:dyDescent="0.2">
      <c r="B90" s="575"/>
      <c r="C90" s="566">
        <v>52657</v>
      </c>
      <c r="D90" s="553">
        <v>53021</v>
      </c>
      <c r="E90" s="554" t="str">
        <f>IFERROR(IF((LEFT(G90,4))=(LEFT(AO29,4)),"1",IF((LEFT(G90,4))&lt;(LEFT(AO29,4)),"N/A",IF((LEFT(G90,4))&gt;(LEFT(AO29,4)),E89+1,))),"")</f>
        <v/>
      </c>
      <c r="F90" s="554">
        <f>IF(H90=AN27,"1",IF(H90&lt;AN27,"N/A",IF(H90&gt;AN27,SUM(F89+1))))</f>
        <v>22</v>
      </c>
      <c r="G90" s="555" t="s">
        <v>351</v>
      </c>
      <c r="H90" s="556" t="str">
        <f>LEFT(Table145242[[#This Row],[Payment Financial Year]],4)</f>
        <v>2044</v>
      </c>
      <c r="I90" s="556" t="str">
        <f>TRIM(Table145242[[#This Row],[Hide Column, First PY]])</f>
        <v>2044</v>
      </c>
      <c r="J90" s="557" t="str">
        <f>TRIM(AO16)</f>
        <v>1899</v>
      </c>
      <c r="K90" s="555" t="str">
        <f>D49</f>
        <v/>
      </c>
      <c r="L90" s="558" t="str">
        <f t="shared" si="1"/>
        <v/>
      </c>
      <c r="M90" s="559" t="e">
        <f>IF(SUM(T89+Table145242[[#This Row],[Interest Payment]])&lt;N18,SUM(Table145242[[#This Row],[Beginning Capital Balance]]+Table145242[[#This Row],[Interest Payment]]),IF(Table145242[[#This Row],[Hide Column]]&gt;AN27,IF(AND(W90&gt;=0.1,W90&lt;N18),N18,IF(I90&gt;=AO29,N18,0)),0))</f>
        <v>#VALUE!</v>
      </c>
      <c r="N90" s="558" t="e">
        <f>IF(Table145242[[#This Row],[Hide Column]]&lt;AN27,"",IF(Table145242[[#This Row],[Hide Column]]=AN27,G49,SUM(SUM(Table145242[[#This Row],[Beginning Capital Balance]]*D50))))</f>
        <v>#VALUE!</v>
      </c>
      <c r="O90" s="558" t="str">
        <f>IF(AB91="Capital Repayments Finished",Table145242[[#This Row],[Beginning Capital Balance]],IF(Table145242[[#This Row],[Hide Column]]&gt;=AO26,IFERROR((Table145242[[#This Row],[Minimum required repayment value (per annum)]]-Table145242[[#This Row],[Interest Payment]]),0),0))</f>
        <v/>
      </c>
      <c r="P90" s="560" t="str">
        <f>TRIM(Table145242[[#This Row],[Capital Repayment]])</f>
        <v/>
      </c>
      <c r="Q90" s="551">
        <v>0</v>
      </c>
      <c r="R90" s="558">
        <f>SUM(Table145242[[#This Row],[Capital Repayment]:[Early Capital Repayment]])</f>
        <v>0</v>
      </c>
      <c r="S90" s="558" t="e">
        <f>SUM(Table145242[[#This Row],[Interest Payment]:[Early Capital Repayment]])</f>
        <v>#VALUE!</v>
      </c>
      <c r="T90" s="559" t="str">
        <f>IF(Table145242[[#This Row],[Total Repayment (excludes interest payments)]]=0,Table145242[[#This Row],[Beginning Capital Balance]],L90-R90)</f>
        <v/>
      </c>
      <c r="U90" s="558">
        <f>U89+Table145242[[#This Row],[Total Repayment (excludes interest payments)]]</f>
        <v>0</v>
      </c>
      <c r="V90" s="558" t="e">
        <f>V89+Table145242[[#This Row],[Interest Payment]]</f>
        <v>#VALUE!</v>
      </c>
      <c r="W90" s="561" t="str">
        <f>IF(N18="","",IF(M62&gt;T89,T89,M62))</f>
        <v/>
      </c>
      <c r="X90" s="561" t="str">
        <f>IF(Table145242[[#This Row],[hide - Ending Balance Test - shows what the final payment should be]]&lt;M62,Table145242[[#This Row],[hide - Ending Balance Test - shows what the final payment should be]],"")</f>
        <v/>
      </c>
      <c r="Y90" s="562" t="str">
        <f>TRIM(Table145242[[#This Row],[Cumulative Capital Payments]])</f>
        <v>0</v>
      </c>
      <c r="Z90" s="563" t="e">
        <f>IF(Table145242[[#This Row],[Ending Capital Balance]]=D49,Table145242[[#This Row],[Interest Payment]],0)</f>
        <v>#VALUE!</v>
      </c>
      <c r="AA90" s="563">
        <f>IFERROR(VALUE(Table145242[[#This Row],[Capital Repayment Payment Number]]), 0)</f>
        <v>0</v>
      </c>
      <c r="AB90" s="564" t="str">
        <f t="shared" si="2"/>
        <v>Capital Repayments Finished</v>
      </c>
      <c r="AC90" s="569">
        <f>IF(Table145242[[#This Row],[Repayment Status]]="Capital Repayments Finished",0,Table145242[[#This Row],[Interest Payment]])</f>
        <v>0</v>
      </c>
      <c r="AD90" s="569">
        <f>IFERROR(IF(Table145242[[#This Row],[Capital Repayment]]&lt;=0,0,IF(Table145242[[#This Row],[Repayment Status]]="Capital Repayments Finished",0,Table145242[[#This Row],[Capital Repayment]])),0)</f>
        <v>0</v>
      </c>
      <c r="AE90" s="575"/>
      <c r="AF90" s="575"/>
    </row>
    <row r="91" spans="2:32" hidden="1" x14ac:dyDescent="0.2">
      <c r="B91" s="575"/>
      <c r="C91" s="570">
        <v>53022</v>
      </c>
      <c r="D91" s="567">
        <v>53386</v>
      </c>
      <c r="E91" s="554" t="str">
        <f>IFERROR(IF((LEFT(G91,4))=(LEFT(AO29,4)),"1",IF((LEFT(G91,4))&lt;(LEFT(AO29,4)),"N/A",IF((LEFT(G91,4))&gt;(LEFT(AO29,4)),E90+1,))),"")</f>
        <v/>
      </c>
      <c r="F91" s="554">
        <f>IF(H91=AN27,"1",IF(H91&lt;AN27,"N/A",IF(H91&gt;AN27,SUM(F90+1))))</f>
        <v>23</v>
      </c>
      <c r="G91" s="568" t="s">
        <v>352</v>
      </c>
      <c r="H91" s="556" t="str">
        <f>LEFT(Table145242[[#This Row],[Payment Financial Year]],4)</f>
        <v>2045</v>
      </c>
      <c r="I91" s="556" t="str">
        <f>TRIM(Table145242[[#This Row],[Hide Column, First PY]])</f>
        <v>2045</v>
      </c>
      <c r="J91" s="557" t="str">
        <f>TRIM(AO16)</f>
        <v>1899</v>
      </c>
      <c r="K91" s="555" t="str">
        <f>D49</f>
        <v/>
      </c>
      <c r="L91" s="558" t="str">
        <f t="shared" si="1"/>
        <v/>
      </c>
      <c r="M91" s="559" t="e">
        <f>IF(SUM(T90+Table145242[[#This Row],[Interest Payment]])&lt;N18,SUM(Table145242[[#This Row],[Beginning Capital Balance]]+Table145242[[#This Row],[Interest Payment]]),IF(Table145242[[#This Row],[Hide Column]]&gt;AN27,IF(AND(W91&gt;=0.1,W91&lt;N18),N18,IF(I91&gt;=AO29,N18,0)),0))</f>
        <v>#VALUE!</v>
      </c>
      <c r="N91" s="558" t="e">
        <f>IF(Table145242[[#This Row],[Hide Column]]&lt;AN27,"",IF(Table145242[[#This Row],[Hide Column]]=AN27,G49,SUM(SUM(Table145242[[#This Row],[Beginning Capital Balance]]*D50))))</f>
        <v>#VALUE!</v>
      </c>
      <c r="O91" s="558" t="str">
        <f>IF(AB92="Capital Repayments Finished",Table145242[[#This Row],[Beginning Capital Balance]],IF(Table145242[[#This Row],[Hide Column]]&gt;=AO26,IFERROR((Table145242[[#This Row],[Minimum required repayment value (per annum)]]-Table145242[[#This Row],[Interest Payment]]),0),0))</f>
        <v/>
      </c>
      <c r="P91" s="560" t="str">
        <f>TRIM(Table145242[[#This Row],[Capital Repayment]])</f>
        <v/>
      </c>
      <c r="Q91" s="551">
        <v>0</v>
      </c>
      <c r="R91" s="558">
        <f>SUM(Table145242[[#This Row],[Capital Repayment]:[Early Capital Repayment]])</f>
        <v>0</v>
      </c>
      <c r="S91" s="558" t="e">
        <f>SUM(Table145242[[#This Row],[Interest Payment]:[Early Capital Repayment]])</f>
        <v>#VALUE!</v>
      </c>
      <c r="T91" s="559" t="str">
        <f>IF(Table145242[[#This Row],[Total Repayment (excludes interest payments)]]=0,Table145242[[#This Row],[Beginning Capital Balance]],L91-R91)</f>
        <v/>
      </c>
      <c r="U91" s="558">
        <f>U90+Table145242[[#This Row],[Total Repayment (excludes interest payments)]]</f>
        <v>0</v>
      </c>
      <c r="V91" s="558" t="e">
        <f>V90+Table145242[[#This Row],[Interest Payment]]</f>
        <v>#VALUE!</v>
      </c>
      <c r="W91" s="561" t="str">
        <f>IF(N18="","",IF(M62&gt;T90,T90,M62))</f>
        <v/>
      </c>
      <c r="X91" s="561" t="str">
        <f>IF(Table145242[[#This Row],[hide - Ending Balance Test - shows what the final payment should be]]&lt;M62,Table145242[[#This Row],[hide - Ending Balance Test - shows what the final payment should be]],"")</f>
        <v/>
      </c>
      <c r="Y91" s="562" t="str">
        <f>TRIM(Table145242[[#This Row],[Cumulative Capital Payments]])</f>
        <v>0</v>
      </c>
      <c r="Z91" s="563" t="e">
        <f>IF(Table145242[[#This Row],[Ending Capital Balance]]=D49,Table145242[[#This Row],[Interest Payment]],0)</f>
        <v>#VALUE!</v>
      </c>
      <c r="AA91" s="563">
        <f>IFERROR(VALUE(Table145242[[#This Row],[Capital Repayment Payment Number]]), 0)</f>
        <v>0</v>
      </c>
      <c r="AB91" s="564" t="str">
        <f t="shared" si="2"/>
        <v>Capital Repayments Finished</v>
      </c>
      <c r="AC91" s="569">
        <f>IF(Table145242[[#This Row],[Repayment Status]]="Capital Repayments Finished",0,Table145242[[#This Row],[Interest Payment]])</f>
        <v>0</v>
      </c>
      <c r="AD91" s="569">
        <f>IFERROR(IF(Table145242[[#This Row],[Capital Repayment]]&lt;=0,0,IF(Table145242[[#This Row],[Repayment Status]]="Capital Repayments Finished",0,Table145242[[#This Row],[Capital Repayment]])),0)</f>
        <v>0</v>
      </c>
      <c r="AE91" s="575"/>
      <c r="AF91" s="575"/>
    </row>
    <row r="92" spans="2:32" hidden="1" x14ac:dyDescent="0.2">
      <c r="B92" s="575"/>
      <c r="C92" s="566">
        <v>53387</v>
      </c>
      <c r="D92" s="553">
        <v>53751</v>
      </c>
      <c r="E92" s="554" t="str">
        <f>IFERROR(IF((LEFT(G92,4))=(LEFT(AO29,4)),"1",IF((LEFT(G92,4))&lt;(LEFT(AO29,4)),"N/A",IF((LEFT(G92,4))&gt;(LEFT(AO29,4)),E91+1,))),"")</f>
        <v/>
      </c>
      <c r="F92" s="554">
        <f>IF(H92=AN27,"1",IF(H92&lt;AN27,"N/A",IF(H92&gt;AN27,SUM(F91+1))))</f>
        <v>24</v>
      </c>
      <c r="G92" s="568" t="s">
        <v>353</v>
      </c>
      <c r="H92" s="556" t="str">
        <f>LEFT(Table145242[[#This Row],[Payment Financial Year]],4)</f>
        <v>2046</v>
      </c>
      <c r="I92" s="556" t="str">
        <f>TRIM(Table145242[[#This Row],[Hide Column, First PY]])</f>
        <v>2046</v>
      </c>
      <c r="J92" s="557" t="str">
        <f>TRIM(AO16)</f>
        <v>1899</v>
      </c>
      <c r="K92" s="555" t="str">
        <f>D49</f>
        <v/>
      </c>
      <c r="L92" s="558" t="str">
        <f t="shared" si="1"/>
        <v/>
      </c>
      <c r="M92" s="559" t="e">
        <f>IF(SUM(T91+Table145242[[#This Row],[Interest Payment]])&lt;N18,SUM(Table145242[[#This Row],[Beginning Capital Balance]]+Table145242[[#This Row],[Interest Payment]]),IF(Table145242[[#This Row],[Hide Column]]&gt;AN27,IF(AND(W92&gt;=0.1,W92&lt;N18),N18,IF(I92&gt;=AO29,N18,0)),0))</f>
        <v>#VALUE!</v>
      </c>
      <c r="N92" s="558" t="e">
        <f>IF(Table145242[[#This Row],[Hide Column]]&lt;AN27,"",IF(Table145242[[#This Row],[Hide Column]]=AN27,G49,SUM(SUM(Table145242[[#This Row],[Beginning Capital Balance]]*D50))))</f>
        <v>#VALUE!</v>
      </c>
      <c r="O92" s="558" t="str">
        <f>IF(AB93="Capital Repayments Finished",Table145242[[#This Row],[Beginning Capital Balance]],IF(Table145242[[#This Row],[Hide Column]]&gt;=AO26,IFERROR((Table145242[[#This Row],[Minimum required repayment value (per annum)]]-Table145242[[#This Row],[Interest Payment]]),0),0))</f>
        <v/>
      </c>
      <c r="P92" s="560" t="str">
        <f>TRIM(Table145242[[#This Row],[Capital Repayment]])</f>
        <v/>
      </c>
      <c r="Q92" s="551">
        <v>0</v>
      </c>
      <c r="R92" s="558">
        <f>SUM(Table145242[[#This Row],[Capital Repayment]:[Early Capital Repayment]])</f>
        <v>0</v>
      </c>
      <c r="S92" s="558" t="e">
        <f>SUM(Table145242[[#This Row],[Interest Payment]:[Early Capital Repayment]])</f>
        <v>#VALUE!</v>
      </c>
      <c r="T92" s="559" t="str">
        <f>IF(Table145242[[#This Row],[Total Repayment (excludes interest payments)]]=0,Table145242[[#This Row],[Beginning Capital Balance]],L92-R92)</f>
        <v/>
      </c>
      <c r="U92" s="558">
        <f>U91+Table145242[[#This Row],[Total Repayment (excludes interest payments)]]</f>
        <v>0</v>
      </c>
      <c r="V92" s="558" t="e">
        <f>V91+Table145242[[#This Row],[Interest Payment]]</f>
        <v>#VALUE!</v>
      </c>
      <c r="W92" s="561" t="str">
        <f>IF(N18="","",IF(M62&gt;T91,T91,M62))</f>
        <v/>
      </c>
      <c r="X92" s="561" t="str">
        <f>IF(Table145242[[#This Row],[hide - Ending Balance Test - shows what the final payment should be]]&lt;M62,Table145242[[#This Row],[hide - Ending Balance Test - shows what the final payment should be]],"")</f>
        <v/>
      </c>
      <c r="Y92" s="562" t="str">
        <f>TRIM(Table145242[[#This Row],[Cumulative Capital Payments]])</f>
        <v>0</v>
      </c>
      <c r="Z92" s="563" t="e">
        <f>IF(Table145242[[#This Row],[Ending Capital Balance]]=D49,Table145242[[#This Row],[Interest Payment]],0)</f>
        <v>#VALUE!</v>
      </c>
      <c r="AA92" s="563">
        <f>IFERROR(VALUE(Table145242[[#This Row],[Capital Repayment Payment Number]]), 0)</f>
        <v>0</v>
      </c>
      <c r="AB92" s="564" t="str">
        <f t="shared" si="2"/>
        <v>Capital Repayments Finished</v>
      </c>
      <c r="AC92" s="569">
        <f>IF(Table145242[[#This Row],[Repayment Status]]="Capital Repayments Finished",0,Table145242[[#This Row],[Interest Payment]])</f>
        <v>0</v>
      </c>
      <c r="AD92" s="569">
        <f>IFERROR(IF(Table145242[[#This Row],[Capital Repayment]]&lt;=0,0,IF(Table145242[[#This Row],[Repayment Status]]="Capital Repayments Finished",0,Table145242[[#This Row],[Capital Repayment]])),0)</f>
        <v>0</v>
      </c>
      <c r="AE92" s="575"/>
      <c r="AF92" s="575"/>
    </row>
    <row r="93" spans="2:32" hidden="1" x14ac:dyDescent="0.2">
      <c r="B93" s="575"/>
      <c r="C93" s="570">
        <v>53752</v>
      </c>
      <c r="D93" s="567">
        <v>54362</v>
      </c>
      <c r="E93" s="554" t="str">
        <f>IFERROR(IF((LEFT(G93,4))=(LEFT(AO29,4)),"1",IF((LEFT(G93,4))&lt;(LEFT(AO29,4)),"N/A",IF((LEFT(G93,4))&gt;(LEFT(AO29,4)),E92+1,))),"")</f>
        <v/>
      </c>
      <c r="F93" s="554">
        <f>IF(H93=AN27,"1",IF(H93&lt;AN27,"N/A",IF(H93&gt;AN27,SUM(F92+1))))</f>
        <v>25</v>
      </c>
      <c r="G93" s="568" t="s">
        <v>354</v>
      </c>
      <c r="H93" s="556" t="str">
        <f>LEFT(Table145242[[#This Row],[Payment Financial Year]],4)</f>
        <v>2047</v>
      </c>
      <c r="I93" s="556" t="str">
        <f>TRIM(Table145242[[#This Row],[Hide Column, First PY]])</f>
        <v>2047</v>
      </c>
      <c r="J93" s="557" t="str">
        <f>TRIM(AO16)</f>
        <v>1899</v>
      </c>
      <c r="K93" s="555" t="str">
        <f>D49</f>
        <v/>
      </c>
      <c r="L93" s="558" t="str">
        <f t="shared" si="1"/>
        <v/>
      </c>
      <c r="M93" s="559" t="str">
        <f>IF(Table145242[[#This Row],[Hide Column]]&gt;AN27,IF(AND(W93&gt;=0.1,W93&lt;N18),N18,IF(I93&gt;=AO29,N18,0)),0)</f>
        <v>Input Loan Payback Length in 1a.</v>
      </c>
      <c r="N93" s="558" t="e">
        <f>IF(Table145242[[#This Row],[Hide Column]]&lt;AN27,"",IF(Table145242[[#This Row],[Hide Column]]=AN27,G49,SUM(SUM(Table145242[[#This Row],[Beginning Capital Balance]]*D50))))</f>
        <v>#VALUE!</v>
      </c>
      <c r="O93" s="558" t="str">
        <f>IF(AB93="Capital Repayments Finished",Table145242[[#This Row],[Beginning Capital Balance]],IF(Table145242[[#This Row],[Hide Column]]&gt;=AO26,IFERROR((Table145242[[#This Row],[Minimum required repayment value (per annum)]]-Table145242[[#This Row],[Interest Payment]]),0),0))</f>
        <v/>
      </c>
      <c r="P93" s="560" t="str">
        <f>TRIM(Table145242[[#This Row],[Capital Repayment]])</f>
        <v/>
      </c>
      <c r="Q93" s="551">
        <v>0</v>
      </c>
      <c r="R93" s="558">
        <f>SUM(Table145242[[#This Row],[Capital Repayment]:[Early Capital Repayment]])</f>
        <v>0</v>
      </c>
      <c r="S93" s="558" t="e">
        <f>SUM(Table145242[[#This Row],[Interest Payment]:[Early Capital Repayment]])</f>
        <v>#VALUE!</v>
      </c>
      <c r="T93" s="559" t="str">
        <f>IF(Table145242[[#This Row],[Total Repayment (excludes interest payments)]]=0,Table145242[[#This Row],[Beginning Capital Balance]],L93-R93)</f>
        <v/>
      </c>
      <c r="U93" s="558">
        <f>U92+Table145242[[#This Row],[Total Repayment (excludes interest payments)]]</f>
        <v>0</v>
      </c>
      <c r="V93" s="558" t="e">
        <f>V92+Table145242[[#This Row],[Interest Payment]]</f>
        <v>#VALUE!</v>
      </c>
      <c r="W93" s="561" t="str">
        <f>IF(N18="","",IF(M62&gt;T92,T92,M62))</f>
        <v/>
      </c>
      <c r="X93" s="561" t="str">
        <f>IF(Table145242[[#This Row],[hide - Ending Balance Test - shows what the final payment should be]]&lt;M62,Table145242[[#This Row],[hide - Ending Balance Test - shows what the final payment should be]],"")</f>
        <v/>
      </c>
      <c r="Y93" s="562" t="str">
        <f>TRIM(Table145242[[#This Row],[Cumulative Capital Payments]])</f>
        <v>0</v>
      </c>
      <c r="Z93" s="563" t="e">
        <f>IF(Table145242[[#This Row],[Ending Capital Balance]]=D49,Table145242[[#This Row],[Interest Payment]],0)</f>
        <v>#VALUE!</v>
      </c>
      <c r="AA93" s="563">
        <f>IFERROR(VALUE(Table145242[[#This Row],[Capital Repayment Payment Number]]), 0)</f>
        <v>0</v>
      </c>
      <c r="AB93" s="564" t="str">
        <f t="shared" si="2"/>
        <v>Capital Repayments Finished</v>
      </c>
      <c r="AC93" s="569">
        <f>IF(Table145242[[#This Row],[Repayment Status]]="Capital Repayments Finished",0,Table145242[[#This Row],[Interest Payment]])</f>
        <v>0</v>
      </c>
      <c r="AD93" s="569">
        <f>IFERROR(IF(Table145242[[#This Row],[Capital Repayment]]&lt;=0,0,IF(Table145242[[#This Row],[Repayment Status]]="Capital Repayments Finished",0,Table145242[[#This Row],[Capital Repayment]])),0)</f>
        <v>0</v>
      </c>
      <c r="AE93" s="575"/>
      <c r="AF93" s="575"/>
    </row>
    <row r="94" spans="2:32" x14ac:dyDescent="0.2">
      <c r="B94" s="575"/>
      <c r="C94" s="575"/>
      <c r="D94" s="575"/>
      <c r="E94" s="575"/>
      <c r="F94" s="575"/>
      <c r="G94" s="575"/>
      <c r="H94" s="575"/>
      <c r="I94" s="575"/>
      <c r="J94" s="575"/>
      <c r="K94" s="575"/>
      <c r="L94" s="575"/>
      <c r="M94" s="575"/>
      <c r="N94" s="575"/>
      <c r="O94" s="575"/>
      <c r="P94" s="575"/>
      <c r="Q94" s="575"/>
      <c r="R94" s="575"/>
      <c r="S94" s="575"/>
      <c r="T94" s="575"/>
      <c r="U94" s="575"/>
      <c r="V94" s="575"/>
      <c r="W94" s="575"/>
      <c r="X94" s="575"/>
      <c r="Y94" s="575"/>
      <c r="Z94" s="575"/>
      <c r="AA94" s="575"/>
      <c r="AB94" s="575"/>
      <c r="AC94" s="575"/>
      <c r="AD94" s="575"/>
      <c r="AE94" s="575"/>
      <c r="AF94" s="575"/>
    </row>
    <row r="95" spans="2:32" x14ac:dyDescent="0.2">
      <c r="B95" s="575"/>
      <c r="C95" s="575"/>
      <c r="D95" s="575"/>
      <c r="E95" s="575"/>
      <c r="F95" s="575"/>
      <c r="G95" s="575"/>
      <c r="H95" s="575"/>
      <c r="I95" s="575"/>
      <c r="J95" s="575"/>
      <c r="K95" s="575"/>
      <c r="L95" s="575"/>
      <c r="M95" s="575"/>
      <c r="N95" s="575"/>
      <c r="O95" s="575"/>
      <c r="P95" s="575"/>
      <c r="Q95" s="575"/>
      <c r="R95" s="575"/>
      <c r="S95" s="575"/>
      <c r="T95" s="575"/>
      <c r="U95" s="575"/>
      <c r="V95" s="575"/>
      <c r="W95" s="575"/>
      <c r="X95" s="575"/>
      <c r="Y95" s="575"/>
      <c r="Z95" s="575"/>
      <c r="AA95" s="575"/>
      <c r="AB95" s="575"/>
      <c r="AC95" s="575"/>
      <c r="AD95" s="575"/>
      <c r="AE95" s="575"/>
      <c r="AF95" s="575"/>
    </row>
    <row r="96" spans="2:32" x14ac:dyDescent="0.2">
      <c r="B96" s="575"/>
      <c r="C96" s="575"/>
      <c r="D96" s="575"/>
      <c r="E96" s="575"/>
      <c r="F96" s="575"/>
      <c r="G96" s="575"/>
      <c r="H96" s="575"/>
      <c r="I96" s="575"/>
      <c r="J96" s="575"/>
      <c r="K96" s="575"/>
      <c r="L96" s="575"/>
      <c r="M96" s="575"/>
      <c r="N96" s="575"/>
      <c r="O96" s="575"/>
      <c r="P96" s="575"/>
      <c r="Q96" s="575"/>
      <c r="R96" s="575"/>
      <c r="S96" s="575"/>
      <c r="T96" s="575"/>
      <c r="U96" s="575"/>
      <c r="V96" s="575"/>
      <c r="W96" s="575"/>
      <c r="X96" s="575"/>
      <c r="Y96" s="575"/>
      <c r="Z96" s="575"/>
      <c r="AA96" s="575"/>
      <c r="AB96" s="575"/>
      <c r="AC96" s="575"/>
      <c r="AD96" s="575"/>
      <c r="AE96" s="575"/>
      <c r="AF96" s="575"/>
    </row>
  </sheetData>
  <sheetProtection algorithmName="SHA-512" hashValue="ybxStBrKjc4kgNy7tMsFZBVXij2pz8IFcIL7CGap/V3rSM4sEp0RFY+oLxBzgtL+qkc5P2c+FGyp3wwCSoYA2w==" saltValue="mVyCMOSIxgPgudjzu38NwA==" spinCount="100000" sheet="1" objects="1" scenarios="1"/>
  <mergeCells count="18">
    <mergeCell ref="C67:D67"/>
    <mergeCell ref="E67:M67"/>
    <mergeCell ref="C45:N45"/>
    <mergeCell ref="Q45:R45"/>
    <mergeCell ref="C47:D47"/>
    <mergeCell ref="F47:G47"/>
    <mergeCell ref="F55:G55"/>
    <mergeCell ref="C64:E64"/>
    <mergeCell ref="C36:L37"/>
    <mergeCell ref="C39:L43"/>
    <mergeCell ref="C29:G29"/>
    <mergeCell ref="C28:F28"/>
    <mergeCell ref="C23:F24"/>
    <mergeCell ref="C3:G4"/>
    <mergeCell ref="C6:N8"/>
    <mergeCell ref="C16:M17"/>
    <mergeCell ref="N23:N26"/>
    <mergeCell ref="C35:G35"/>
  </mergeCells>
  <phoneticPr fontId="124" type="noConversion"/>
  <conditionalFormatting sqref="C67:E67 N67">
    <cfRule type="expression" dxfId="74" priority="392">
      <formula>$N$15=1</formula>
    </cfRule>
  </conditionalFormatting>
  <conditionalFormatting sqref="E70:F93">
    <cfRule type="cellIs" dxfId="73" priority="39" operator="equal">
      <formula>"N/A"</formula>
    </cfRule>
  </conditionalFormatting>
  <conditionalFormatting sqref="L31:M31">
    <cfRule type="expression" dxfId="72" priority="11">
      <formula>"IF($J$28=""No"")"</formula>
    </cfRule>
  </conditionalFormatting>
  <conditionalFormatting sqref="L71:P71 R71:V71">
    <cfRule type="expression" dxfId="71" priority="37">
      <formula>$AB$71="Capital Repayments Finished"</formula>
    </cfRule>
  </conditionalFormatting>
  <conditionalFormatting sqref="L72:P72 R72:V72">
    <cfRule type="expression" dxfId="70" priority="36">
      <formula>$AB$72="Capital Repayments Finished"</formula>
    </cfRule>
  </conditionalFormatting>
  <conditionalFormatting sqref="L73:P73 R73:V73">
    <cfRule type="expression" dxfId="69" priority="31">
      <formula>$AB$73="Capital Repayments Finished"</formula>
    </cfRule>
  </conditionalFormatting>
  <conditionalFormatting sqref="L74:P74 R74:V74">
    <cfRule type="expression" dxfId="68" priority="30">
      <formula>$AB$74="Capital Repayments Finished"</formula>
    </cfRule>
  </conditionalFormatting>
  <conditionalFormatting sqref="L75:P75 R75:V75">
    <cfRule type="expression" dxfId="67" priority="32">
      <formula>$AB$75="Capital Repayments Finished"</formula>
    </cfRule>
  </conditionalFormatting>
  <conditionalFormatting sqref="L76:P76 R76:V76">
    <cfRule type="expression" dxfId="66" priority="33">
      <formula>$AB$76="Capital Repayments Finished"</formula>
    </cfRule>
  </conditionalFormatting>
  <conditionalFormatting sqref="L77:P77 R77:V77">
    <cfRule type="expression" dxfId="65" priority="34">
      <formula>$AB$77="Capital Repayments Finished"</formula>
    </cfRule>
  </conditionalFormatting>
  <conditionalFormatting sqref="L78:P78 R78:V78">
    <cfRule type="expression" dxfId="64" priority="29">
      <formula>$AB$78="Capital Repayments Finished"</formula>
    </cfRule>
  </conditionalFormatting>
  <conditionalFormatting sqref="L79:P79 R79:V79">
    <cfRule type="expression" dxfId="63" priority="28">
      <formula>$AB$79="Capital Repayments Finished"</formula>
    </cfRule>
  </conditionalFormatting>
  <conditionalFormatting sqref="L80:P80 R80:V80">
    <cfRule type="expression" dxfId="62" priority="27">
      <formula>$AB$80="Capital Repayments Finished"</formula>
    </cfRule>
  </conditionalFormatting>
  <conditionalFormatting sqref="L81:P81 R81:V81">
    <cfRule type="expression" dxfId="61" priority="26">
      <formula>$AB$81="Capital Repayments Finished"</formula>
    </cfRule>
  </conditionalFormatting>
  <conditionalFormatting sqref="L82:P82 R82:V82">
    <cfRule type="expression" dxfId="60" priority="25">
      <formula>$AB$82="Capital Repayments Finished"</formula>
    </cfRule>
  </conditionalFormatting>
  <conditionalFormatting sqref="L83:P83 R83:V83">
    <cfRule type="expression" dxfId="59" priority="24">
      <formula>$AB$83="Capital Repayments Finished"</formula>
    </cfRule>
  </conditionalFormatting>
  <conditionalFormatting sqref="L84:P84 R84:V84">
    <cfRule type="expression" dxfId="58" priority="23">
      <formula>$AB$84="Capital Repayments Finished"</formula>
    </cfRule>
  </conditionalFormatting>
  <conditionalFormatting sqref="L85:P85 R85:V85">
    <cfRule type="expression" dxfId="57" priority="22">
      <formula>$AB$85="Capital Repayments Finished"</formula>
    </cfRule>
  </conditionalFormatting>
  <conditionalFormatting sqref="L86:P86 R86:V86">
    <cfRule type="expression" dxfId="56" priority="21">
      <formula>$AB$86="Capital Repayments Finished"</formula>
    </cfRule>
  </conditionalFormatting>
  <conditionalFormatting sqref="L87:P87 R87:V87">
    <cfRule type="expression" dxfId="55" priority="20">
      <formula>$AB$87="Capital Repayments Finished"</formula>
    </cfRule>
  </conditionalFormatting>
  <conditionalFormatting sqref="L88:P88 R88:V88">
    <cfRule type="expression" dxfId="54" priority="19">
      <formula>$AB$88="Capital Repayments Finished"</formula>
    </cfRule>
  </conditionalFormatting>
  <conditionalFormatting sqref="L89:P89 R89:V89">
    <cfRule type="expression" dxfId="53" priority="18">
      <formula>$AB$89="Capital Repayments Finished"</formula>
    </cfRule>
  </conditionalFormatting>
  <conditionalFormatting sqref="L90:P90 R90:V90">
    <cfRule type="expression" dxfId="52" priority="17">
      <formula>$AB$90="Capital Repayments Finished"</formula>
    </cfRule>
  </conditionalFormatting>
  <conditionalFormatting sqref="L91:P91 R91:V91">
    <cfRule type="expression" dxfId="51" priority="16">
      <formula>$AB$91="Capital Repayments Finished"</formula>
    </cfRule>
  </conditionalFormatting>
  <conditionalFormatting sqref="L92:P92 R92:V92">
    <cfRule type="expression" dxfId="50" priority="15">
      <formula>$AB$92="Capital Repayments Finished"</formula>
    </cfRule>
  </conditionalFormatting>
  <conditionalFormatting sqref="L93:P93 R93:V93">
    <cfRule type="expression" dxfId="49" priority="38">
      <formula>$AB$93="Capital Repayments Finished"</formula>
    </cfRule>
  </conditionalFormatting>
  <conditionalFormatting sqref="L70:V70 L71:L72 Q71:Q93">
    <cfRule type="expression" dxfId="48" priority="35">
      <formula>$AB$70="Capital Repayments Finished"</formula>
    </cfRule>
  </conditionalFormatting>
  <conditionalFormatting sqref="L70:AB93">
    <cfRule type="expression" dxfId="47" priority="394">
      <formula>$N$15=1</formula>
    </cfRule>
  </conditionalFormatting>
  <conditionalFormatting sqref="M32">
    <cfRule type="expression" dxfId="46" priority="2">
      <formula>AND($L$32="Yes",$M$32="")</formula>
    </cfRule>
  </conditionalFormatting>
  <conditionalFormatting sqref="M33">
    <cfRule type="expression" dxfId="45" priority="3">
      <formula>AND($L$33="Yes",$M$33="")</formula>
    </cfRule>
  </conditionalFormatting>
  <conditionalFormatting sqref="N31">
    <cfRule type="expression" dxfId="44" priority="1">
      <formula>AND($L$31="Yes",$N$31="")</formula>
    </cfRule>
  </conditionalFormatting>
  <conditionalFormatting sqref="N32">
    <cfRule type="expression" dxfId="43" priority="5">
      <formula>AND($L$32="Yes",$N$32="")</formula>
    </cfRule>
  </conditionalFormatting>
  <conditionalFormatting sqref="N33">
    <cfRule type="expression" dxfId="42" priority="4">
      <formula>AND($L$33="Yes",$N$33="")</formula>
    </cfRule>
  </conditionalFormatting>
  <dataValidations count="38">
    <dataValidation allowBlank="1" showInputMessage="1" showErrorMessage="1" prompt="Early Capital Repayments cannot be inputted when 'Capital Repayments Finished'." sqref="AB70:AB93" xr:uid="{9C7136B3-F6F5-4411-8ADB-C5C6ADDED572}"/>
    <dataValidation type="whole" operator="lessThan" allowBlank="1" showInputMessage="1" showErrorMessage="1" prompt="The value for Early Capital Repayment must not exceed the total outstanding Capital Balance. This is the Beginning Capital Balance minus Minimum Required Repayment Value for the Financial Year. It cannot be input into the final repayment year." sqref="Q70:Q93" xr:uid="{A1442059-625C-42F0-BF66-2E15A750806C}">
      <formula1>SUM(L70-M70)</formula1>
    </dataValidation>
    <dataValidation allowBlank="1" showInputMessage="1" showErrorMessage="1" prompt="'Capital Repayments Finished' indicates that the loan is estimated to have been repaid." sqref="AB69" xr:uid="{F108B703-F070-4F63-B4B4-EEE2CB24051E}"/>
    <dataValidation allowBlank="1" showInputMessage="1" showErrorMessage="1" promptTitle="Total Interest Payments" prompt="This is the value of the interest payments as calculated in the table below." sqref="G51:G53" xr:uid="{C0023F70-E5FE-4CBC-B073-9A2900F30399}"/>
    <dataValidation allowBlank="1" showInputMessage="1" showErrorMessage="1" promptTitle="Drawdown Date-Interest Payment" prompt="This is the time (months) between the Estimated drawdown date and the date the Year 1 interest payment is due. This length is what the first interest payment is apportioned to." sqref="G50" xr:uid="{72596171-8707-4C96-8084-CD97AE82D1CB}"/>
    <dataValidation allowBlank="1" showInputMessage="1" showErrorMessage="1" promptTitle="First Interest Payment" prompt="The first interest payment is due on the first 28 February after the first drawdown." sqref="G48" xr:uid="{98B4646F-A8A0-44A4-A3F4-977B11D4AB33}"/>
    <dataValidation allowBlank="1" showInputMessage="1" showErrorMessage="1" prompt="If you intend to repay part of your capital balance early, indicate this in Section 1, 1b." sqref="G56" xr:uid="{8D160663-5AF7-4607-9AA6-FF79A895FA27}"/>
    <dataValidation allowBlank="1" showInputMessage="1" showErrorMessage="1" prompt="You can choose to repay part of your capital balance early either before the project has completed or throughout the repayment period by entering values into the early capital repayment column. This is the total value of early capital repayments." sqref="G57" xr:uid="{35DCFD81-1C32-46C7-A659-111DC0ADAAA0}"/>
    <dataValidation allowBlank="1" showInputMessage="1" showErrorMessage="1" prompt="Standard repayments of the capital will start after the project has completed. This is the total value of capital repayments in the table below." sqref="G58" xr:uid="{EA730635-2461-4E8B-9EBE-6983755A726E}"/>
    <dataValidation allowBlank="1" showInputMessage="1" showErrorMessage="1" promptTitle="Estimated Project Completion" prompt="This date is taken from the 'Business Case' tab and is the end date of the measures included in the application." sqref="D54" xr:uid="{0E938B2C-54C1-48FD-ABB9-E15679DBE585}"/>
    <dataValidation allowBlank="1" showInputMessage="1" showErrorMessage="1" promptTitle="Annual interest rate" prompt="A fixed interest rate at the current government borrowing rate of 2.05% will be applied on the loan.  The rate will not change during the loan term." sqref="D50" xr:uid="{0B831BF9-330F-4125-BCCF-7C778C232A0F}"/>
    <dataValidation allowBlank="1" showInputMessage="1" showErrorMessage="1" promptTitle="Total loan requested" prompt="This value is taken from the 'Project Compliance Tool' and is the total loan requested for the application." sqref="D49" xr:uid="{7A74E7D6-2A0B-43D8-BCCA-0B32E184959C}"/>
    <dataValidation allowBlank="1" showInputMessage="1" showErrorMessage="1" promptTitle="Project value" prompt="This value is taken from the 'Project Compliance Tool'" sqref="D48" xr:uid="{6FB7176A-CCAA-4F66-A894-19BE071CC8E3}"/>
    <dataValidation allowBlank="1" showInputMessage="1" showErrorMessage="1" promptTitle="Total Net Financial Impact" prompt="This value is taken from the Project Compliance Tool to show the estimated annual financial savings for the whole project." sqref="N11" xr:uid="{E658DE9A-26E8-4341-8312-9B211C95CF33}"/>
    <dataValidation allowBlank="1" showInputMessage="1" showErrorMessage="1" promptTitle="Minimum required repayment value" prompt="This value is apportioned to capital and interest in the below amortisation table. It will increase/decrease depending on the intended years to payback the loan entered above." sqref="N18" xr:uid="{42D4CF1C-D8E3-4176-A450-EA7E48878A95}"/>
    <dataValidation allowBlank="1" showInputMessage="1" showErrorMessage="1" prompt="The total cumulative interest payments each Financial Year." sqref="V69" xr:uid="{E14389CA-EC4A-483C-9D6D-E25E0DA14E53}"/>
    <dataValidation allowBlank="1" showInputMessage="1" showErrorMessage="1" prompt="The total cumulative capital payments each Financial Year." sqref="U69" xr:uid="{244968A3-F2F7-4FCB-A1F7-C01121FD1417}"/>
    <dataValidation allowBlank="1" showInputMessage="1" showErrorMessage="1" prompt="The total outstanding capital balance to be repaid at the end of each year. _x000a__x000a_This is the beginning capital balance less the total repayment._x000a__x000a_Excludes interest payment._x000a_" sqref="T69" xr:uid="{75D0BCDA-7520-4612-A75C-3E0CD612AE03}"/>
    <dataValidation allowBlank="1" showInputMessage="1" showErrorMessage="1" prompt="The total value that will be repaid per annum. This is the sum of the Total Repayment plus any Early Capital Repayments. This does not include any interest payments." sqref="R69" xr:uid="{99C1EA92-6C65-4584-A5A2-6B663FCB69E4}"/>
    <dataValidation allowBlank="1" showInputMessage="1" showErrorMessage="1" prompt="Please enter the value of early capital repayments in this column. This cannot be greater than the beginning capital balance for that Financial Year._x000a_Do not input into the final payment Financial Year." sqref="Q69" xr:uid="{5247101B-5721-4895-AF1C-F79F7A82B620}"/>
    <dataValidation allowBlank="1" showInputMessage="1" showErrorMessage="1" prompt="Proportion of the annual minimum required repayment proportioned to capital." sqref="O69" xr:uid="{B8EE54E4-787D-415C-85F0-6060B475FB07}"/>
    <dataValidation allowBlank="1" showInputMessage="1" showErrorMessage="1" prompt="Proportion of the annual minimum required repayment proportioned to interest." sqref="N69" xr:uid="{75F1880B-3820-4D51-AD82-4173AAA558FD}"/>
    <dataValidation allowBlank="1" showInputMessage="1" showErrorMessage="1" prompt="This is based on the total annual repayments required to repay the full capital loan requested plus interest by the repayment deadline." sqref="M69" xr:uid="{107BFCB2-799A-4E07-9647-70AC34E87B6A}"/>
    <dataValidation allowBlank="1" showInputMessage="1" showErrorMessage="1" prompt="The total outstanding capital balance to be repaid at the start of each year." sqref="L69" xr:uid="{CD06CD85-B693-420E-8A88-C9850FF25B52}"/>
    <dataValidation allowBlank="1" showInputMessage="1" showErrorMessage="1" prompt="The Fiscal Year that the payment is within." sqref="G69" xr:uid="{6B2CD68E-D377-4898-ABD0-2FA08EC32BE9}"/>
    <dataValidation allowBlank="1" showInputMessage="1" showErrorMessage="1" prompt="The number of payments being paid towards interest." sqref="F69" xr:uid="{67B89A83-88B3-4AE3-9FCE-C4A28ADE93C3}"/>
    <dataValidation allowBlank="1" showInputMessage="1" showErrorMessage="1" prompt="The number of payments being paid towards the capital." sqref="E69" xr:uid="{C1216DAA-CDA7-4138-87D9-2A6D147698A2}"/>
    <dataValidation allowBlank="1" showInputMessage="1" showErrorMessage="1" prompt="The ending date at which your loan is compounded and interest is collected." sqref="D69" xr:uid="{87D80C99-B1C3-441A-8149-1B6517186A6D}"/>
    <dataValidation allowBlank="1" showInputMessage="1" showErrorMessage="1" prompt="The starting date at which your loan begins accruing interest." sqref="C69" xr:uid="{BF18D83F-BDE5-4640-AAC1-026741E2865D}"/>
    <dataValidation type="whole" operator="lessThanOrEqual" allowBlank="1" showInputMessage="1" showErrorMessage="1" promptTitle="Loan Payback Length" prompt="Please input the number of years that you intend to payback your loan in. The maximum permitted value is determined by the technical payback of the measures applied for._x000a_If any early repayments, this length may change." sqref="N15" xr:uid="{A3B24340-D731-4AED-9E0E-73739D3D4653}">
      <formula1>N12</formula1>
    </dataValidation>
    <dataValidation type="decimal" allowBlank="1" showInputMessage="1" showErrorMessage="1" sqref="M65:N65" xr:uid="{B69A5B7B-8898-44B6-A0BD-803A17A4E1FE}">
      <formula1>0</formula1>
      <formula2>E66</formula2>
    </dataValidation>
    <dataValidation type="list" allowBlank="1" showInputMessage="1" showErrorMessage="1" promptTitle="Early Repayments" prompt="Please indicate whether you anticipate to make any early payments. Please input these into the Early Capital Repayment column in the below table." sqref="N22" xr:uid="{7453FD74-1696-4A9A-A58B-5D7CD774A8FF}">
      <formula1>"Yes,No"</formula1>
    </dataValidation>
    <dataValidation allowBlank="1" showInputMessage="1" showErrorMessage="1" promptTitle="First Interest Payment Value" prompt="This is first interest payment as calculated in the table below." sqref="G49" xr:uid="{124E1A13-7401-4968-BD06-E202B9A1C51C}"/>
    <dataValidation type="whole" operator="lessThanOrEqual" allowBlank="1" showErrorMessage="1" promptTitle="Loan Payback Length" prompt="Please input the number of years that you intend to payback " sqref="N16" xr:uid="{CA937624-BFE0-4BBC-B6BD-8086443BDBB1}">
      <formula1>$AO$24</formula1>
    </dataValidation>
    <dataValidation type="list" allowBlank="1" showInputMessage="1" showErrorMessage="1" sqref="N28 L32:L33" xr:uid="{4886DEC3-1E0C-43F2-BA5C-308E30FEC308}">
      <formula1>"Yes,No"</formula1>
    </dataValidation>
    <dataValidation type="list" allowBlank="1" showInputMessage="1" showErrorMessage="1" sqref="M33" xr:uid="{22FED432-2FD1-4C34-866E-FBF4F072B0AE}">
      <formula1>$AO$45:$AO$48</formula1>
    </dataValidation>
    <dataValidation type="list" allowBlank="1" showInputMessage="1" showErrorMessage="1" sqref="M32" xr:uid="{E2058867-C35F-4F21-904F-D83B92A9A4BC}">
      <formula1>$AO$41:$AO$44</formula1>
    </dataValidation>
    <dataValidation allowBlank="1" showInputMessage="1" showErrorMessage="1" promptTitle="Estimated drawdown date" prompt="The drawdown date will be automatically calculated as 6 weeks after the submission date, entered in the 'Business Case' tab." sqref="D51" xr:uid="{40C1D2D0-5350-44E6-923B-CE084C3D0F4B}"/>
  </dataValidations>
  <pageMargins left="0.7" right="0.7" top="0.75" bottom="0.75" header="0.3" footer="0.3"/>
  <pageSetup paperSize="9" orientation="portrait" r:id="rId1"/>
  <customProperties>
    <customPr name="GUID" r:id="rId2"/>
  </customProperties>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382573"/>
    <pageSetUpPr fitToPage="1"/>
  </sheetPr>
  <dimension ref="A1:AH141"/>
  <sheetViews>
    <sheetView showGridLines="0" zoomScale="70" zoomScaleNormal="70" workbookViewId="0">
      <selection activeCell="N22" sqref="N22"/>
    </sheetView>
  </sheetViews>
  <sheetFormatPr defaultColWidth="9.42578125" defaultRowHeight="27" customHeight="1" x14ac:dyDescent="0.3"/>
  <cols>
    <col min="1" max="2" width="3.42578125" style="342" customWidth="1"/>
    <col min="3" max="3" width="36.42578125" style="346" customWidth="1"/>
    <col min="4" max="4" width="64" style="345" customWidth="1"/>
    <col min="5" max="6" width="20.42578125" style="345" customWidth="1"/>
    <col min="7" max="7" width="20.42578125" style="344" customWidth="1"/>
    <col min="8" max="8" width="3.42578125" style="343" customWidth="1"/>
    <col min="9" max="9" width="10.42578125" style="343" customWidth="1"/>
    <col min="10" max="10" width="12.42578125" style="342" customWidth="1"/>
    <col min="11" max="11" width="14.42578125" style="342" customWidth="1"/>
    <col min="12" max="12" width="18.140625" style="342" hidden="1" customWidth="1"/>
    <col min="13" max="13" width="28.42578125" style="342" customWidth="1"/>
    <col min="14" max="14" width="43.42578125" style="342" customWidth="1"/>
    <col min="15" max="15" width="15.85546875" style="342" hidden="1" customWidth="1"/>
    <col min="16" max="16" width="0" style="342" hidden="1" customWidth="1"/>
    <col min="17" max="16384" width="9.42578125" style="342"/>
  </cols>
  <sheetData>
    <row r="1" spans="1:34" ht="16.350000000000001" customHeight="1" x14ac:dyDescent="0.3">
      <c r="A1" s="347"/>
      <c r="B1" s="347"/>
      <c r="C1" s="432"/>
      <c r="D1" s="431"/>
      <c r="E1" s="431"/>
      <c r="F1" s="431"/>
      <c r="G1" s="430"/>
      <c r="H1" s="426"/>
      <c r="I1" s="426"/>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row>
    <row r="2" spans="1:34" ht="17.100000000000001" customHeight="1" x14ac:dyDescent="0.3">
      <c r="A2" s="347"/>
      <c r="B2" s="348"/>
      <c r="C2" s="429"/>
      <c r="D2" s="429"/>
      <c r="E2" s="429"/>
      <c r="F2" s="429"/>
      <c r="G2" s="428"/>
      <c r="H2" s="427"/>
      <c r="I2" s="426"/>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row>
    <row r="3" spans="1:34" ht="35.1" customHeight="1" x14ac:dyDescent="0.3">
      <c r="A3" s="347"/>
      <c r="B3" s="348"/>
      <c r="C3" s="962" t="s">
        <v>355</v>
      </c>
      <c r="D3" s="962"/>
      <c r="E3" s="455"/>
      <c r="F3" s="455"/>
      <c r="G3" s="425"/>
      <c r="H3" s="348"/>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row>
    <row r="4" spans="1:34" ht="46.35" customHeight="1" x14ac:dyDescent="0.3">
      <c r="A4" s="347"/>
      <c r="B4" s="348"/>
      <c r="C4" s="963"/>
      <c r="D4" s="963"/>
      <c r="E4" s="456"/>
      <c r="F4" s="456"/>
      <c r="G4" s="424"/>
      <c r="H4" s="348"/>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row>
    <row r="5" spans="1:34" ht="44.85" customHeight="1" thickBot="1" x14ac:dyDescent="0.35">
      <c r="A5" s="347"/>
      <c r="B5" s="348"/>
      <c r="C5" s="964" t="s">
        <v>356</v>
      </c>
      <c r="D5" s="964"/>
      <c r="E5" s="964"/>
      <c r="F5" s="964"/>
      <c r="G5" s="964"/>
      <c r="H5" s="348"/>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row>
    <row r="6" spans="1:34" s="421" customFormat="1" ht="30" customHeight="1" thickBot="1" x14ac:dyDescent="0.4">
      <c r="A6" s="409"/>
      <c r="B6" s="423"/>
      <c r="C6" s="404" t="s">
        <v>44</v>
      </c>
      <c r="D6" s="422" t="s">
        <v>357</v>
      </c>
      <c r="E6" s="402" t="s">
        <v>358</v>
      </c>
      <c r="F6" s="402" t="s">
        <v>359</v>
      </c>
      <c r="G6" s="401" t="s">
        <v>360</v>
      </c>
      <c r="H6" s="411"/>
      <c r="I6" s="410"/>
      <c r="J6" s="966" t="s">
        <v>361</v>
      </c>
      <c r="K6" s="966"/>
      <c r="L6" s="966"/>
      <c r="M6" s="966"/>
      <c r="N6" s="966"/>
      <c r="O6" s="347"/>
      <c r="P6" s="347"/>
      <c r="Q6" s="347"/>
      <c r="R6" s="347"/>
      <c r="S6" s="409"/>
      <c r="T6" s="409"/>
      <c r="U6" s="409"/>
      <c r="V6" s="409"/>
      <c r="W6" s="409"/>
      <c r="X6" s="409"/>
      <c r="Y6" s="409"/>
      <c r="Z6" s="409"/>
      <c r="AA6" s="409"/>
      <c r="AB6" s="409"/>
      <c r="AC6" s="409"/>
      <c r="AD6" s="409"/>
      <c r="AE6" s="409"/>
      <c r="AF6" s="409"/>
      <c r="AG6" s="409"/>
      <c r="AH6" s="409"/>
    </row>
    <row r="7" spans="1:34" ht="27" customHeight="1" x14ac:dyDescent="0.3">
      <c r="A7" s="347"/>
      <c r="B7" s="348"/>
      <c r="C7" s="365" t="s">
        <v>362</v>
      </c>
      <c r="D7" s="357" t="s">
        <v>363</v>
      </c>
      <c r="E7" s="363" t="s">
        <v>364</v>
      </c>
      <c r="F7" s="420"/>
      <c r="G7" s="362">
        <v>20</v>
      </c>
      <c r="H7" s="360"/>
      <c r="I7" s="359"/>
      <c r="J7" s="965" t="s">
        <v>365</v>
      </c>
      <c r="K7" s="965"/>
      <c r="L7" s="965"/>
      <c r="M7" s="965"/>
      <c r="N7" s="965"/>
      <c r="O7" s="347"/>
      <c r="P7" s="347"/>
      <c r="Q7" s="347"/>
      <c r="R7" s="347"/>
      <c r="S7" s="347"/>
      <c r="T7" s="347"/>
      <c r="U7" s="347"/>
      <c r="V7" s="347"/>
      <c r="W7" s="347"/>
      <c r="X7" s="347"/>
      <c r="Y7" s="347"/>
      <c r="Z7" s="347"/>
      <c r="AA7" s="347"/>
      <c r="AB7" s="347"/>
      <c r="AC7" s="347"/>
      <c r="AD7" s="347"/>
      <c r="AE7" s="347"/>
      <c r="AF7" s="347"/>
      <c r="AG7" s="347"/>
      <c r="AH7" s="347"/>
    </row>
    <row r="8" spans="1:34" ht="27" customHeight="1" x14ac:dyDescent="0.3">
      <c r="A8" s="347"/>
      <c r="B8" s="348"/>
      <c r="C8" s="370"/>
      <c r="D8" s="357" t="s">
        <v>366</v>
      </c>
      <c r="E8" s="368" t="s">
        <v>364</v>
      </c>
      <c r="F8" s="419"/>
      <c r="G8" s="367">
        <v>20</v>
      </c>
      <c r="H8" s="360"/>
      <c r="I8" s="359"/>
      <c r="J8" s="965"/>
      <c r="K8" s="965"/>
      <c r="L8" s="965"/>
      <c r="M8" s="965"/>
      <c r="N8" s="965"/>
      <c r="O8" s="347"/>
      <c r="P8" s="347"/>
      <c r="Q8" s="347"/>
      <c r="R8" s="347"/>
      <c r="S8" s="347"/>
      <c r="T8" s="347"/>
      <c r="U8" s="347"/>
      <c r="V8" s="347"/>
      <c r="W8" s="347"/>
      <c r="X8" s="347"/>
      <c r="Y8" s="347"/>
      <c r="Z8" s="347"/>
      <c r="AA8" s="347"/>
      <c r="AB8" s="347"/>
      <c r="AC8" s="347"/>
      <c r="AD8" s="347"/>
      <c r="AE8" s="347"/>
      <c r="AF8" s="347"/>
      <c r="AG8" s="347"/>
      <c r="AH8" s="347"/>
    </row>
    <row r="9" spans="1:34" ht="27" customHeight="1" x14ac:dyDescent="0.3">
      <c r="A9" s="347"/>
      <c r="B9" s="348"/>
      <c r="C9" s="361"/>
      <c r="D9" s="357" t="s">
        <v>367</v>
      </c>
      <c r="E9" s="356" t="s">
        <v>364</v>
      </c>
      <c r="F9" s="416"/>
      <c r="G9" s="355">
        <v>25</v>
      </c>
      <c r="H9" s="360"/>
      <c r="I9" s="359"/>
      <c r="J9" s="965"/>
      <c r="K9" s="965"/>
      <c r="L9" s="965"/>
      <c r="M9" s="965"/>
      <c r="N9" s="965"/>
      <c r="O9" s="347"/>
      <c r="P9" s="347"/>
      <c r="Q9" s="347"/>
      <c r="R9" s="347"/>
      <c r="S9" s="347"/>
      <c r="T9" s="347"/>
      <c r="U9" s="347"/>
      <c r="V9" s="347"/>
      <c r="W9" s="347"/>
      <c r="X9" s="347"/>
      <c r="Y9" s="347"/>
      <c r="Z9" s="347"/>
      <c r="AA9" s="347"/>
      <c r="AB9" s="347"/>
      <c r="AC9" s="347"/>
      <c r="AD9" s="347"/>
      <c r="AE9" s="347"/>
      <c r="AF9" s="347"/>
      <c r="AG9" s="347"/>
      <c r="AH9" s="347"/>
    </row>
    <row r="10" spans="1:34" ht="27" customHeight="1" x14ac:dyDescent="0.3">
      <c r="A10" s="347"/>
      <c r="B10" s="348"/>
      <c r="C10" s="361"/>
      <c r="D10" s="357" t="s">
        <v>368</v>
      </c>
      <c r="E10" s="356" t="s">
        <v>364</v>
      </c>
      <c r="F10" s="416"/>
      <c r="G10" s="355">
        <v>25</v>
      </c>
      <c r="H10" s="360"/>
      <c r="I10" s="359"/>
      <c r="J10" s="965"/>
      <c r="K10" s="965"/>
      <c r="L10" s="965"/>
      <c r="M10" s="965"/>
      <c r="N10" s="965"/>
      <c r="O10" s="347"/>
      <c r="P10" s="347"/>
      <c r="Q10" s="347"/>
      <c r="R10" s="347"/>
      <c r="S10" s="347"/>
      <c r="T10" s="347"/>
      <c r="U10" s="347"/>
      <c r="V10" s="347"/>
      <c r="W10" s="347"/>
      <c r="X10" s="347"/>
      <c r="Y10" s="347"/>
      <c r="Z10" s="347"/>
      <c r="AA10" s="347"/>
      <c r="AB10" s="347"/>
      <c r="AC10" s="347"/>
      <c r="AD10" s="347"/>
      <c r="AE10" s="347"/>
      <c r="AF10" s="347"/>
      <c r="AG10" s="347"/>
      <c r="AH10" s="347"/>
    </row>
    <row r="11" spans="1:34" s="414" customFormat="1" ht="27" customHeight="1" x14ac:dyDescent="0.3">
      <c r="A11" s="418"/>
      <c r="B11" s="417"/>
      <c r="C11" s="361"/>
      <c r="D11" s="357" t="s">
        <v>369</v>
      </c>
      <c r="E11" s="356" t="s">
        <v>364</v>
      </c>
      <c r="F11" s="416"/>
      <c r="G11" s="415">
        <v>30</v>
      </c>
      <c r="H11" s="360"/>
      <c r="I11" s="359"/>
      <c r="J11" s="965"/>
      <c r="K11" s="965"/>
      <c r="L11" s="965"/>
      <c r="M11" s="965"/>
      <c r="N11" s="965"/>
      <c r="O11" s="347"/>
      <c r="P11" s="347"/>
      <c r="Q11" s="347"/>
      <c r="R11" s="347"/>
      <c r="S11" s="347"/>
      <c r="T11" s="347"/>
      <c r="U11" s="347"/>
      <c r="V11" s="347"/>
      <c r="W11" s="347"/>
      <c r="X11" s="347"/>
      <c r="Y11" s="347"/>
      <c r="Z11" s="347"/>
      <c r="AA11" s="347"/>
      <c r="AB11" s="347"/>
      <c r="AC11" s="347"/>
      <c r="AD11" s="347"/>
      <c r="AE11" s="347"/>
      <c r="AF11" s="347"/>
      <c r="AG11" s="347"/>
      <c r="AH11" s="347"/>
    </row>
    <row r="12" spans="1:34" s="414" customFormat="1" ht="27" customHeight="1" x14ac:dyDescent="0.3">
      <c r="A12" s="418"/>
      <c r="B12" s="417"/>
      <c r="C12" s="399"/>
      <c r="D12" s="398" t="s">
        <v>370</v>
      </c>
      <c r="E12" s="386" t="s">
        <v>364</v>
      </c>
      <c r="F12" s="416"/>
      <c r="G12" s="415">
        <v>10</v>
      </c>
      <c r="H12" s="360"/>
      <c r="I12" s="359"/>
      <c r="J12" s="523"/>
      <c r="K12" s="523"/>
      <c r="L12" s="523"/>
      <c r="M12" s="523"/>
      <c r="N12" s="523"/>
      <c r="O12" s="347"/>
      <c r="P12" s="347"/>
      <c r="Q12" s="347"/>
      <c r="R12" s="347"/>
      <c r="S12" s="347"/>
      <c r="T12" s="347"/>
      <c r="U12" s="347"/>
      <c r="V12" s="347"/>
      <c r="W12" s="347"/>
      <c r="X12" s="347"/>
      <c r="Y12" s="347"/>
      <c r="Z12" s="347"/>
      <c r="AA12" s="347"/>
      <c r="AB12" s="347"/>
      <c r="AC12" s="347"/>
      <c r="AD12" s="347"/>
      <c r="AE12" s="347"/>
      <c r="AF12" s="347"/>
      <c r="AG12" s="347"/>
      <c r="AH12" s="347"/>
    </row>
    <row r="13" spans="1:34" s="408" customFormat="1" ht="27" customHeight="1" x14ac:dyDescent="0.35">
      <c r="A13" s="413"/>
      <c r="B13" s="412"/>
      <c r="C13" s="399"/>
      <c r="D13" s="398" t="s">
        <v>371</v>
      </c>
      <c r="E13" s="386" t="s">
        <v>364</v>
      </c>
      <c r="F13" s="407"/>
      <c r="G13" s="406">
        <v>12</v>
      </c>
      <c r="H13" s="411"/>
      <c r="I13" s="410"/>
      <c r="J13" s="347"/>
      <c r="K13" s="347"/>
      <c r="L13" s="347"/>
      <c r="M13" s="347"/>
      <c r="N13" s="347"/>
      <c r="O13" s="347"/>
      <c r="P13" s="347"/>
      <c r="Q13" s="347"/>
      <c r="R13" s="347"/>
      <c r="S13" s="347"/>
      <c r="T13" s="347"/>
      <c r="U13" s="409"/>
      <c r="V13" s="409"/>
      <c r="W13" s="409"/>
      <c r="X13" s="409"/>
      <c r="Y13" s="409"/>
      <c r="Z13" s="409"/>
      <c r="AA13" s="409"/>
      <c r="AB13" s="409"/>
      <c r="AC13" s="409"/>
      <c r="AD13" s="409"/>
      <c r="AE13" s="409"/>
      <c r="AF13" s="409"/>
      <c r="AG13" s="409"/>
      <c r="AH13" s="409"/>
    </row>
    <row r="14" spans="1:34" ht="27" customHeight="1" thickBot="1" x14ac:dyDescent="0.35">
      <c r="A14" s="347"/>
      <c r="B14" s="348"/>
      <c r="C14" s="399"/>
      <c r="D14" s="398" t="s">
        <v>372</v>
      </c>
      <c r="E14" s="386" t="s">
        <v>364</v>
      </c>
      <c r="F14" s="407"/>
      <c r="G14" s="406">
        <v>25</v>
      </c>
      <c r="H14" s="360"/>
      <c r="I14" s="359"/>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row>
    <row r="15" spans="1:34" ht="27" customHeight="1" thickBot="1" x14ac:dyDescent="0.35">
      <c r="A15" s="347"/>
      <c r="B15" s="348"/>
      <c r="C15" s="399"/>
      <c r="D15" s="351" t="s">
        <v>373</v>
      </c>
      <c r="E15" s="350" t="s">
        <v>364</v>
      </c>
      <c r="F15" s="405"/>
      <c r="G15" s="375">
        <v>20</v>
      </c>
      <c r="H15" s="360"/>
      <c r="I15" s="359"/>
      <c r="J15" s="457" t="s">
        <v>374</v>
      </c>
      <c r="K15" s="246"/>
      <c r="L15" s="246"/>
      <c r="M15" s="246"/>
      <c r="N15" s="247"/>
      <c r="O15" s="347"/>
      <c r="P15" s="347"/>
      <c r="Q15" s="347"/>
      <c r="R15" s="347"/>
      <c r="S15" s="347"/>
      <c r="T15" s="347"/>
      <c r="U15" s="347"/>
      <c r="V15" s="347"/>
      <c r="W15" s="347"/>
      <c r="X15" s="347"/>
      <c r="Y15" s="347"/>
      <c r="Z15" s="347"/>
      <c r="AA15" s="347"/>
      <c r="AB15" s="347"/>
      <c r="AC15" s="347"/>
      <c r="AD15" s="347"/>
      <c r="AE15" s="347"/>
      <c r="AF15" s="347"/>
      <c r="AG15" s="347"/>
      <c r="AH15" s="347"/>
    </row>
    <row r="16" spans="1:34" ht="27" customHeight="1" thickBot="1" x14ac:dyDescent="0.35">
      <c r="A16" s="347"/>
      <c r="B16" s="348"/>
      <c r="C16" s="404" t="s">
        <v>44</v>
      </c>
      <c r="D16" s="403" t="s">
        <v>357</v>
      </c>
      <c r="E16" s="402" t="s">
        <v>358</v>
      </c>
      <c r="F16" s="402" t="s">
        <v>359</v>
      </c>
      <c r="G16" s="401" t="s">
        <v>375</v>
      </c>
      <c r="H16" s="360"/>
      <c r="I16" s="359"/>
      <c r="J16" s="458" t="s">
        <v>376</v>
      </c>
      <c r="K16" s="459" t="s">
        <v>377</v>
      </c>
      <c r="L16" s="522" t="s">
        <v>378</v>
      </c>
      <c r="M16" s="522"/>
      <c r="N16" s="460"/>
      <c r="O16" s="447" t="s">
        <v>379</v>
      </c>
      <c r="P16" s="448"/>
      <c r="Q16" s="347"/>
      <c r="R16" s="347"/>
      <c r="S16" s="347"/>
      <c r="T16" s="347"/>
      <c r="U16" s="347"/>
      <c r="V16" s="347"/>
      <c r="W16" s="347"/>
      <c r="X16" s="347"/>
      <c r="Y16" s="347"/>
      <c r="Z16" s="347"/>
      <c r="AA16" s="347"/>
      <c r="AB16" s="347"/>
      <c r="AC16" s="347"/>
      <c r="AD16" s="347"/>
      <c r="AE16" s="347"/>
      <c r="AF16" s="347"/>
      <c r="AG16" s="347"/>
      <c r="AH16" s="347"/>
    </row>
    <row r="17" spans="1:34" ht="27" customHeight="1" x14ac:dyDescent="0.3">
      <c r="A17" s="347"/>
      <c r="B17" s="348"/>
      <c r="C17" s="400" t="s">
        <v>380</v>
      </c>
      <c r="D17" s="364" t="s">
        <v>381</v>
      </c>
      <c r="E17" s="363" t="s">
        <v>364</v>
      </c>
      <c r="F17" s="363" t="s">
        <v>364</v>
      </c>
      <c r="G17" s="362">
        <v>6.84</v>
      </c>
      <c r="H17" s="360"/>
      <c r="I17" s="359"/>
      <c r="J17" s="195" t="s">
        <v>129</v>
      </c>
      <c r="K17" s="196">
        <f>0.207074288590604+0.017915111409396</f>
        <v>0.22498940000000001</v>
      </c>
      <c r="L17" s="206">
        <v>45175</v>
      </c>
      <c r="M17" s="207" t="s">
        <v>382</v>
      </c>
      <c r="N17" s="208"/>
      <c r="O17" s="449">
        <v>0.44932</v>
      </c>
      <c r="P17" s="448" t="s">
        <v>383</v>
      </c>
      <c r="Q17" s="347"/>
      <c r="R17" s="347"/>
      <c r="S17" s="347"/>
      <c r="T17" s="347"/>
      <c r="U17" s="347"/>
      <c r="V17" s="347"/>
      <c r="W17" s="347"/>
      <c r="X17" s="347"/>
      <c r="Y17" s="347"/>
      <c r="Z17" s="347"/>
      <c r="AA17" s="347"/>
      <c r="AB17" s="347"/>
      <c r="AC17" s="347"/>
      <c r="AD17" s="347"/>
      <c r="AE17" s="347"/>
      <c r="AF17" s="347"/>
      <c r="AG17" s="347"/>
      <c r="AH17" s="347"/>
    </row>
    <row r="18" spans="1:34" ht="27" customHeight="1" thickBot="1" x14ac:dyDescent="0.35">
      <c r="A18" s="347"/>
      <c r="B18" s="348"/>
      <c r="C18" s="399"/>
      <c r="D18" s="398" t="s">
        <v>384</v>
      </c>
      <c r="E18" s="395" t="s">
        <v>364</v>
      </c>
      <c r="F18" s="386" t="s">
        <v>364</v>
      </c>
      <c r="G18" s="397">
        <v>8.4208754827908177</v>
      </c>
      <c r="H18" s="360"/>
      <c r="I18" s="359"/>
      <c r="J18" s="197" t="s">
        <v>130</v>
      </c>
      <c r="K18" s="198">
        <v>0.18315999999999999</v>
      </c>
      <c r="L18" s="206">
        <v>44377</v>
      </c>
      <c r="M18" s="209" t="s">
        <v>385</v>
      </c>
      <c r="N18" s="208"/>
      <c r="O18" s="449">
        <v>0.184</v>
      </c>
      <c r="P18" s="448" t="s">
        <v>386</v>
      </c>
      <c r="Q18" s="347"/>
      <c r="R18" s="347"/>
      <c r="S18" s="347"/>
      <c r="T18" s="347"/>
      <c r="U18" s="347"/>
      <c r="V18" s="347"/>
      <c r="W18" s="347"/>
      <c r="X18" s="347"/>
      <c r="Y18" s="347"/>
      <c r="Z18" s="347"/>
      <c r="AA18" s="347"/>
      <c r="AB18" s="347"/>
      <c r="AC18" s="347"/>
      <c r="AD18" s="347"/>
      <c r="AE18" s="347"/>
      <c r="AF18" s="347"/>
      <c r="AG18" s="347"/>
      <c r="AH18" s="347"/>
    </row>
    <row r="19" spans="1:34" ht="27" customHeight="1" x14ac:dyDescent="0.3">
      <c r="A19" s="347"/>
      <c r="B19" s="348"/>
      <c r="C19" s="365" t="s">
        <v>387</v>
      </c>
      <c r="D19" s="364" t="s">
        <v>388</v>
      </c>
      <c r="E19" s="394"/>
      <c r="F19" s="394" t="s">
        <v>364</v>
      </c>
      <c r="G19" s="362">
        <v>6.84</v>
      </c>
      <c r="H19" s="360"/>
      <c r="I19" s="359"/>
      <c r="J19" s="199" t="s">
        <v>389</v>
      </c>
      <c r="K19" s="198">
        <v>0.25679000000000002</v>
      </c>
      <c r="L19" s="206">
        <v>44377</v>
      </c>
      <c r="M19" s="209" t="s">
        <v>385</v>
      </c>
      <c r="N19" s="208"/>
      <c r="O19" s="450">
        <v>0.27631</v>
      </c>
      <c r="P19" s="448" t="s">
        <v>390</v>
      </c>
      <c r="Q19" s="347"/>
      <c r="R19" s="347"/>
      <c r="S19" s="347"/>
      <c r="T19" s="347"/>
      <c r="U19" s="347"/>
      <c r="V19" s="347"/>
      <c r="W19" s="347"/>
      <c r="X19" s="347"/>
      <c r="Y19" s="347"/>
      <c r="Z19" s="347"/>
      <c r="AA19" s="347"/>
      <c r="AB19" s="347"/>
      <c r="AC19" s="347"/>
      <c r="AD19" s="347"/>
      <c r="AE19" s="347"/>
      <c r="AF19" s="347"/>
      <c r="AG19" s="347"/>
      <c r="AH19" s="347"/>
    </row>
    <row r="20" spans="1:34" ht="27" customHeight="1" x14ac:dyDescent="0.3">
      <c r="A20" s="347"/>
      <c r="B20" s="348"/>
      <c r="C20" s="361"/>
      <c r="D20" s="357" t="s">
        <v>391</v>
      </c>
      <c r="E20" s="386"/>
      <c r="F20" s="386" t="s">
        <v>364</v>
      </c>
      <c r="G20" s="355">
        <v>8.2079999999999984</v>
      </c>
      <c r="H20" s="360"/>
      <c r="I20" s="359"/>
      <c r="J20" s="200" t="s">
        <v>392</v>
      </c>
      <c r="K20" s="201">
        <v>0.26815</v>
      </c>
      <c r="L20" s="206">
        <v>44377</v>
      </c>
      <c r="M20" s="209" t="s">
        <v>385</v>
      </c>
      <c r="N20" s="208" t="s">
        <v>393</v>
      </c>
      <c r="O20" s="450">
        <v>0.26782</v>
      </c>
      <c r="P20" s="448" t="s">
        <v>394</v>
      </c>
      <c r="Q20" s="347"/>
      <c r="R20" s="347"/>
      <c r="S20" s="347"/>
      <c r="T20" s="347"/>
      <c r="U20" s="347"/>
      <c r="V20" s="347"/>
      <c r="W20" s="347"/>
      <c r="X20" s="347"/>
      <c r="Y20" s="347"/>
      <c r="Z20" s="347"/>
      <c r="AA20" s="347"/>
      <c r="AB20" s="347"/>
      <c r="AC20" s="347"/>
      <c r="AD20" s="347"/>
      <c r="AE20" s="347"/>
      <c r="AF20" s="347"/>
      <c r="AG20" s="347"/>
      <c r="AH20" s="347"/>
    </row>
    <row r="21" spans="1:34" ht="27" customHeight="1" x14ac:dyDescent="0.3">
      <c r="A21" s="347"/>
      <c r="B21" s="348"/>
      <c r="C21" s="361"/>
      <c r="D21" s="357" t="s">
        <v>395</v>
      </c>
      <c r="E21" s="386"/>
      <c r="F21" s="386" t="s">
        <v>364</v>
      </c>
      <c r="G21" s="355">
        <v>14.44</v>
      </c>
      <c r="H21" s="360"/>
      <c r="I21" s="359"/>
      <c r="J21" s="200" t="s">
        <v>396</v>
      </c>
      <c r="K21" s="201">
        <v>0.24676999999999999</v>
      </c>
      <c r="L21" s="206">
        <v>44377</v>
      </c>
      <c r="M21" s="209" t="s">
        <v>385</v>
      </c>
      <c r="N21" s="208" t="s">
        <v>397</v>
      </c>
      <c r="O21" s="450">
        <v>0.24665999999999999</v>
      </c>
      <c r="P21" s="448" t="s">
        <v>398</v>
      </c>
      <c r="Q21" s="347"/>
      <c r="R21" s="347"/>
      <c r="S21" s="347"/>
      <c r="T21" s="347"/>
      <c r="U21" s="347"/>
      <c r="V21" s="347"/>
      <c r="W21" s="347"/>
      <c r="X21" s="347"/>
      <c r="Y21" s="347"/>
      <c r="Z21" s="347"/>
      <c r="AA21" s="347"/>
      <c r="AB21" s="347"/>
      <c r="AC21" s="347"/>
      <c r="AD21" s="347"/>
      <c r="AE21" s="347"/>
      <c r="AF21" s="347"/>
      <c r="AG21" s="347"/>
      <c r="AH21" s="347"/>
    </row>
    <row r="22" spans="1:34" ht="27" customHeight="1" x14ac:dyDescent="0.3">
      <c r="A22" s="347"/>
      <c r="B22" s="348"/>
      <c r="C22" s="361"/>
      <c r="D22" s="396" t="s">
        <v>399</v>
      </c>
      <c r="E22" s="386"/>
      <c r="F22" s="386" t="s">
        <v>364</v>
      </c>
      <c r="G22" s="355">
        <v>13.68</v>
      </c>
      <c r="H22" s="360"/>
      <c r="I22" s="359"/>
      <c r="J22" s="202" t="s">
        <v>134</v>
      </c>
      <c r="K22" s="201">
        <v>0.34461999999999998</v>
      </c>
      <c r="L22" s="206">
        <v>44377</v>
      </c>
      <c r="M22" s="209" t="s">
        <v>385</v>
      </c>
      <c r="N22" s="208"/>
      <c r="O22" s="450">
        <v>0.32235000000000003</v>
      </c>
      <c r="P22" s="448" t="s">
        <v>400</v>
      </c>
      <c r="Q22" s="347"/>
      <c r="R22" s="347"/>
      <c r="S22" s="347"/>
      <c r="T22" s="347"/>
      <c r="U22" s="347"/>
      <c r="V22" s="347"/>
      <c r="W22" s="347"/>
      <c r="X22" s="347"/>
      <c r="Y22" s="347"/>
      <c r="Z22" s="347"/>
      <c r="AA22" s="347"/>
      <c r="AB22" s="347"/>
      <c r="AC22" s="347"/>
      <c r="AD22" s="347"/>
      <c r="AE22" s="347"/>
      <c r="AF22" s="347"/>
      <c r="AG22" s="347"/>
      <c r="AH22" s="347"/>
    </row>
    <row r="23" spans="1:34" ht="27" customHeight="1" thickBot="1" x14ac:dyDescent="0.35">
      <c r="A23" s="347"/>
      <c r="B23" s="348"/>
      <c r="C23" s="366"/>
      <c r="D23" s="351" t="s">
        <v>401</v>
      </c>
      <c r="E23" s="386"/>
      <c r="F23" s="395" t="s">
        <v>364</v>
      </c>
      <c r="G23" s="349">
        <v>13.68</v>
      </c>
      <c r="H23" s="360"/>
      <c r="I23" s="359"/>
      <c r="J23" s="203" t="s">
        <v>135</v>
      </c>
      <c r="K23" s="201">
        <v>0.21448999999999999</v>
      </c>
      <c r="L23" s="206">
        <v>44377</v>
      </c>
      <c r="M23" s="209" t="s">
        <v>385</v>
      </c>
      <c r="N23" s="208"/>
      <c r="O23" s="450">
        <v>0.21457999999999999</v>
      </c>
      <c r="P23" s="448" t="s">
        <v>402</v>
      </c>
      <c r="Q23" s="347"/>
      <c r="R23" s="347"/>
      <c r="S23" s="347"/>
      <c r="T23" s="347"/>
      <c r="U23" s="347"/>
      <c r="V23" s="347"/>
      <c r="W23" s="347"/>
      <c r="X23" s="347"/>
      <c r="Y23" s="347"/>
      <c r="Z23" s="347"/>
      <c r="AA23" s="347"/>
      <c r="AB23" s="347"/>
      <c r="AC23" s="347"/>
      <c r="AD23" s="347"/>
      <c r="AE23" s="347"/>
      <c r="AF23" s="347"/>
      <c r="AG23" s="347"/>
      <c r="AH23" s="347"/>
    </row>
    <row r="24" spans="1:34" ht="27" customHeight="1" x14ac:dyDescent="0.3">
      <c r="A24" s="347"/>
      <c r="B24" s="348"/>
      <c r="C24" s="365" t="s">
        <v>403</v>
      </c>
      <c r="D24" s="364" t="s">
        <v>404</v>
      </c>
      <c r="E24" s="363" t="s">
        <v>364</v>
      </c>
      <c r="F24" s="394" t="s">
        <v>364</v>
      </c>
      <c r="G24" s="362">
        <v>15.2</v>
      </c>
      <c r="H24" s="360"/>
      <c r="I24" s="359"/>
      <c r="J24" s="204" t="s">
        <v>137</v>
      </c>
      <c r="K24" s="201">
        <v>3.7440000000000001E-2</v>
      </c>
      <c r="L24" s="206">
        <v>44377</v>
      </c>
      <c r="M24" s="209" t="s">
        <v>405</v>
      </c>
      <c r="N24" s="208"/>
      <c r="O24" s="450">
        <v>3.7440000000000001E-2</v>
      </c>
      <c r="P24" s="448" t="s">
        <v>406</v>
      </c>
      <c r="Q24" s="347"/>
      <c r="R24" s="347"/>
      <c r="S24" s="347"/>
      <c r="T24" s="347"/>
      <c r="U24" s="347"/>
      <c r="V24" s="347"/>
      <c r="W24" s="347"/>
      <c r="X24" s="347"/>
      <c r="Y24" s="347"/>
      <c r="Z24" s="347"/>
      <c r="AA24" s="347"/>
      <c r="AB24" s="347"/>
      <c r="AC24" s="347"/>
      <c r="AD24" s="347"/>
      <c r="AE24" s="347"/>
      <c r="AF24" s="347"/>
      <c r="AG24" s="347"/>
      <c r="AH24" s="347"/>
    </row>
    <row r="25" spans="1:34" ht="27" customHeight="1" thickBot="1" x14ac:dyDescent="0.35">
      <c r="A25" s="347"/>
      <c r="B25" s="348"/>
      <c r="C25" s="366"/>
      <c r="D25" s="351" t="s">
        <v>407</v>
      </c>
      <c r="E25" s="350" t="s">
        <v>364</v>
      </c>
      <c r="F25" s="350" t="s">
        <v>364</v>
      </c>
      <c r="G25" s="349">
        <v>15.2</v>
      </c>
      <c r="H25" s="360"/>
      <c r="I25" s="359"/>
      <c r="J25" s="200" t="s">
        <v>138</v>
      </c>
      <c r="K25" s="201">
        <v>7.92E-3</v>
      </c>
      <c r="L25" s="206">
        <v>44377</v>
      </c>
      <c r="M25" s="209" t="s">
        <v>385</v>
      </c>
      <c r="N25" s="208"/>
      <c r="O25" s="451">
        <v>7.92E-3</v>
      </c>
      <c r="P25" s="448" t="s">
        <v>408</v>
      </c>
      <c r="Q25" s="347"/>
      <c r="R25" s="347"/>
      <c r="S25" s="347"/>
      <c r="T25" s="347"/>
      <c r="U25" s="347"/>
      <c r="V25" s="347"/>
      <c r="W25" s="347"/>
      <c r="X25" s="347"/>
      <c r="Y25" s="347"/>
      <c r="Z25" s="347"/>
      <c r="AA25" s="347"/>
      <c r="AB25" s="347"/>
      <c r="AC25" s="347"/>
      <c r="AD25" s="347"/>
      <c r="AE25" s="347"/>
      <c r="AF25" s="347"/>
      <c r="AG25" s="347"/>
      <c r="AH25" s="347"/>
    </row>
    <row r="26" spans="1:34" ht="27" customHeight="1" thickBot="1" x14ac:dyDescent="0.35">
      <c r="A26" s="347"/>
      <c r="B26" s="348"/>
      <c r="C26" s="393" t="s">
        <v>409</v>
      </c>
      <c r="D26" s="364" t="s">
        <v>410</v>
      </c>
      <c r="E26" s="386" t="s">
        <v>364</v>
      </c>
      <c r="F26" s="386"/>
      <c r="G26" s="362">
        <v>10.83</v>
      </c>
      <c r="H26" s="360"/>
      <c r="I26" s="359"/>
      <c r="J26" s="197" t="s">
        <v>411</v>
      </c>
      <c r="K26" s="205">
        <v>2.4049999999999998E-2</v>
      </c>
      <c r="L26" s="206">
        <v>44377</v>
      </c>
      <c r="M26" s="210" t="s">
        <v>405</v>
      </c>
      <c r="N26" s="211"/>
      <c r="O26" s="452">
        <v>2.6419999999999999E-2</v>
      </c>
      <c r="P26" s="448" t="s">
        <v>412</v>
      </c>
      <c r="Q26" s="347"/>
      <c r="R26" s="347"/>
      <c r="S26" s="347"/>
      <c r="T26" s="347"/>
      <c r="U26" s="347"/>
      <c r="V26" s="347"/>
      <c r="W26" s="347"/>
      <c r="X26" s="347"/>
      <c r="Y26" s="347"/>
      <c r="Z26" s="347"/>
      <c r="AA26" s="347"/>
      <c r="AB26" s="347"/>
      <c r="AC26" s="347"/>
      <c r="AD26" s="347"/>
      <c r="AE26" s="347"/>
      <c r="AF26" s="347"/>
      <c r="AG26" s="347"/>
      <c r="AH26" s="347"/>
    </row>
    <row r="27" spans="1:34" ht="27" customHeight="1" thickBot="1" x14ac:dyDescent="0.4">
      <c r="A27" s="347"/>
      <c r="B27" s="348"/>
      <c r="C27" s="392"/>
      <c r="D27" s="391" t="s">
        <v>413</v>
      </c>
      <c r="E27" s="386" t="s">
        <v>364</v>
      </c>
      <c r="F27" s="386"/>
      <c r="G27" s="390">
        <v>6.84</v>
      </c>
      <c r="H27" s="360"/>
      <c r="I27" s="359"/>
      <c r="J27" s="212" t="s">
        <v>414</v>
      </c>
      <c r="K27" s="959" t="s">
        <v>415</v>
      </c>
      <c r="L27" s="960"/>
      <c r="M27" s="960"/>
      <c r="N27" s="961"/>
      <c r="O27" s="453"/>
      <c r="P27" s="448"/>
      <c r="Q27" s="347"/>
      <c r="R27" s="347"/>
      <c r="S27" s="347"/>
      <c r="T27" s="347"/>
      <c r="U27" s="347"/>
      <c r="V27" s="347"/>
      <c r="W27" s="347"/>
      <c r="X27" s="347"/>
      <c r="Y27" s="347"/>
      <c r="Z27" s="347"/>
      <c r="AA27" s="347"/>
      <c r="AB27" s="347"/>
      <c r="AC27" s="347"/>
      <c r="AD27" s="347"/>
      <c r="AE27" s="347"/>
      <c r="AF27" s="347"/>
      <c r="AG27" s="347"/>
      <c r="AH27" s="347"/>
    </row>
    <row r="28" spans="1:34" ht="27" customHeight="1" thickBot="1" x14ac:dyDescent="0.35">
      <c r="A28" s="347"/>
      <c r="B28" s="348"/>
      <c r="C28" s="389"/>
      <c r="D28" s="388" t="s">
        <v>416</v>
      </c>
      <c r="E28" s="386" t="s">
        <v>364</v>
      </c>
      <c r="F28" s="386"/>
      <c r="G28" s="387">
        <v>15.2</v>
      </c>
      <c r="H28" s="360"/>
      <c r="I28" s="359"/>
      <c r="J28" s="213"/>
      <c r="K28" s="214"/>
      <c r="L28" s="214"/>
      <c r="M28" s="214"/>
      <c r="N28" s="215"/>
      <c r="O28" s="347"/>
      <c r="P28" s="347"/>
      <c r="Q28" s="347"/>
      <c r="R28" s="347"/>
      <c r="S28" s="347"/>
      <c r="T28" s="347"/>
      <c r="U28" s="347"/>
      <c r="V28" s="347"/>
      <c r="W28" s="347"/>
      <c r="X28" s="347"/>
      <c r="Y28" s="347"/>
      <c r="Z28" s="347"/>
      <c r="AA28" s="347"/>
      <c r="AB28" s="347"/>
      <c r="AC28" s="347"/>
      <c r="AD28" s="347"/>
      <c r="AE28" s="347"/>
      <c r="AF28" s="347"/>
      <c r="AG28" s="347"/>
      <c r="AH28" s="347"/>
    </row>
    <row r="29" spans="1:34" ht="27" customHeight="1" x14ac:dyDescent="0.3">
      <c r="A29" s="347"/>
      <c r="B29" s="348"/>
      <c r="C29" s="361"/>
      <c r="D29" s="388" t="s">
        <v>64</v>
      </c>
      <c r="E29" s="386" t="s">
        <v>364</v>
      </c>
      <c r="F29" s="386"/>
      <c r="G29" s="387">
        <v>11.88</v>
      </c>
      <c r="H29" s="360"/>
      <c r="I29" s="359"/>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row>
    <row r="30" spans="1:34" ht="27" customHeight="1" x14ac:dyDescent="0.3">
      <c r="A30" s="347"/>
      <c r="B30" s="348"/>
      <c r="C30" s="361"/>
      <c r="D30" s="357" t="s">
        <v>417</v>
      </c>
      <c r="E30" s="386" t="s">
        <v>364</v>
      </c>
      <c r="F30" s="386"/>
      <c r="G30" s="355">
        <v>28.5</v>
      </c>
      <c r="H30" s="360"/>
      <c r="I30" s="359"/>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row>
    <row r="31" spans="1:34" ht="27" customHeight="1" x14ac:dyDescent="0.3">
      <c r="A31" s="347"/>
      <c r="B31" s="348"/>
      <c r="C31" s="361"/>
      <c r="D31" s="357" t="s">
        <v>418</v>
      </c>
      <c r="E31" s="386" t="s">
        <v>364</v>
      </c>
      <c r="F31" s="386"/>
      <c r="G31" s="355">
        <v>15.2</v>
      </c>
      <c r="H31" s="360"/>
      <c r="I31" s="359"/>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row>
    <row r="32" spans="1:34" ht="27" customHeight="1" thickBot="1" x14ac:dyDescent="0.35">
      <c r="A32" s="347"/>
      <c r="B32" s="348"/>
      <c r="C32" s="366"/>
      <c r="D32" s="351" t="s">
        <v>419</v>
      </c>
      <c r="E32" s="386" t="s">
        <v>364</v>
      </c>
      <c r="F32" s="386"/>
      <c r="G32" s="349">
        <v>18</v>
      </c>
      <c r="H32" s="360"/>
      <c r="I32" s="359"/>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row>
    <row r="33" spans="1:34" ht="27" customHeight="1" x14ac:dyDescent="0.3">
      <c r="A33" s="347"/>
      <c r="B33" s="348"/>
      <c r="C33" s="365" t="s">
        <v>420</v>
      </c>
      <c r="D33" s="364" t="s">
        <v>421</v>
      </c>
      <c r="E33" s="363" t="s">
        <v>364</v>
      </c>
      <c r="F33" s="363"/>
      <c r="G33" s="362">
        <v>14</v>
      </c>
      <c r="H33" s="360"/>
      <c r="I33" s="359"/>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row>
    <row r="34" spans="1:34" ht="27" customHeight="1" x14ac:dyDescent="0.3">
      <c r="A34" s="347"/>
      <c r="B34" s="348"/>
      <c r="C34" s="361"/>
      <c r="D34" s="357" t="s">
        <v>422</v>
      </c>
      <c r="E34" s="386" t="s">
        <v>364</v>
      </c>
      <c r="F34" s="386"/>
      <c r="G34" s="355">
        <v>18</v>
      </c>
      <c r="H34" s="360"/>
      <c r="I34" s="359"/>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row>
    <row r="35" spans="1:34" ht="27" customHeight="1" thickBot="1" x14ac:dyDescent="0.35">
      <c r="A35" s="347"/>
      <c r="B35" s="348"/>
      <c r="C35" s="361"/>
      <c r="D35" s="357" t="s">
        <v>423</v>
      </c>
      <c r="E35" s="386" t="s">
        <v>364</v>
      </c>
      <c r="F35" s="386"/>
      <c r="G35" s="355">
        <v>11</v>
      </c>
      <c r="H35" s="360"/>
      <c r="I35" s="359"/>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row>
    <row r="36" spans="1:34" ht="27" customHeight="1" x14ac:dyDescent="0.3">
      <c r="A36" s="347"/>
      <c r="B36" s="348"/>
      <c r="C36" s="365" t="s">
        <v>424</v>
      </c>
      <c r="D36" s="364" t="s">
        <v>425</v>
      </c>
      <c r="E36" s="363" t="s">
        <v>364</v>
      </c>
      <c r="F36" s="363"/>
      <c r="G36" s="362">
        <v>30</v>
      </c>
      <c r="H36" s="360"/>
      <c r="I36" s="359"/>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row>
    <row r="37" spans="1:34" ht="27" customHeight="1" x14ac:dyDescent="0.3">
      <c r="A37" s="347"/>
      <c r="B37" s="348"/>
      <c r="C37" s="361"/>
      <c r="D37" s="357" t="s">
        <v>426</v>
      </c>
      <c r="E37" s="386" t="s">
        <v>364</v>
      </c>
      <c r="F37" s="386"/>
      <c r="G37" s="355">
        <v>28</v>
      </c>
      <c r="H37" s="360"/>
      <c r="I37" s="359"/>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row>
    <row r="38" spans="1:34" ht="27" customHeight="1" x14ac:dyDescent="0.3">
      <c r="A38" s="347"/>
      <c r="B38" s="348"/>
      <c r="C38" s="361"/>
      <c r="D38" s="357" t="s">
        <v>427</v>
      </c>
      <c r="E38" s="386" t="s">
        <v>364</v>
      </c>
      <c r="F38" s="386"/>
      <c r="G38" s="355">
        <v>30</v>
      </c>
      <c r="H38" s="360"/>
      <c r="I38" s="359"/>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row>
    <row r="39" spans="1:34" ht="27" customHeight="1" x14ac:dyDescent="0.3">
      <c r="A39" s="347"/>
      <c r="B39" s="348"/>
      <c r="C39" s="361"/>
      <c r="D39" s="357" t="s">
        <v>428</v>
      </c>
      <c r="E39" s="386" t="s">
        <v>364</v>
      </c>
      <c r="F39" s="386"/>
      <c r="G39" s="355">
        <v>27</v>
      </c>
      <c r="H39" s="360"/>
      <c r="I39" s="359"/>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row>
    <row r="40" spans="1:34" ht="27" customHeight="1" x14ac:dyDescent="0.3">
      <c r="A40" s="347"/>
      <c r="B40" s="348"/>
      <c r="C40" s="361"/>
      <c r="D40" s="357" t="s">
        <v>429</v>
      </c>
      <c r="E40" s="386" t="s">
        <v>364</v>
      </c>
      <c r="F40" s="386"/>
      <c r="G40" s="355">
        <v>27</v>
      </c>
      <c r="H40" s="360"/>
      <c r="I40" s="359"/>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row>
    <row r="41" spans="1:34" ht="27" customHeight="1" x14ac:dyDescent="0.3">
      <c r="A41" s="347"/>
      <c r="B41" s="348"/>
      <c r="C41" s="361"/>
      <c r="D41" s="357" t="s">
        <v>430</v>
      </c>
      <c r="E41" s="386" t="s">
        <v>364</v>
      </c>
      <c r="F41" s="386"/>
      <c r="G41" s="355">
        <v>30</v>
      </c>
      <c r="H41" s="360"/>
      <c r="I41" s="359"/>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row>
    <row r="42" spans="1:34" ht="27" customHeight="1" x14ac:dyDescent="0.3">
      <c r="A42" s="347"/>
      <c r="B42" s="348"/>
      <c r="C42" s="361"/>
      <c r="D42" s="357" t="s">
        <v>431</v>
      </c>
      <c r="E42" s="386" t="s">
        <v>364</v>
      </c>
      <c r="F42" s="386"/>
      <c r="G42" s="355">
        <v>30</v>
      </c>
      <c r="H42" s="360"/>
      <c r="I42" s="359"/>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row>
    <row r="43" spans="1:34" ht="27" customHeight="1" thickBot="1" x14ac:dyDescent="0.35">
      <c r="A43" s="347"/>
      <c r="B43" s="348"/>
      <c r="C43" s="366"/>
      <c r="D43" s="351" t="s">
        <v>432</v>
      </c>
      <c r="E43" s="386" t="s">
        <v>364</v>
      </c>
      <c r="F43" s="386"/>
      <c r="G43" s="349">
        <v>7.92</v>
      </c>
      <c r="H43" s="360"/>
      <c r="I43" s="359"/>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row>
    <row r="44" spans="1:34" ht="27" customHeight="1" thickBot="1" x14ac:dyDescent="0.35">
      <c r="A44" s="347"/>
      <c r="B44" s="348"/>
      <c r="C44" s="374" t="s">
        <v>433</v>
      </c>
      <c r="D44" s="373" t="s">
        <v>433</v>
      </c>
      <c r="E44" s="372" t="s">
        <v>364</v>
      </c>
      <c r="F44" s="372"/>
      <c r="G44" s="371">
        <v>29.25</v>
      </c>
      <c r="H44" s="360"/>
      <c r="I44" s="359"/>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row>
    <row r="45" spans="1:34" ht="27" customHeight="1" x14ac:dyDescent="0.3">
      <c r="A45" s="347"/>
      <c r="B45" s="348"/>
      <c r="C45" s="385" t="s">
        <v>434</v>
      </c>
      <c r="D45" s="384" t="s">
        <v>435</v>
      </c>
      <c r="E45" s="383" t="s">
        <v>364</v>
      </c>
      <c r="F45" s="383"/>
      <c r="G45" s="355">
        <v>8.4534454454067696</v>
      </c>
      <c r="H45" s="360"/>
      <c r="I45" s="359"/>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row>
    <row r="46" spans="1:34" ht="27" customHeight="1" x14ac:dyDescent="0.3">
      <c r="A46" s="347"/>
      <c r="B46" s="348"/>
      <c r="C46" s="361"/>
      <c r="D46" s="357" t="s">
        <v>436</v>
      </c>
      <c r="E46" s="383" t="s">
        <v>364</v>
      </c>
      <c r="F46" s="383"/>
      <c r="G46" s="355">
        <v>8.4534454454067696</v>
      </c>
      <c r="H46" s="360"/>
      <c r="I46" s="359"/>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7"/>
      <c r="AH46" s="347"/>
    </row>
    <row r="47" spans="1:34" ht="27" customHeight="1" x14ac:dyDescent="0.3">
      <c r="A47" s="347"/>
      <c r="B47" s="348"/>
      <c r="C47" s="361"/>
      <c r="D47" s="357" t="s">
        <v>437</v>
      </c>
      <c r="E47" s="383" t="s">
        <v>364</v>
      </c>
      <c r="F47" s="383"/>
      <c r="G47" s="355">
        <v>29.25</v>
      </c>
      <c r="H47" s="360"/>
      <c r="I47" s="359"/>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row>
    <row r="48" spans="1:34" ht="27" customHeight="1" x14ac:dyDescent="0.3">
      <c r="A48" s="347"/>
      <c r="B48" s="348"/>
      <c r="C48" s="361"/>
      <c r="D48" s="357" t="s">
        <v>438</v>
      </c>
      <c r="E48" s="383" t="s">
        <v>364</v>
      </c>
      <c r="F48" s="383"/>
      <c r="G48" s="355">
        <v>29.25</v>
      </c>
      <c r="H48" s="360"/>
      <c r="I48" s="359"/>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row>
    <row r="49" spans="1:34" ht="27" customHeight="1" thickBot="1" x14ac:dyDescent="0.35">
      <c r="A49" s="347"/>
      <c r="B49" s="348"/>
      <c r="C49" s="366"/>
      <c r="D49" s="351" t="s">
        <v>439</v>
      </c>
      <c r="E49" s="383" t="s">
        <v>364</v>
      </c>
      <c r="F49" s="383"/>
      <c r="G49" s="349">
        <v>8</v>
      </c>
      <c r="H49" s="360"/>
      <c r="I49" s="359"/>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row>
    <row r="50" spans="1:34" ht="27" customHeight="1" x14ac:dyDescent="0.3">
      <c r="A50" s="347"/>
      <c r="B50" s="348"/>
      <c r="C50" s="365" t="s">
        <v>440</v>
      </c>
      <c r="D50" s="364" t="s">
        <v>441</v>
      </c>
      <c r="E50" s="363" t="s">
        <v>364</v>
      </c>
      <c r="F50" s="363"/>
      <c r="G50" s="362">
        <v>9</v>
      </c>
      <c r="H50" s="360"/>
      <c r="I50" s="359"/>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row>
    <row r="51" spans="1:34" ht="27" customHeight="1" thickBot="1" x14ac:dyDescent="0.35">
      <c r="A51" s="347"/>
      <c r="B51" s="348"/>
      <c r="C51" s="366"/>
      <c r="D51" s="351" t="s">
        <v>442</v>
      </c>
      <c r="E51" s="350" t="s">
        <v>364</v>
      </c>
      <c r="F51" s="350"/>
      <c r="G51" s="349">
        <v>22.5</v>
      </c>
      <c r="H51" s="360"/>
      <c r="I51" s="359"/>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row>
    <row r="52" spans="1:34" ht="27" customHeight="1" x14ac:dyDescent="0.3">
      <c r="A52" s="347"/>
      <c r="B52" s="348"/>
      <c r="C52" s="365" t="s">
        <v>443</v>
      </c>
      <c r="D52" s="382" t="s">
        <v>444</v>
      </c>
      <c r="E52" s="381"/>
      <c r="F52" s="381" t="s">
        <v>364</v>
      </c>
      <c r="G52" s="362">
        <v>25</v>
      </c>
      <c r="H52" s="360"/>
      <c r="I52" s="359"/>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row>
    <row r="53" spans="1:34" ht="27" customHeight="1" thickBot="1" x14ac:dyDescent="0.35">
      <c r="A53" s="347"/>
      <c r="B53" s="348"/>
      <c r="C53" s="366"/>
      <c r="D53" s="380" t="s">
        <v>445</v>
      </c>
      <c r="E53" s="379"/>
      <c r="F53" s="379" t="s">
        <v>364</v>
      </c>
      <c r="G53" s="349">
        <v>13</v>
      </c>
      <c r="H53" s="360"/>
      <c r="I53" s="359"/>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row>
    <row r="54" spans="1:34" ht="27" customHeight="1" x14ac:dyDescent="0.3">
      <c r="A54" s="347"/>
      <c r="B54" s="348"/>
      <c r="C54" s="370" t="s">
        <v>446</v>
      </c>
      <c r="D54" s="369" t="s">
        <v>447</v>
      </c>
      <c r="E54" s="368"/>
      <c r="F54" s="368" t="s">
        <v>364</v>
      </c>
      <c r="G54" s="367">
        <v>8.8919999999999995</v>
      </c>
      <c r="H54" s="360"/>
      <c r="I54" s="359"/>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row>
    <row r="55" spans="1:34" ht="27" customHeight="1" thickBot="1" x14ac:dyDescent="0.35">
      <c r="A55" s="347"/>
      <c r="B55" s="348"/>
      <c r="C55" s="366"/>
      <c r="D55" s="351" t="s">
        <v>448</v>
      </c>
      <c r="E55" s="350"/>
      <c r="F55" s="350" t="s">
        <v>364</v>
      </c>
      <c r="G55" s="349">
        <v>10.26</v>
      </c>
      <c r="H55" s="360"/>
      <c r="I55" s="359"/>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row>
    <row r="56" spans="1:34" ht="27" customHeight="1" x14ac:dyDescent="0.3">
      <c r="A56" s="347"/>
      <c r="B56" s="348"/>
      <c r="C56" s="370" t="s">
        <v>449</v>
      </c>
      <c r="D56" s="369" t="s">
        <v>450</v>
      </c>
      <c r="E56" s="368" t="s">
        <v>364</v>
      </c>
      <c r="F56" s="368" t="s">
        <v>364</v>
      </c>
      <c r="G56" s="367">
        <v>11.4</v>
      </c>
      <c r="H56" s="360"/>
      <c r="I56" s="359"/>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row>
    <row r="57" spans="1:34" ht="27" customHeight="1" x14ac:dyDescent="0.3">
      <c r="A57" s="347"/>
      <c r="B57" s="348"/>
      <c r="C57" s="361"/>
      <c r="D57" s="357" t="s">
        <v>451</v>
      </c>
      <c r="E57" s="356" t="s">
        <v>364</v>
      </c>
      <c r="F57" s="356" t="s">
        <v>364</v>
      </c>
      <c r="G57" s="355">
        <v>11.4</v>
      </c>
      <c r="H57" s="360"/>
      <c r="I57" s="359"/>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row>
    <row r="58" spans="1:34" ht="27" customHeight="1" thickBot="1" x14ac:dyDescent="0.35">
      <c r="A58" s="347"/>
      <c r="B58" s="348"/>
      <c r="C58" s="366"/>
      <c r="D58" s="351" t="s">
        <v>452</v>
      </c>
      <c r="E58" s="350" t="s">
        <v>364</v>
      </c>
      <c r="F58" s="350" t="s">
        <v>364</v>
      </c>
      <c r="G58" s="349">
        <v>10.26</v>
      </c>
      <c r="H58" s="360"/>
      <c r="I58" s="359"/>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row>
    <row r="59" spans="1:34" ht="27" customHeight="1" thickBot="1" x14ac:dyDescent="0.35">
      <c r="A59" s="347"/>
      <c r="B59" s="348"/>
      <c r="C59" s="374" t="s">
        <v>453</v>
      </c>
      <c r="D59" s="373" t="s">
        <v>454</v>
      </c>
      <c r="E59" s="372" t="s">
        <v>364</v>
      </c>
      <c r="F59" s="372" t="s">
        <v>364</v>
      </c>
      <c r="G59" s="371">
        <v>15</v>
      </c>
      <c r="H59" s="360"/>
      <c r="I59" s="359"/>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row>
    <row r="60" spans="1:34" ht="27" customHeight="1" x14ac:dyDescent="0.3">
      <c r="A60" s="347"/>
      <c r="B60" s="348"/>
      <c r="C60" s="365" t="s">
        <v>455</v>
      </c>
      <c r="D60" s="364" t="s">
        <v>456</v>
      </c>
      <c r="E60" s="363"/>
      <c r="F60" s="363" t="s">
        <v>364</v>
      </c>
      <c r="G60" s="362">
        <v>22.8</v>
      </c>
      <c r="H60" s="360"/>
      <c r="I60" s="359"/>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row>
    <row r="61" spans="1:34" ht="27" customHeight="1" x14ac:dyDescent="0.3">
      <c r="A61" s="347"/>
      <c r="B61" s="348"/>
      <c r="C61" s="358"/>
      <c r="D61" s="357" t="s">
        <v>63</v>
      </c>
      <c r="E61" s="356"/>
      <c r="F61" s="356" t="s">
        <v>364</v>
      </c>
      <c r="G61" s="355">
        <v>22.5</v>
      </c>
      <c r="H61" s="360"/>
      <c r="I61" s="359"/>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row>
    <row r="62" spans="1:34" ht="27" customHeight="1" thickBot="1" x14ac:dyDescent="0.35">
      <c r="A62" s="347"/>
      <c r="B62" s="348"/>
      <c r="C62" s="378"/>
      <c r="D62" s="377" t="s">
        <v>65</v>
      </c>
      <c r="E62" s="376"/>
      <c r="F62" s="376" t="s">
        <v>364</v>
      </c>
      <c r="G62" s="375">
        <v>17.600000000000001</v>
      </c>
      <c r="H62" s="360"/>
      <c r="I62" s="359"/>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row>
    <row r="63" spans="1:34" ht="27" customHeight="1" thickBot="1" x14ac:dyDescent="0.35">
      <c r="A63" s="347"/>
      <c r="B63" s="348"/>
      <c r="C63" s="374" t="s">
        <v>457</v>
      </c>
      <c r="D63" s="373" t="s">
        <v>457</v>
      </c>
      <c r="E63" s="372" t="s">
        <v>364</v>
      </c>
      <c r="F63" s="372" t="s">
        <v>364</v>
      </c>
      <c r="G63" s="371">
        <v>6.84</v>
      </c>
      <c r="H63" s="360"/>
      <c r="I63" s="359"/>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row>
    <row r="64" spans="1:34" ht="27" customHeight="1" x14ac:dyDescent="0.3">
      <c r="A64" s="347"/>
      <c r="B64" s="348"/>
      <c r="C64" s="365" t="s">
        <v>458</v>
      </c>
      <c r="D64" s="364" t="s">
        <v>459</v>
      </c>
      <c r="E64" s="363"/>
      <c r="F64" s="363" t="s">
        <v>364</v>
      </c>
      <c r="G64" s="362">
        <v>23.75</v>
      </c>
      <c r="H64" s="360"/>
      <c r="I64" s="359"/>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row>
    <row r="65" spans="1:34" ht="27" customHeight="1" x14ac:dyDescent="0.3">
      <c r="A65" s="347"/>
      <c r="B65" s="348"/>
      <c r="C65" s="361"/>
      <c r="D65" s="357" t="s">
        <v>460</v>
      </c>
      <c r="E65" s="356"/>
      <c r="F65" s="356" t="s">
        <v>364</v>
      </c>
      <c r="G65" s="355">
        <v>14.25</v>
      </c>
      <c r="H65" s="360"/>
      <c r="I65" s="359"/>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row>
    <row r="66" spans="1:34" ht="27" customHeight="1" x14ac:dyDescent="0.3">
      <c r="A66" s="347"/>
      <c r="B66" s="348"/>
      <c r="C66" s="358"/>
      <c r="D66" s="357" t="s">
        <v>461</v>
      </c>
      <c r="E66" s="356"/>
      <c r="F66" s="356" t="s">
        <v>364</v>
      </c>
      <c r="G66" s="355">
        <v>23.75</v>
      </c>
      <c r="H66" s="360"/>
      <c r="I66" s="359"/>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row>
    <row r="67" spans="1:34" ht="27" customHeight="1" x14ac:dyDescent="0.3">
      <c r="A67" s="347"/>
      <c r="B67" s="348"/>
      <c r="C67" s="358"/>
      <c r="D67" s="357" t="s">
        <v>462</v>
      </c>
      <c r="E67" s="356"/>
      <c r="F67" s="356" t="s">
        <v>364</v>
      </c>
      <c r="G67" s="355">
        <v>7.22</v>
      </c>
      <c r="H67" s="360"/>
      <c r="I67" s="359"/>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row>
    <row r="68" spans="1:34" ht="27" customHeight="1" x14ac:dyDescent="0.3">
      <c r="A68" s="347"/>
      <c r="B68" s="348"/>
      <c r="C68" s="358"/>
      <c r="D68" s="357" t="s">
        <v>463</v>
      </c>
      <c r="E68" s="356"/>
      <c r="F68" s="356" t="s">
        <v>364</v>
      </c>
      <c r="G68" s="355">
        <v>30</v>
      </c>
      <c r="H68" s="354"/>
      <c r="I68" s="353"/>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row>
    <row r="69" spans="1:34" ht="27" customHeight="1" thickBot="1" x14ac:dyDescent="0.35">
      <c r="A69" s="347"/>
      <c r="B69" s="348"/>
      <c r="C69" s="352"/>
      <c r="D69" s="351" t="s">
        <v>464</v>
      </c>
      <c r="E69" s="350"/>
      <c r="F69" s="350" t="s">
        <v>364</v>
      </c>
      <c r="G69" s="349">
        <v>6.84</v>
      </c>
      <c r="H69" s="348"/>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row>
    <row r="70" spans="1:34" ht="27" customHeight="1" x14ac:dyDescent="0.3">
      <c r="A70" s="347"/>
      <c r="B70" s="348"/>
      <c r="C70" s="348"/>
      <c r="D70" s="348"/>
      <c r="E70" s="348"/>
      <c r="F70" s="348"/>
      <c r="G70" s="348"/>
      <c r="H70" s="348"/>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row>
    <row r="71" spans="1:34" ht="27" customHeight="1" x14ac:dyDescent="0.3">
      <c r="A71" s="347"/>
      <c r="B71" s="347"/>
      <c r="C71" s="347"/>
      <c r="D71" s="347"/>
      <c r="E71" s="347"/>
      <c r="F71" s="347"/>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row>
    <row r="72" spans="1:34" ht="27" customHeight="1" x14ac:dyDescent="0.3">
      <c r="A72" s="347"/>
      <c r="B72" s="347"/>
      <c r="C72" s="347"/>
      <c r="D72" s="347"/>
      <c r="E72" s="347"/>
      <c r="F72" s="347"/>
      <c r="G72" s="347"/>
      <c r="H72" s="347"/>
      <c r="I72" s="347"/>
      <c r="J72" s="347"/>
      <c r="K72" s="347"/>
      <c r="L72" s="347"/>
      <c r="M72" s="347"/>
      <c r="N72" s="347"/>
      <c r="O72" s="347"/>
      <c r="P72" s="347"/>
      <c r="Q72" s="347"/>
      <c r="R72" s="347"/>
      <c r="S72" s="347"/>
      <c r="T72" s="347"/>
      <c r="U72" s="347"/>
      <c r="V72" s="347"/>
      <c r="W72" s="347"/>
      <c r="X72" s="347"/>
      <c r="Y72" s="347"/>
      <c r="Z72" s="347"/>
      <c r="AA72" s="347"/>
      <c r="AB72" s="347"/>
      <c r="AC72" s="347"/>
      <c r="AD72" s="347"/>
      <c r="AE72" s="347"/>
      <c r="AF72" s="347"/>
      <c r="AG72" s="347"/>
      <c r="AH72" s="347"/>
    </row>
    <row r="73" spans="1:34" ht="27" customHeight="1" x14ac:dyDescent="0.3">
      <c r="A73" s="347"/>
      <c r="B73" s="347"/>
      <c r="C73" s="347"/>
      <c r="D73" s="347"/>
      <c r="E73" s="347"/>
      <c r="F73" s="347"/>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row>
    <row r="74" spans="1:34" ht="27" customHeight="1" x14ac:dyDescent="0.3">
      <c r="A74" s="347"/>
      <c r="B74" s="347"/>
      <c r="C74" s="347"/>
      <c r="D74" s="347"/>
      <c r="E74" s="347"/>
      <c r="F74" s="347"/>
      <c r="G74" s="347"/>
      <c r="H74" s="347"/>
      <c r="I74" s="347"/>
      <c r="J74" s="347"/>
      <c r="K74" s="347"/>
      <c r="L74" s="347"/>
      <c r="M74" s="347"/>
      <c r="N74" s="347"/>
      <c r="O74" s="347"/>
      <c r="P74" s="347"/>
      <c r="Q74" s="347"/>
      <c r="R74" s="347"/>
      <c r="S74" s="347"/>
      <c r="T74" s="347"/>
      <c r="U74" s="347"/>
      <c r="V74" s="347"/>
      <c r="W74" s="347"/>
      <c r="X74" s="347"/>
      <c r="Y74" s="347"/>
      <c r="Z74" s="347"/>
      <c r="AA74" s="347"/>
      <c r="AB74" s="347"/>
      <c r="AC74" s="347"/>
      <c r="AD74" s="347"/>
      <c r="AE74" s="347"/>
      <c r="AF74" s="347"/>
      <c r="AG74" s="347"/>
      <c r="AH74" s="347"/>
    </row>
    <row r="75" spans="1:34" ht="27" customHeight="1" x14ac:dyDescent="0.3">
      <c r="A75" s="347"/>
      <c r="B75" s="347"/>
      <c r="C75" s="347"/>
      <c r="D75" s="347"/>
      <c r="E75" s="347"/>
      <c r="F75" s="347"/>
      <c r="G75" s="347"/>
      <c r="H75" s="347"/>
      <c r="I75" s="347"/>
      <c r="J75" s="347"/>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row>
    <row r="76" spans="1:34" ht="27" customHeight="1" x14ac:dyDescent="0.3">
      <c r="A76" s="347"/>
      <c r="B76" s="347"/>
      <c r="C76" s="347"/>
      <c r="D76" s="347"/>
      <c r="E76" s="347"/>
      <c r="F76" s="347"/>
      <c r="G76" s="347"/>
      <c r="H76" s="347"/>
      <c r="I76" s="347"/>
      <c r="J76" s="347"/>
      <c r="K76" s="347"/>
      <c r="L76" s="347"/>
      <c r="M76" s="347"/>
      <c r="N76" s="347"/>
      <c r="O76" s="347"/>
      <c r="P76" s="347"/>
      <c r="Q76" s="347"/>
      <c r="R76" s="347"/>
      <c r="S76" s="347"/>
      <c r="T76" s="347"/>
      <c r="U76" s="347"/>
      <c r="V76" s="347"/>
      <c r="W76" s="347"/>
      <c r="X76" s="347"/>
      <c r="Y76" s="347"/>
      <c r="Z76" s="347"/>
      <c r="AA76" s="347"/>
      <c r="AB76" s="347"/>
      <c r="AC76" s="347"/>
      <c r="AD76" s="347"/>
      <c r="AE76" s="347"/>
      <c r="AF76" s="347"/>
      <c r="AG76" s="347"/>
      <c r="AH76" s="347"/>
    </row>
    <row r="77" spans="1:34" ht="27" customHeight="1" x14ac:dyDescent="0.3">
      <c r="A77" s="347"/>
      <c r="B77" s="347"/>
      <c r="C77" s="347"/>
      <c r="D77" s="347"/>
      <c r="E77" s="347"/>
      <c r="F77" s="347"/>
      <c r="G77" s="347"/>
      <c r="H77" s="347"/>
      <c r="I77" s="347"/>
      <c r="J77" s="347"/>
      <c r="K77" s="347"/>
      <c r="L77" s="347"/>
      <c r="M77" s="347"/>
      <c r="N77" s="347"/>
      <c r="O77" s="347"/>
      <c r="P77" s="347"/>
      <c r="Q77" s="347"/>
      <c r="R77" s="347"/>
      <c r="S77" s="347"/>
      <c r="T77" s="347"/>
      <c r="U77" s="347"/>
      <c r="V77" s="347"/>
      <c r="W77" s="347"/>
      <c r="X77" s="347"/>
      <c r="Y77" s="347"/>
      <c r="Z77" s="347"/>
      <c r="AA77" s="347"/>
      <c r="AB77" s="347"/>
      <c r="AC77" s="347"/>
      <c r="AD77" s="347"/>
      <c r="AE77" s="347"/>
      <c r="AF77" s="347"/>
      <c r="AG77" s="347"/>
      <c r="AH77" s="347"/>
    </row>
    <row r="78" spans="1:34" ht="27" customHeight="1" x14ac:dyDescent="0.3">
      <c r="A78" s="347"/>
      <c r="B78" s="347"/>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row>
    <row r="79" spans="1:34" ht="27" customHeight="1" x14ac:dyDescent="0.3">
      <c r="A79" s="347"/>
      <c r="B79" s="347"/>
      <c r="C79" s="347"/>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347"/>
      <c r="AH79" s="347"/>
    </row>
    <row r="80" spans="1:34" ht="27" customHeight="1" x14ac:dyDescent="0.3">
      <c r="A80" s="347"/>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47"/>
    </row>
    <row r="81" spans="1:34" ht="27" customHeight="1" x14ac:dyDescent="0.3">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47"/>
    </row>
    <row r="82" spans="1:34" ht="27" customHeight="1" x14ac:dyDescent="0.3">
      <c r="A82" s="347"/>
      <c r="B82" s="347"/>
      <c r="C82" s="347"/>
      <c r="D82" s="347"/>
      <c r="E82" s="347"/>
      <c r="F82" s="347"/>
      <c r="G82" s="347"/>
      <c r="H82" s="347"/>
      <c r="I82" s="347"/>
      <c r="J82" s="347"/>
      <c r="K82" s="347"/>
      <c r="L82" s="347"/>
      <c r="M82" s="347"/>
      <c r="N82" s="347"/>
      <c r="O82" s="347"/>
      <c r="P82" s="347"/>
      <c r="Q82" s="347"/>
      <c r="R82" s="347"/>
      <c r="S82" s="347"/>
      <c r="T82" s="347"/>
      <c r="U82" s="347"/>
      <c r="V82" s="347"/>
      <c r="W82" s="347"/>
      <c r="X82" s="347"/>
      <c r="Y82" s="347"/>
      <c r="Z82" s="347"/>
      <c r="AA82" s="347"/>
      <c r="AB82" s="347"/>
      <c r="AC82" s="347"/>
      <c r="AD82" s="347"/>
      <c r="AE82" s="347"/>
      <c r="AF82" s="347"/>
      <c r="AG82" s="347"/>
      <c r="AH82" s="347"/>
    </row>
    <row r="83" spans="1:34" ht="27" customHeight="1" x14ac:dyDescent="0.3">
      <c r="A83" s="347"/>
      <c r="B83" s="347"/>
      <c r="C83" s="347"/>
      <c r="D83" s="347"/>
      <c r="E83" s="347"/>
      <c r="F83" s="347"/>
      <c r="G83" s="347"/>
      <c r="H83" s="347"/>
      <c r="I83" s="347"/>
      <c r="J83" s="347"/>
      <c r="K83" s="347"/>
      <c r="L83" s="347"/>
      <c r="M83" s="347"/>
      <c r="N83" s="347"/>
      <c r="O83" s="347"/>
      <c r="P83" s="347"/>
      <c r="Q83" s="347"/>
      <c r="R83" s="347"/>
      <c r="S83" s="347"/>
      <c r="T83" s="347"/>
      <c r="U83" s="347"/>
      <c r="V83" s="347"/>
      <c r="W83" s="347"/>
      <c r="X83" s="347"/>
      <c r="Y83" s="347"/>
      <c r="Z83" s="347"/>
      <c r="AA83" s="347"/>
      <c r="AB83" s="347"/>
      <c r="AC83" s="347"/>
      <c r="AD83" s="347"/>
      <c r="AE83" s="347"/>
      <c r="AF83" s="347"/>
      <c r="AG83" s="347"/>
      <c r="AH83" s="347"/>
    </row>
    <row r="84" spans="1:34" ht="27" customHeight="1" x14ac:dyDescent="0.3">
      <c r="A84" s="347"/>
      <c r="B84" s="347"/>
      <c r="C84" s="347"/>
      <c r="D84" s="347"/>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7"/>
      <c r="AC84" s="347"/>
      <c r="AD84" s="347"/>
      <c r="AE84" s="347"/>
      <c r="AF84" s="347"/>
      <c r="AG84" s="347"/>
      <c r="AH84" s="347"/>
    </row>
    <row r="85" spans="1:34" ht="27" customHeight="1" x14ac:dyDescent="0.3">
      <c r="A85" s="347"/>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7"/>
      <c r="AG85" s="347"/>
      <c r="AH85" s="347"/>
    </row>
    <row r="86" spans="1:34" ht="27" customHeight="1" x14ac:dyDescent="0.3">
      <c r="A86" s="347"/>
      <c r="B86" s="347"/>
      <c r="C86" s="347"/>
      <c r="D86" s="347"/>
      <c r="E86" s="347"/>
      <c r="F86" s="347"/>
      <c r="G86" s="347"/>
      <c r="H86" s="347"/>
      <c r="I86" s="347"/>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row>
    <row r="87" spans="1:34" ht="27" customHeight="1" x14ac:dyDescent="0.3">
      <c r="A87" s="347"/>
      <c r="B87" s="347"/>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47"/>
      <c r="AG87" s="347"/>
      <c r="AH87" s="347"/>
    </row>
    <row r="88" spans="1:34" ht="27" customHeight="1" x14ac:dyDescent="0.3">
      <c r="A88" s="347"/>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row>
    <row r="89" spans="1:34" ht="27" customHeight="1" x14ac:dyDescent="0.3">
      <c r="A89" s="347"/>
      <c r="B89" s="347"/>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c r="AE89" s="347"/>
      <c r="AF89" s="347"/>
      <c r="AG89" s="347"/>
      <c r="AH89" s="347"/>
    </row>
    <row r="90" spans="1:34" ht="27" customHeight="1" x14ac:dyDescent="0.3">
      <c r="A90" s="347"/>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row>
    <row r="91" spans="1:34" ht="27" customHeight="1" x14ac:dyDescent="0.3">
      <c r="A91" s="347"/>
      <c r="B91" s="347"/>
      <c r="C91" s="347"/>
      <c r="D91" s="347"/>
      <c r="E91" s="347"/>
      <c r="F91" s="347"/>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c r="AE91" s="347"/>
      <c r="AF91" s="347"/>
      <c r="AG91" s="347"/>
      <c r="AH91" s="347"/>
    </row>
    <row r="92" spans="1:34" ht="27" customHeight="1" x14ac:dyDescent="0.3">
      <c r="A92" s="347"/>
      <c r="B92" s="347"/>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row>
    <row r="93" spans="1:34" ht="27" customHeight="1" x14ac:dyDescent="0.3">
      <c r="A93" s="347"/>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row>
    <row r="94" spans="1:34" ht="27" customHeight="1" x14ac:dyDescent="0.3">
      <c r="A94" s="347"/>
      <c r="B94" s="347"/>
      <c r="C94" s="347"/>
      <c r="D94" s="347"/>
      <c r="E94" s="347"/>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c r="AE94" s="347"/>
      <c r="AF94" s="347"/>
      <c r="AG94" s="347"/>
      <c r="AH94" s="347"/>
    </row>
    <row r="95" spans="1:34" ht="27" customHeight="1" x14ac:dyDescent="0.3">
      <c r="A95" s="347"/>
      <c r="B95" s="347"/>
      <c r="C95" s="347"/>
      <c r="D95" s="347"/>
      <c r="E95" s="347"/>
      <c r="F95" s="347"/>
      <c r="G95" s="347"/>
      <c r="H95" s="347"/>
      <c r="I95" s="347"/>
      <c r="J95" s="347"/>
      <c r="K95" s="347"/>
      <c r="L95" s="347"/>
      <c r="M95" s="347"/>
      <c r="N95" s="347"/>
      <c r="O95" s="347"/>
      <c r="P95" s="347"/>
      <c r="Q95" s="347"/>
      <c r="R95" s="347"/>
      <c r="S95" s="347"/>
      <c r="T95" s="347"/>
      <c r="U95" s="347"/>
      <c r="V95" s="347"/>
      <c r="W95" s="347"/>
      <c r="X95" s="347"/>
      <c r="Y95" s="347"/>
      <c r="Z95" s="347"/>
      <c r="AA95" s="347"/>
      <c r="AB95" s="347"/>
      <c r="AC95" s="347"/>
      <c r="AD95" s="347"/>
      <c r="AE95" s="347"/>
      <c r="AF95" s="347"/>
      <c r="AG95" s="347"/>
      <c r="AH95" s="347"/>
    </row>
    <row r="96" spans="1:34" ht="27" customHeight="1" x14ac:dyDescent="0.3">
      <c r="A96" s="347"/>
      <c r="B96" s="347"/>
      <c r="C96" s="347"/>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row>
    <row r="97" spans="1:34" ht="27" customHeight="1" x14ac:dyDescent="0.3">
      <c r="A97" s="347"/>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row>
    <row r="98" spans="1:34" ht="27" customHeight="1" x14ac:dyDescent="0.3">
      <c r="A98" s="347"/>
      <c r="B98" s="347"/>
      <c r="C98" s="347"/>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row>
    <row r="99" spans="1:34" ht="27" customHeight="1" x14ac:dyDescent="0.3">
      <c r="A99" s="347"/>
      <c r="B99" s="347"/>
      <c r="C99" s="347"/>
      <c r="D99" s="347"/>
      <c r="E99" s="347"/>
      <c r="F99" s="347"/>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c r="AE99" s="347"/>
      <c r="AF99" s="347"/>
      <c r="AG99" s="347"/>
      <c r="AH99" s="347"/>
    </row>
    <row r="100" spans="1:34" ht="27" customHeight="1" x14ac:dyDescent="0.3">
      <c r="A100" s="347"/>
      <c r="B100" s="347"/>
      <c r="C100" s="347"/>
      <c r="D100" s="347"/>
      <c r="E100" s="347"/>
      <c r="F100" s="347"/>
      <c r="G100" s="347"/>
      <c r="H100" s="347"/>
      <c r="I100" s="347"/>
      <c r="J100" s="347"/>
      <c r="K100" s="347"/>
      <c r="L100" s="347"/>
      <c r="M100" s="347"/>
      <c r="N100" s="347"/>
      <c r="O100" s="347"/>
      <c r="P100" s="347"/>
      <c r="Q100" s="347"/>
      <c r="R100" s="347"/>
      <c r="S100" s="347"/>
      <c r="T100" s="347"/>
      <c r="U100" s="347"/>
      <c r="V100" s="347"/>
      <c r="W100" s="347"/>
      <c r="X100" s="347"/>
      <c r="Y100" s="347"/>
      <c r="Z100" s="347"/>
      <c r="AA100" s="347"/>
      <c r="AB100" s="347"/>
      <c r="AC100" s="347"/>
      <c r="AD100" s="347"/>
      <c r="AE100" s="347"/>
      <c r="AF100" s="347"/>
      <c r="AG100" s="347"/>
      <c r="AH100" s="347"/>
    </row>
    <row r="101" spans="1:34" ht="27" customHeight="1" x14ac:dyDescent="0.3">
      <c r="A101" s="347"/>
      <c r="B101" s="347"/>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347"/>
      <c r="AG101" s="347"/>
      <c r="AH101" s="347"/>
    </row>
    <row r="102" spans="1:34" ht="27" customHeight="1" x14ac:dyDescent="0.3">
      <c r="A102" s="347"/>
      <c r="B102" s="347"/>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7"/>
      <c r="AC102" s="347"/>
      <c r="AD102" s="347"/>
      <c r="AE102" s="347"/>
      <c r="AF102" s="347"/>
      <c r="AG102" s="347"/>
      <c r="AH102" s="347"/>
    </row>
    <row r="103" spans="1:34" ht="27" customHeight="1" x14ac:dyDescent="0.3">
      <c r="A103" s="347"/>
      <c r="B103" s="347"/>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row>
    <row r="104" spans="1:34" ht="27" customHeight="1" x14ac:dyDescent="0.3">
      <c r="A104" s="347"/>
      <c r="B104" s="347"/>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row>
    <row r="105" spans="1:34" ht="27" customHeight="1" x14ac:dyDescent="0.3">
      <c r="A105" s="347"/>
      <c r="B105" s="347"/>
      <c r="C105" s="347"/>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347"/>
      <c r="AE105" s="347"/>
      <c r="AF105" s="347"/>
      <c r="AG105" s="347"/>
      <c r="AH105" s="347"/>
    </row>
    <row r="106" spans="1:34" ht="27" customHeight="1" x14ac:dyDescent="0.3">
      <c r="A106" s="347"/>
      <c r="B106" s="347"/>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347"/>
      <c r="AE106" s="347"/>
      <c r="AF106" s="347"/>
      <c r="AG106" s="347"/>
      <c r="AH106" s="347"/>
    </row>
    <row r="107" spans="1:34" ht="27" customHeight="1" x14ac:dyDescent="0.3">
      <c r="A107" s="347"/>
      <c r="B107" s="347"/>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row>
    <row r="108" spans="1:34" ht="27" customHeight="1" x14ac:dyDescent="0.3">
      <c r="A108" s="347"/>
      <c r="B108" s="347"/>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row>
    <row r="109" spans="1:34" ht="27" customHeight="1" x14ac:dyDescent="0.3">
      <c r="A109" s="347"/>
      <c r="B109" s="347"/>
      <c r="C109" s="347"/>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row>
    <row r="110" spans="1:34" ht="27" customHeight="1" x14ac:dyDescent="0.3">
      <c r="A110" s="347"/>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row>
    <row r="111" spans="1:34" ht="27" customHeight="1" x14ac:dyDescent="0.3">
      <c r="A111" s="347"/>
      <c r="B111" s="347"/>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row>
    <row r="112" spans="1:34" ht="27" customHeight="1" x14ac:dyDescent="0.3">
      <c r="A112" s="347"/>
      <c r="B112" s="347"/>
      <c r="C112" s="347"/>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row>
    <row r="113" spans="1:34" ht="27" customHeight="1" x14ac:dyDescent="0.3">
      <c r="A113" s="347"/>
      <c r="B113" s="347"/>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row>
    <row r="114" spans="1:34" ht="27" customHeight="1" x14ac:dyDescent="0.3">
      <c r="A114" s="347"/>
      <c r="B114" s="347"/>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347"/>
      <c r="Z114" s="347"/>
      <c r="AA114" s="347"/>
      <c r="AB114" s="347"/>
      <c r="AC114" s="347"/>
      <c r="AD114" s="347"/>
      <c r="AE114" s="347"/>
      <c r="AF114" s="347"/>
      <c r="AG114" s="347"/>
      <c r="AH114" s="347"/>
    </row>
    <row r="115" spans="1:34" ht="27" customHeight="1" x14ac:dyDescent="0.3">
      <c r="A115" s="347"/>
      <c r="B115" s="347"/>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c r="AE115" s="347"/>
      <c r="AF115" s="347"/>
      <c r="AG115" s="347"/>
      <c r="AH115" s="347"/>
    </row>
    <row r="116" spans="1:34" ht="27" customHeight="1" x14ac:dyDescent="0.3">
      <c r="A116" s="347"/>
      <c r="B116" s="347"/>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c r="AE116" s="347"/>
      <c r="AF116" s="347"/>
      <c r="AG116" s="347"/>
      <c r="AH116" s="347"/>
    </row>
    <row r="117" spans="1:34" ht="27" customHeight="1" x14ac:dyDescent="0.3">
      <c r="A117" s="347"/>
      <c r="B117" s="347"/>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7"/>
      <c r="AF117" s="347"/>
      <c r="AG117" s="347"/>
      <c r="AH117" s="347"/>
    </row>
    <row r="118" spans="1:34" ht="27" customHeight="1" x14ac:dyDescent="0.3">
      <c r="A118" s="347"/>
      <c r="B118" s="347"/>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row>
    <row r="119" spans="1:34" ht="27" customHeight="1" x14ac:dyDescent="0.3">
      <c r="A119" s="347"/>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row>
    <row r="120" spans="1:34" ht="27" customHeight="1" x14ac:dyDescent="0.3">
      <c r="A120" s="347"/>
      <c r="B120" s="347"/>
      <c r="C120" s="347"/>
      <c r="D120" s="347"/>
      <c r="E120" s="347"/>
      <c r="F120" s="347"/>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c r="AE120" s="347"/>
      <c r="AF120" s="347"/>
      <c r="AG120" s="347"/>
      <c r="AH120" s="347"/>
    </row>
    <row r="121" spans="1:34" ht="27" customHeight="1" x14ac:dyDescent="0.3">
      <c r="A121" s="347"/>
      <c r="B121" s="347"/>
      <c r="C121" s="347"/>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row>
    <row r="122" spans="1:34" ht="27" customHeight="1" x14ac:dyDescent="0.3">
      <c r="A122" s="347"/>
      <c r="B122" s="347"/>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row>
    <row r="123" spans="1:34" ht="27" customHeight="1" x14ac:dyDescent="0.3">
      <c r="A123" s="347"/>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row>
    <row r="124" spans="1:34" ht="27" customHeight="1" x14ac:dyDescent="0.3">
      <c r="A124" s="347"/>
      <c r="B124" s="347"/>
      <c r="C124" s="347"/>
      <c r="D124" s="347"/>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row>
    <row r="125" spans="1:34" ht="27" customHeight="1" x14ac:dyDescent="0.3">
      <c r="A125" s="347"/>
      <c r="B125" s="347"/>
      <c r="C125" s="347"/>
      <c r="D125" s="347"/>
      <c r="E125" s="347"/>
      <c r="F125" s="347"/>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row>
    <row r="126" spans="1:34" ht="27" customHeight="1" x14ac:dyDescent="0.3">
      <c r="A126" s="347"/>
      <c r="B126" s="347"/>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row>
    <row r="127" spans="1:34" ht="27" customHeight="1" x14ac:dyDescent="0.3">
      <c r="A127" s="347"/>
      <c r="B127" s="347"/>
      <c r="C127" s="347"/>
      <c r="D127" s="347"/>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7"/>
      <c r="AE127" s="347"/>
      <c r="AF127" s="347"/>
      <c r="AG127" s="347"/>
      <c r="AH127" s="347"/>
    </row>
    <row r="128" spans="1:34" ht="27" customHeight="1" x14ac:dyDescent="0.3">
      <c r="A128" s="347"/>
      <c r="B128" s="347"/>
      <c r="C128" s="347"/>
      <c r="D128" s="347"/>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row>
    <row r="129" spans="1:34" ht="27" customHeight="1" x14ac:dyDescent="0.3">
      <c r="A129" s="347"/>
      <c r="B129" s="347"/>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row>
    <row r="130" spans="1:34" ht="27" customHeight="1" x14ac:dyDescent="0.3">
      <c r="A130" s="347"/>
      <c r="B130" s="347"/>
      <c r="C130" s="347"/>
      <c r="D130" s="347"/>
      <c r="E130" s="347"/>
      <c r="F130" s="347"/>
      <c r="G130" s="347"/>
      <c r="H130" s="347"/>
      <c r="I130" s="347"/>
      <c r="J130" s="347"/>
      <c r="K130" s="347"/>
      <c r="L130" s="347"/>
      <c r="M130" s="347"/>
      <c r="N130" s="347"/>
      <c r="O130" s="347"/>
      <c r="P130" s="347"/>
      <c r="Q130" s="347"/>
      <c r="R130" s="347"/>
      <c r="S130" s="347"/>
      <c r="T130" s="347"/>
      <c r="U130" s="347"/>
      <c r="V130" s="347"/>
      <c r="W130" s="347"/>
      <c r="X130" s="347"/>
      <c r="Y130" s="347"/>
      <c r="Z130" s="347"/>
      <c r="AA130" s="347"/>
      <c r="AB130" s="347"/>
      <c r="AC130" s="347"/>
      <c r="AD130" s="347"/>
      <c r="AE130" s="347"/>
      <c r="AF130" s="347"/>
      <c r="AG130" s="347"/>
      <c r="AH130" s="347"/>
    </row>
    <row r="131" spans="1:34" ht="27" customHeight="1" x14ac:dyDescent="0.3">
      <c r="A131" s="347"/>
      <c r="B131" s="347"/>
      <c r="C131" s="347"/>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347"/>
      <c r="Z131" s="347"/>
      <c r="AA131" s="347"/>
      <c r="AB131" s="347"/>
      <c r="AC131" s="347"/>
      <c r="AD131" s="347"/>
      <c r="AE131" s="347"/>
      <c r="AF131" s="347"/>
      <c r="AG131" s="347"/>
      <c r="AH131" s="347"/>
    </row>
    <row r="132" spans="1:34" ht="27" customHeight="1" x14ac:dyDescent="0.3">
      <c r="A132" s="347"/>
      <c r="B132" s="347"/>
      <c r="C132" s="347"/>
      <c r="D132" s="347"/>
      <c r="E132" s="347"/>
      <c r="F132" s="347"/>
      <c r="G132" s="347"/>
      <c r="H132" s="347"/>
      <c r="I132" s="347"/>
      <c r="J132" s="347"/>
      <c r="K132" s="347"/>
      <c r="L132" s="347"/>
      <c r="M132" s="347"/>
      <c r="N132" s="347"/>
      <c r="O132" s="347"/>
      <c r="P132" s="347"/>
      <c r="Q132" s="347"/>
      <c r="R132" s="347"/>
      <c r="S132" s="347"/>
      <c r="T132" s="347"/>
      <c r="U132" s="347"/>
      <c r="V132" s="347"/>
      <c r="W132" s="347"/>
      <c r="X132" s="347"/>
      <c r="Y132" s="347"/>
      <c r="Z132" s="347"/>
      <c r="AA132" s="347"/>
      <c r="AB132" s="347"/>
      <c r="AC132" s="347"/>
      <c r="AD132" s="347"/>
      <c r="AE132" s="347"/>
      <c r="AF132" s="347"/>
      <c r="AG132" s="347"/>
      <c r="AH132" s="347"/>
    </row>
    <row r="133" spans="1:34" ht="27" customHeight="1" x14ac:dyDescent="0.3">
      <c r="A133" s="347"/>
      <c r="B133" s="347"/>
      <c r="C133" s="347"/>
      <c r="D133" s="347"/>
      <c r="E133" s="347"/>
      <c r="F133" s="347"/>
      <c r="G133" s="347"/>
      <c r="H133" s="347"/>
      <c r="I133" s="347"/>
      <c r="J133" s="347"/>
      <c r="K133" s="347"/>
      <c r="L133" s="347"/>
      <c r="M133" s="347"/>
      <c r="N133" s="347"/>
      <c r="O133" s="347"/>
      <c r="P133" s="347"/>
      <c r="Q133" s="347"/>
      <c r="R133" s="347"/>
      <c r="S133" s="347"/>
      <c r="T133" s="347"/>
      <c r="U133" s="347"/>
      <c r="V133" s="347"/>
      <c r="W133" s="347"/>
      <c r="X133" s="347"/>
      <c r="Y133" s="347"/>
      <c r="Z133" s="347"/>
      <c r="AA133" s="347"/>
      <c r="AB133" s="347"/>
      <c r="AC133" s="347"/>
      <c r="AD133" s="347"/>
      <c r="AE133" s="347"/>
      <c r="AF133" s="347"/>
      <c r="AG133" s="347"/>
      <c r="AH133" s="347"/>
    </row>
    <row r="134" spans="1:34" ht="27" customHeight="1" x14ac:dyDescent="0.3">
      <c r="A134" s="347"/>
      <c r="B134" s="347"/>
      <c r="C134" s="347"/>
      <c r="D134" s="347"/>
      <c r="E134" s="347"/>
      <c r="F134" s="347"/>
      <c r="G134" s="347"/>
      <c r="H134" s="347"/>
      <c r="I134" s="347"/>
      <c r="J134" s="347"/>
      <c r="K134" s="347"/>
      <c r="L134" s="347"/>
      <c r="M134" s="347"/>
      <c r="N134" s="347"/>
      <c r="O134" s="347"/>
      <c r="P134" s="347"/>
      <c r="Q134" s="347"/>
      <c r="R134" s="347"/>
      <c r="S134" s="347"/>
      <c r="T134" s="347"/>
      <c r="U134" s="347"/>
      <c r="V134" s="347"/>
      <c r="W134" s="347"/>
      <c r="X134" s="347"/>
      <c r="Y134" s="347"/>
      <c r="Z134" s="347"/>
      <c r="AA134" s="347"/>
      <c r="AB134" s="347"/>
      <c r="AC134" s="347"/>
      <c r="AD134" s="347"/>
      <c r="AE134" s="347"/>
      <c r="AF134" s="347"/>
      <c r="AG134" s="347"/>
      <c r="AH134" s="347"/>
    </row>
    <row r="135" spans="1:34" ht="27" customHeight="1" x14ac:dyDescent="0.3">
      <c r="A135" s="347"/>
      <c r="B135" s="347"/>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c r="AE135" s="347"/>
      <c r="AF135" s="347"/>
      <c r="AG135" s="347"/>
      <c r="AH135" s="347"/>
    </row>
    <row r="136" spans="1:34" ht="27" customHeight="1" x14ac:dyDescent="0.3">
      <c r="A136" s="347"/>
      <c r="B136" s="347"/>
      <c r="C136" s="347"/>
      <c r="D136" s="347"/>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row>
    <row r="137" spans="1:34" ht="27" customHeight="1" x14ac:dyDescent="0.3">
      <c r="A137" s="347"/>
      <c r="B137" s="347"/>
      <c r="C137" s="347"/>
      <c r="D137" s="347"/>
      <c r="E137" s="347"/>
      <c r="F137" s="347"/>
      <c r="G137" s="347"/>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347"/>
      <c r="AD137" s="347"/>
      <c r="AE137" s="347"/>
      <c r="AF137" s="347"/>
      <c r="AG137" s="347"/>
      <c r="AH137" s="347"/>
    </row>
    <row r="138" spans="1:34" ht="27" customHeight="1" x14ac:dyDescent="0.3">
      <c r="A138" s="347"/>
      <c r="B138" s="347"/>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347"/>
      <c r="Z138" s="347"/>
      <c r="AA138" s="347"/>
      <c r="AB138" s="347"/>
      <c r="AC138" s="347"/>
      <c r="AD138" s="347"/>
      <c r="AE138" s="347"/>
      <c r="AF138" s="347"/>
      <c r="AG138" s="347"/>
      <c r="AH138" s="347"/>
    </row>
    <row r="139" spans="1:34" ht="27" customHeight="1" x14ac:dyDescent="0.3">
      <c r="A139" s="347"/>
      <c r="B139" s="347"/>
      <c r="C139" s="347"/>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7"/>
      <c r="AC139" s="347"/>
      <c r="AD139" s="347"/>
      <c r="AE139" s="347"/>
      <c r="AF139" s="347"/>
      <c r="AG139" s="347"/>
      <c r="AH139" s="347"/>
    </row>
    <row r="140" spans="1:34" ht="27" customHeight="1" x14ac:dyDescent="0.3">
      <c r="A140" s="347"/>
      <c r="B140" s="347"/>
      <c r="C140" s="347"/>
      <c r="D140" s="347"/>
      <c r="E140" s="347"/>
      <c r="F140" s="347"/>
      <c r="G140" s="347"/>
      <c r="H140" s="347"/>
      <c r="I140" s="347"/>
      <c r="J140" s="347"/>
      <c r="K140" s="347"/>
      <c r="L140" s="347"/>
      <c r="M140" s="347"/>
      <c r="N140" s="347"/>
      <c r="O140" s="347"/>
      <c r="P140" s="347"/>
      <c r="Q140" s="347"/>
      <c r="R140" s="347"/>
      <c r="S140" s="347"/>
      <c r="T140" s="347"/>
      <c r="U140" s="347"/>
      <c r="V140" s="347"/>
      <c r="W140" s="347"/>
      <c r="X140" s="347"/>
      <c r="Y140" s="347"/>
      <c r="Z140" s="347"/>
      <c r="AA140" s="347"/>
      <c r="AB140" s="347"/>
      <c r="AC140" s="347"/>
      <c r="AD140" s="347"/>
      <c r="AE140" s="347"/>
      <c r="AF140" s="347"/>
      <c r="AG140" s="347"/>
      <c r="AH140" s="347"/>
    </row>
    <row r="141" spans="1:34" ht="27" customHeight="1" x14ac:dyDescent="0.3">
      <c r="C141" s="347"/>
      <c r="D141" s="347"/>
      <c r="E141" s="347"/>
      <c r="F141" s="347"/>
      <c r="G141" s="347"/>
    </row>
  </sheetData>
  <sheetProtection algorithmName="SHA-512" hashValue="a9+wWGYyCtAOYUBlQlB4cserby3/4diBHPWzbIBSSxGHDhKwYK7j/TS9B2Gs2i9shnpACQ0bj49hVZxg/SZfdg==" saltValue="RN1trq9cItPrJQ8UF8gCHQ==" spinCount="100000" sheet="1" objects="1" scenarios="1"/>
  <mergeCells count="5">
    <mergeCell ref="K27:N27"/>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customProperties>
    <customPr name="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ACEACF"/>
  </sheetPr>
  <dimension ref="A1:N146"/>
  <sheetViews>
    <sheetView zoomScale="80" zoomScaleNormal="80" workbookViewId="0">
      <selection activeCell="E123" sqref="E123"/>
    </sheetView>
  </sheetViews>
  <sheetFormatPr defaultColWidth="9.140625" defaultRowHeight="12.75" x14ac:dyDescent="0.2"/>
  <cols>
    <col min="1" max="1" width="27.140625" style="16" bestFit="1" customWidth="1"/>
    <col min="2" max="3" width="27.85546875" style="23" customWidth="1"/>
    <col min="4" max="4" width="22.140625" style="16" bestFit="1" customWidth="1"/>
    <col min="5" max="5" width="29.85546875" style="23" bestFit="1" customWidth="1"/>
    <col min="6" max="6" width="30.42578125" style="23" bestFit="1" customWidth="1"/>
    <col min="7" max="7" width="43.140625" style="23" customWidth="1"/>
    <col min="8" max="8" width="22.42578125" style="23" customWidth="1"/>
    <col min="9" max="9" width="48" style="23" bestFit="1" customWidth="1"/>
    <col min="10" max="10" width="41.42578125" style="23" bestFit="1" customWidth="1"/>
    <col min="11" max="11" width="17.42578125" style="23" bestFit="1" customWidth="1"/>
    <col min="12" max="12" width="43.85546875" style="23" bestFit="1" customWidth="1"/>
    <col min="13" max="13" width="32.85546875" style="54" bestFit="1" customWidth="1"/>
    <col min="14" max="14" width="31.42578125" style="23" bestFit="1" customWidth="1"/>
    <col min="15" max="15" width="32.140625" style="23" bestFit="1" customWidth="1"/>
    <col min="16" max="16" width="22.42578125" style="23" bestFit="1" customWidth="1"/>
    <col min="17" max="17" width="24.140625" style="23" bestFit="1" customWidth="1"/>
    <col min="18" max="18" width="24.42578125" style="23" customWidth="1"/>
    <col min="19" max="19" width="31.42578125" style="23" customWidth="1"/>
    <col min="20" max="16384" width="9.140625" style="23"/>
  </cols>
  <sheetData>
    <row r="1" spans="1:14" x14ac:dyDescent="0.2">
      <c r="A1" s="53"/>
      <c r="B1" s="53"/>
    </row>
    <row r="2" spans="1:14" s="24" customFormat="1" ht="21" customHeight="1" x14ac:dyDescent="0.2">
      <c r="A2" s="55" t="s">
        <v>44</v>
      </c>
      <c r="B2" s="55" t="s">
        <v>465</v>
      </c>
      <c r="D2" s="56"/>
      <c r="E2" s="57"/>
      <c r="F2" s="57"/>
      <c r="G2" s="57"/>
      <c r="H2" s="57"/>
      <c r="K2" s="57" t="s">
        <v>466</v>
      </c>
      <c r="L2" s="57" t="s">
        <v>467</v>
      </c>
      <c r="M2" s="58" t="s">
        <v>468</v>
      </c>
      <c r="N2" s="57" t="s">
        <v>469</v>
      </c>
    </row>
    <row r="3" spans="1:14" ht="18.75" customHeight="1" x14ac:dyDescent="0.2">
      <c r="A3" s="59" t="s">
        <v>470</v>
      </c>
      <c r="B3" s="53" t="s">
        <v>471</v>
      </c>
      <c r="E3" s="54"/>
      <c r="K3" s="23" t="s">
        <v>66</v>
      </c>
      <c r="L3" s="23" t="s">
        <v>472</v>
      </c>
      <c r="M3" s="54">
        <f>'Project Compliance Tool'!D5</f>
        <v>0</v>
      </c>
      <c r="N3" s="23" t="str">
        <f>IF(ISERROR(VLOOKUP(M3,$K$3:$L$9,2,FALSE)),"",VLOOKUP(M3,$K$3:$L$9,2,FALSE))</f>
        <v/>
      </c>
    </row>
    <row r="4" spans="1:14" ht="18.75" customHeight="1" x14ac:dyDescent="0.2">
      <c r="A4" s="59" t="s">
        <v>387</v>
      </c>
      <c r="B4" s="53" t="s">
        <v>387</v>
      </c>
      <c r="E4" s="54"/>
      <c r="K4" s="23" t="s">
        <v>473</v>
      </c>
      <c r="L4" s="23" t="s">
        <v>474</v>
      </c>
    </row>
    <row r="5" spans="1:14" ht="18.75" customHeight="1" x14ac:dyDescent="0.2">
      <c r="A5" s="59" t="s">
        <v>403</v>
      </c>
      <c r="B5" s="53" t="s">
        <v>475</v>
      </c>
      <c r="D5" s="56" t="s">
        <v>476</v>
      </c>
      <c r="E5" s="57" t="s">
        <v>477</v>
      </c>
      <c r="F5" s="57" t="s">
        <v>465</v>
      </c>
      <c r="G5" s="57" t="s">
        <v>478</v>
      </c>
      <c r="H5" s="57" t="s">
        <v>479</v>
      </c>
      <c r="I5" s="24" t="s">
        <v>480</v>
      </c>
      <c r="K5" s="23" t="s">
        <v>481</v>
      </c>
      <c r="L5" s="23" t="s">
        <v>482</v>
      </c>
    </row>
    <row r="6" spans="1:14" ht="18.75" customHeight="1" x14ac:dyDescent="0.2">
      <c r="A6" s="59" t="s">
        <v>409</v>
      </c>
      <c r="B6" s="53" t="s">
        <v>409</v>
      </c>
      <c r="D6" s="16">
        <f>'Project Compliance Tool'!A12</f>
        <v>1</v>
      </c>
      <c r="E6" s="54">
        <f>'Project Compliance Tool'!H12</f>
        <v>0</v>
      </c>
      <c r="F6" s="23" t="str">
        <f>IF(ISERROR(VLOOKUP(E6,$A$3:$B$20,2,FALSE)),"",VLOOKUP(E6,$A$3:$B$20,2,FALSE))</f>
        <v/>
      </c>
      <c r="G6" s="23">
        <f>'Project Compliance Tool'!I12</f>
        <v>0</v>
      </c>
      <c r="H6" s="23" t="str">
        <f t="shared" ref="H6:H12" ca="1" si="0">IF(AND(F6&lt;&gt;0,G6=0),"OK",IF(ISERROR(VLOOKUP(G6,INDIRECT(F6),1,FALSE)),"Work Type","OK"))</f>
        <v>OK</v>
      </c>
      <c r="I6" s="23">
        <f ca="1">IF(H6="OK",1,0)</f>
        <v>1</v>
      </c>
      <c r="K6" s="23" t="s">
        <v>69</v>
      </c>
      <c r="L6" s="23" t="s">
        <v>483</v>
      </c>
    </row>
    <row r="7" spans="1:14" ht="18.75" customHeight="1" x14ac:dyDescent="0.2">
      <c r="A7" s="59" t="s">
        <v>420</v>
      </c>
      <c r="B7" s="53" t="s">
        <v>484</v>
      </c>
      <c r="D7" s="16">
        <f>'Project Compliance Tool'!A13</f>
        <v>2</v>
      </c>
      <c r="E7" s="54">
        <f>'Project Compliance Tool'!H13</f>
        <v>0</v>
      </c>
      <c r="F7" s="23" t="str">
        <f t="shared" ref="F7:F55" si="1">IF(ISERROR(VLOOKUP(E7,$A$3:$B$20,2,FALSE)),"",VLOOKUP(E7,$A$3:$B$20,2,FALSE))</f>
        <v/>
      </c>
      <c r="G7" s="23">
        <f>'Project Compliance Tool'!I13</f>
        <v>0</v>
      </c>
      <c r="H7" s="23" t="str">
        <f t="shared" ca="1" si="0"/>
        <v>OK</v>
      </c>
      <c r="I7" s="23">
        <f t="shared" ref="I7:I55" ca="1" si="2">IF(H7="OK",1,0)</f>
        <v>1</v>
      </c>
      <c r="K7" s="23" t="s">
        <v>70</v>
      </c>
      <c r="L7" s="23" t="s">
        <v>70</v>
      </c>
    </row>
    <row r="8" spans="1:14" ht="18.75" customHeight="1" x14ac:dyDescent="0.2">
      <c r="A8" s="60" t="s">
        <v>424</v>
      </c>
      <c r="B8" s="53" t="s">
        <v>485</v>
      </c>
      <c r="D8" s="16">
        <f>'Project Compliance Tool'!A14</f>
        <v>3</v>
      </c>
      <c r="E8" s="54">
        <f>'Project Compliance Tool'!H14</f>
        <v>0</v>
      </c>
      <c r="F8" s="23" t="str">
        <f t="shared" si="1"/>
        <v/>
      </c>
      <c r="G8" s="23">
        <f>'Project Compliance Tool'!I14</f>
        <v>0</v>
      </c>
      <c r="H8" s="23" t="str">
        <f t="shared" ca="1" si="0"/>
        <v>OK</v>
      </c>
      <c r="I8" s="23">
        <f t="shared" ca="1" si="2"/>
        <v>1</v>
      </c>
      <c r="K8" s="23" t="s">
        <v>71</v>
      </c>
      <c r="L8" s="23" t="s">
        <v>486</v>
      </c>
    </row>
    <row r="9" spans="1:14" ht="18.75" customHeight="1" x14ac:dyDescent="0.2">
      <c r="A9" s="59" t="s">
        <v>433</v>
      </c>
      <c r="B9" s="53" t="s">
        <v>487</v>
      </c>
      <c r="D9" s="16">
        <f>'Project Compliance Tool'!A15</f>
        <v>4</v>
      </c>
      <c r="E9" s="54">
        <f>'Project Compliance Tool'!H15</f>
        <v>0</v>
      </c>
      <c r="F9" s="23" t="str">
        <f t="shared" si="1"/>
        <v/>
      </c>
      <c r="G9" s="23">
        <f>'Project Compliance Tool'!I15</f>
        <v>0</v>
      </c>
      <c r="H9" s="23" t="str">
        <f t="shared" ca="1" si="0"/>
        <v>OK</v>
      </c>
      <c r="I9" s="23">
        <f t="shared" ca="1" si="2"/>
        <v>1</v>
      </c>
      <c r="K9" s="23" t="s">
        <v>72</v>
      </c>
      <c r="L9" s="23" t="s">
        <v>488</v>
      </c>
    </row>
    <row r="10" spans="1:14" ht="18.75" customHeight="1" x14ac:dyDescent="0.2">
      <c r="A10" s="59" t="s">
        <v>434</v>
      </c>
      <c r="B10" s="53" t="s">
        <v>489</v>
      </c>
      <c r="D10" s="16">
        <f>'Project Compliance Tool'!A16</f>
        <v>5</v>
      </c>
      <c r="E10" s="54">
        <f>'Project Compliance Tool'!H16</f>
        <v>0</v>
      </c>
      <c r="F10" s="23" t="str">
        <f t="shared" si="1"/>
        <v/>
      </c>
      <c r="G10" s="23">
        <f>'Project Compliance Tool'!I16</f>
        <v>0</v>
      </c>
      <c r="H10" s="23" t="str">
        <f t="shared" ca="1" si="0"/>
        <v>OK</v>
      </c>
      <c r="I10" s="23">
        <f t="shared" ca="1" si="2"/>
        <v>1</v>
      </c>
    </row>
    <row r="11" spans="1:14" ht="18.75" customHeight="1" x14ac:dyDescent="0.2">
      <c r="A11" s="59" t="s">
        <v>440</v>
      </c>
      <c r="B11" s="53" t="s">
        <v>490</v>
      </c>
      <c r="D11" s="16">
        <f>'Project Compliance Tool'!A17</f>
        <v>6</v>
      </c>
      <c r="E11" s="54">
        <f>'Project Compliance Tool'!H17</f>
        <v>0</v>
      </c>
      <c r="F11" s="23" t="str">
        <f t="shared" si="1"/>
        <v/>
      </c>
      <c r="G11" s="23">
        <f>'Project Compliance Tool'!I17</f>
        <v>0</v>
      </c>
      <c r="H11" s="23" t="str">
        <f t="shared" ca="1" si="0"/>
        <v>OK</v>
      </c>
      <c r="I11" s="23">
        <f t="shared" ca="1" si="2"/>
        <v>1</v>
      </c>
    </row>
    <row r="12" spans="1:14" ht="18.75" customHeight="1" x14ac:dyDescent="0.2">
      <c r="A12" s="59" t="s">
        <v>362</v>
      </c>
      <c r="B12" s="23" t="s">
        <v>491</v>
      </c>
      <c r="D12" s="16">
        <f>'Project Compliance Tool'!A18</f>
        <v>7</v>
      </c>
      <c r="E12" s="54">
        <f>'Project Compliance Tool'!H18</f>
        <v>0</v>
      </c>
      <c r="F12" s="23" t="str">
        <f t="shared" si="1"/>
        <v/>
      </c>
      <c r="G12" s="23">
        <f>'Project Compliance Tool'!I18</f>
        <v>0</v>
      </c>
      <c r="H12" s="23" t="str">
        <f t="shared" ca="1" si="0"/>
        <v>OK</v>
      </c>
      <c r="I12" s="23">
        <f t="shared" ca="1" si="2"/>
        <v>1</v>
      </c>
    </row>
    <row r="13" spans="1:14" ht="18.75" customHeight="1" x14ac:dyDescent="0.2">
      <c r="A13" s="59" t="s">
        <v>443</v>
      </c>
      <c r="B13" s="53" t="s">
        <v>492</v>
      </c>
      <c r="D13" s="16">
        <f>'Project Compliance Tool'!A19</f>
        <v>8</v>
      </c>
      <c r="E13" s="54">
        <f>'Project Compliance Tool'!H19</f>
        <v>0</v>
      </c>
      <c r="F13" s="23" t="str">
        <f t="shared" si="1"/>
        <v/>
      </c>
      <c r="G13" s="23">
        <f>'Project Compliance Tool'!I19</f>
        <v>0</v>
      </c>
      <c r="H13" s="23" t="str">
        <f ca="1">IF(AND(F13&lt;&gt;0,G13=0),"OK",IF(ISERROR(VLOOKUP(G13,INDIRECT(F13),1,FALSE)),"Work Type","OK"))</f>
        <v>OK</v>
      </c>
      <c r="I13" s="23">
        <f t="shared" ca="1" si="2"/>
        <v>1</v>
      </c>
    </row>
    <row r="14" spans="1:14" ht="18.75" customHeight="1" x14ac:dyDescent="0.2">
      <c r="A14" s="59" t="s">
        <v>446</v>
      </c>
      <c r="B14" s="53" t="s">
        <v>493</v>
      </c>
      <c r="D14" s="16">
        <f>'Project Compliance Tool'!A20</f>
        <v>9</v>
      </c>
      <c r="E14" s="54">
        <f>'Project Compliance Tool'!H20</f>
        <v>0</v>
      </c>
      <c r="F14" s="23" t="str">
        <f t="shared" si="1"/>
        <v/>
      </c>
      <c r="G14" s="23">
        <f>'Project Compliance Tool'!I20</f>
        <v>0</v>
      </c>
      <c r="H14" s="23" t="str">
        <f t="shared" ref="H14:H55" ca="1" si="3">IF(AND(F14&lt;&gt;0,G14=0),"OK",IF(ISERROR(VLOOKUP(G14,INDIRECT(F14),1,FALSE)),"Work Type","OK"))</f>
        <v>OK</v>
      </c>
      <c r="I14" s="23">
        <f t="shared" ca="1" si="2"/>
        <v>1</v>
      </c>
    </row>
    <row r="15" spans="1:14" ht="18.75" customHeight="1" x14ac:dyDescent="0.2">
      <c r="A15" s="59" t="s">
        <v>449</v>
      </c>
      <c r="B15" s="53" t="s">
        <v>494</v>
      </c>
      <c r="D15" s="16">
        <f>'Project Compliance Tool'!A21</f>
        <v>10</v>
      </c>
      <c r="E15" s="54">
        <f>'Project Compliance Tool'!H21</f>
        <v>0</v>
      </c>
      <c r="F15" s="23" t="str">
        <f t="shared" si="1"/>
        <v/>
      </c>
      <c r="G15" s="23">
        <f>'Project Compliance Tool'!I21</f>
        <v>0</v>
      </c>
      <c r="H15" s="23" t="str">
        <f t="shared" ca="1" si="3"/>
        <v>OK</v>
      </c>
      <c r="I15" s="23">
        <f t="shared" ca="1" si="2"/>
        <v>1</v>
      </c>
    </row>
    <row r="16" spans="1:14" ht="18.75" customHeight="1" x14ac:dyDescent="0.2">
      <c r="A16" s="59" t="s">
        <v>453</v>
      </c>
      <c r="B16" s="53" t="s">
        <v>495</v>
      </c>
      <c r="D16" s="16">
        <f>'Project Compliance Tool'!A22</f>
        <v>11</v>
      </c>
      <c r="E16" s="54">
        <f>'Project Compliance Tool'!H22</f>
        <v>0</v>
      </c>
      <c r="F16" s="23" t="str">
        <f t="shared" si="1"/>
        <v/>
      </c>
      <c r="G16" s="23">
        <f>'Project Compliance Tool'!I22</f>
        <v>0</v>
      </c>
      <c r="H16" s="23" t="str">
        <f t="shared" ca="1" si="3"/>
        <v>OK</v>
      </c>
      <c r="I16" s="23">
        <f t="shared" ca="1" si="2"/>
        <v>1</v>
      </c>
    </row>
    <row r="17" spans="1:9" ht="18.75" customHeight="1" x14ac:dyDescent="0.2">
      <c r="A17" s="59" t="s">
        <v>455</v>
      </c>
      <c r="B17" s="53" t="s">
        <v>496</v>
      </c>
      <c r="D17" s="16">
        <f>'Project Compliance Tool'!A23</f>
        <v>12</v>
      </c>
      <c r="E17" s="54">
        <f>'Project Compliance Tool'!H23</f>
        <v>0</v>
      </c>
      <c r="F17" s="23" t="str">
        <f t="shared" si="1"/>
        <v/>
      </c>
      <c r="G17" s="23">
        <f>'Project Compliance Tool'!I23</f>
        <v>0</v>
      </c>
      <c r="H17" s="23" t="str">
        <f t="shared" ca="1" si="3"/>
        <v>OK</v>
      </c>
      <c r="I17" s="23">
        <f t="shared" ca="1" si="2"/>
        <v>1</v>
      </c>
    </row>
    <row r="18" spans="1:9" ht="18.75" customHeight="1" x14ac:dyDescent="0.2">
      <c r="A18" s="59" t="s">
        <v>457</v>
      </c>
      <c r="B18" s="53" t="s">
        <v>497</v>
      </c>
      <c r="D18" s="16">
        <f>'Project Compliance Tool'!A24</f>
        <v>13</v>
      </c>
      <c r="E18" s="54">
        <f>'Project Compliance Tool'!H24</f>
        <v>0</v>
      </c>
      <c r="F18" s="23" t="str">
        <f t="shared" si="1"/>
        <v/>
      </c>
      <c r="G18" s="23">
        <f>'Project Compliance Tool'!I24</f>
        <v>0</v>
      </c>
      <c r="H18" s="23" t="str">
        <f t="shared" ca="1" si="3"/>
        <v>OK</v>
      </c>
      <c r="I18" s="23">
        <f t="shared" ca="1" si="2"/>
        <v>1</v>
      </c>
    </row>
    <row r="19" spans="1:9" ht="18.75" customHeight="1" x14ac:dyDescent="0.2">
      <c r="A19" s="59" t="s">
        <v>498</v>
      </c>
      <c r="B19" s="53" t="s">
        <v>498</v>
      </c>
      <c r="D19" s="16">
        <f>'Project Compliance Tool'!A25</f>
        <v>14</v>
      </c>
      <c r="E19" s="54">
        <f>'Project Compliance Tool'!H25</f>
        <v>0</v>
      </c>
      <c r="F19" s="23" t="str">
        <f t="shared" si="1"/>
        <v/>
      </c>
      <c r="G19" s="23">
        <f>'Project Compliance Tool'!I25</f>
        <v>0</v>
      </c>
      <c r="H19" s="23" t="str">
        <f t="shared" ca="1" si="3"/>
        <v>OK</v>
      </c>
      <c r="I19" s="23">
        <f t="shared" ca="1" si="2"/>
        <v>1</v>
      </c>
    </row>
    <row r="20" spans="1:9" ht="18.75" customHeight="1" x14ac:dyDescent="0.2">
      <c r="A20" s="59" t="s">
        <v>458</v>
      </c>
      <c r="B20" s="53" t="s">
        <v>458</v>
      </c>
      <c r="D20" s="16">
        <f>'Project Compliance Tool'!A26</f>
        <v>15</v>
      </c>
      <c r="E20" s="54">
        <f>'Project Compliance Tool'!H26</f>
        <v>0</v>
      </c>
      <c r="F20" s="23" t="str">
        <f t="shared" si="1"/>
        <v/>
      </c>
      <c r="G20" s="23">
        <f>'Project Compliance Tool'!I26</f>
        <v>0</v>
      </c>
      <c r="H20" s="23" t="str">
        <f t="shared" ca="1" si="3"/>
        <v>OK</v>
      </c>
      <c r="I20" s="23">
        <f t="shared" ca="1" si="2"/>
        <v>1</v>
      </c>
    </row>
    <row r="21" spans="1:9" ht="18.75" customHeight="1" x14ac:dyDescent="0.2">
      <c r="A21" s="59"/>
      <c r="B21" s="53"/>
      <c r="D21" s="16">
        <f>'Project Compliance Tool'!A27</f>
        <v>16</v>
      </c>
      <c r="E21" s="54">
        <f>'Project Compliance Tool'!H27</f>
        <v>0</v>
      </c>
      <c r="F21" s="23" t="str">
        <f t="shared" si="1"/>
        <v/>
      </c>
      <c r="G21" s="23">
        <f>'Project Compliance Tool'!I27</f>
        <v>0</v>
      </c>
      <c r="H21" s="23" t="str">
        <f t="shared" ca="1" si="3"/>
        <v>OK</v>
      </c>
      <c r="I21" s="23">
        <f t="shared" ca="1" si="2"/>
        <v>1</v>
      </c>
    </row>
    <row r="22" spans="1:9" ht="18.75" customHeight="1" x14ac:dyDescent="0.2">
      <c r="A22" s="59"/>
      <c r="B22" s="53"/>
      <c r="D22" s="16">
        <f>'Project Compliance Tool'!A28</f>
        <v>17</v>
      </c>
      <c r="E22" s="54">
        <f>'Project Compliance Tool'!H28</f>
        <v>0</v>
      </c>
      <c r="F22" s="23" t="str">
        <f t="shared" si="1"/>
        <v/>
      </c>
      <c r="G22" s="23">
        <f>'Project Compliance Tool'!I28</f>
        <v>0</v>
      </c>
      <c r="H22" s="23" t="str">
        <f t="shared" ca="1" si="3"/>
        <v>OK</v>
      </c>
      <c r="I22" s="23">
        <f t="shared" ca="1" si="2"/>
        <v>1</v>
      </c>
    </row>
    <row r="23" spans="1:9" ht="18.75" customHeight="1" x14ac:dyDescent="0.2">
      <c r="A23" s="59"/>
      <c r="B23" s="53"/>
      <c r="D23" s="16">
        <f>'Project Compliance Tool'!A29</f>
        <v>18</v>
      </c>
      <c r="E23" s="54">
        <f>'Project Compliance Tool'!H29</f>
        <v>0</v>
      </c>
      <c r="F23" s="23" t="str">
        <f t="shared" si="1"/>
        <v/>
      </c>
      <c r="G23" s="23">
        <f>'Project Compliance Tool'!I29</f>
        <v>0</v>
      </c>
      <c r="H23" s="23" t="str">
        <f t="shared" ca="1" si="3"/>
        <v>OK</v>
      </c>
      <c r="I23" s="23">
        <f t="shared" ca="1" si="2"/>
        <v>1</v>
      </c>
    </row>
    <row r="24" spans="1:9" ht="18.75" customHeight="1" x14ac:dyDescent="0.2">
      <c r="A24" s="59"/>
      <c r="B24" s="59"/>
      <c r="D24" s="16">
        <f>'Project Compliance Tool'!A30</f>
        <v>19</v>
      </c>
      <c r="E24" s="54">
        <f>'Project Compliance Tool'!H30</f>
        <v>0</v>
      </c>
      <c r="F24" s="23" t="str">
        <f t="shared" si="1"/>
        <v/>
      </c>
      <c r="G24" s="23">
        <f>'Project Compliance Tool'!I30</f>
        <v>0</v>
      </c>
      <c r="H24" s="23" t="str">
        <f t="shared" ca="1" si="3"/>
        <v>OK</v>
      </c>
      <c r="I24" s="23">
        <f t="shared" ca="1" si="2"/>
        <v>1</v>
      </c>
    </row>
    <row r="25" spans="1:9" ht="18.75" customHeight="1" x14ac:dyDescent="0.2">
      <c r="A25" s="59"/>
      <c r="B25" s="53"/>
      <c r="D25" s="16">
        <f>'Project Compliance Tool'!A31</f>
        <v>20</v>
      </c>
      <c r="E25" s="54">
        <f>'Project Compliance Tool'!H31</f>
        <v>0</v>
      </c>
      <c r="F25" s="23" t="str">
        <f t="shared" si="1"/>
        <v/>
      </c>
      <c r="G25" s="23">
        <f>'Project Compliance Tool'!I31</f>
        <v>0</v>
      </c>
      <c r="H25" s="23" t="str">
        <f t="shared" ca="1" si="3"/>
        <v>OK</v>
      </c>
      <c r="I25" s="23">
        <f t="shared" ca="1" si="2"/>
        <v>1</v>
      </c>
    </row>
    <row r="26" spans="1:9" ht="18.75" customHeight="1" x14ac:dyDescent="0.2">
      <c r="A26" s="59"/>
      <c r="B26" s="53"/>
      <c r="D26" s="16">
        <f>'Project Compliance Tool'!A32</f>
        <v>21</v>
      </c>
      <c r="E26" s="54">
        <f>'Project Compliance Tool'!H32</f>
        <v>0</v>
      </c>
      <c r="F26" s="23" t="str">
        <f t="shared" si="1"/>
        <v/>
      </c>
      <c r="G26" s="23">
        <f>'Project Compliance Tool'!I32</f>
        <v>0</v>
      </c>
      <c r="H26" s="23" t="str">
        <f t="shared" ca="1" si="3"/>
        <v>OK</v>
      </c>
      <c r="I26" s="23">
        <f t="shared" ca="1" si="2"/>
        <v>1</v>
      </c>
    </row>
    <row r="27" spans="1:9" ht="18.75" customHeight="1" x14ac:dyDescent="0.2">
      <c r="A27" s="53"/>
      <c r="B27" s="53"/>
      <c r="D27" s="16">
        <f>'Project Compliance Tool'!A33</f>
        <v>22</v>
      </c>
      <c r="E27" s="54">
        <f>'Project Compliance Tool'!H33</f>
        <v>0</v>
      </c>
      <c r="F27" s="23" t="str">
        <f t="shared" si="1"/>
        <v/>
      </c>
      <c r="G27" s="23">
        <f>'Project Compliance Tool'!I33</f>
        <v>0</v>
      </c>
      <c r="H27" s="23" t="str">
        <f t="shared" ca="1" si="3"/>
        <v>OK</v>
      </c>
      <c r="I27" s="23">
        <f t="shared" ca="1" si="2"/>
        <v>1</v>
      </c>
    </row>
    <row r="28" spans="1:9" ht="18.75" customHeight="1" x14ac:dyDescent="0.2">
      <c r="A28" s="53"/>
      <c r="B28" s="53"/>
      <c r="D28" s="16">
        <f>'Project Compliance Tool'!A34</f>
        <v>23</v>
      </c>
      <c r="E28" s="54">
        <f>'Project Compliance Tool'!H34</f>
        <v>0</v>
      </c>
      <c r="F28" s="23" t="str">
        <f t="shared" si="1"/>
        <v/>
      </c>
      <c r="G28" s="23">
        <f>'Project Compliance Tool'!I34</f>
        <v>0</v>
      </c>
      <c r="H28" s="23" t="str">
        <f t="shared" ca="1" si="3"/>
        <v>OK</v>
      </c>
      <c r="I28" s="23">
        <f t="shared" ca="1" si="2"/>
        <v>1</v>
      </c>
    </row>
    <row r="29" spans="1:9" ht="18.75" customHeight="1" x14ac:dyDescent="0.2">
      <c r="A29" s="53"/>
      <c r="B29" s="53"/>
      <c r="D29" s="16">
        <f>'Project Compliance Tool'!A35</f>
        <v>24</v>
      </c>
      <c r="E29" s="54">
        <f>'Project Compliance Tool'!H35</f>
        <v>0</v>
      </c>
      <c r="F29" s="23" t="str">
        <f t="shared" si="1"/>
        <v/>
      </c>
      <c r="G29" s="23">
        <f>'Project Compliance Tool'!I35</f>
        <v>0</v>
      </c>
      <c r="H29" s="23" t="str">
        <f t="shared" ca="1" si="3"/>
        <v>OK</v>
      </c>
      <c r="I29" s="23">
        <f t="shared" ca="1" si="2"/>
        <v>1</v>
      </c>
    </row>
    <row r="30" spans="1:9" ht="18.75" customHeight="1" x14ac:dyDescent="0.2">
      <c r="A30" s="53"/>
      <c r="B30" s="53"/>
      <c r="D30" s="16">
        <f>'Project Compliance Tool'!A36</f>
        <v>25</v>
      </c>
      <c r="E30" s="54">
        <f>'Project Compliance Tool'!H36</f>
        <v>0</v>
      </c>
      <c r="F30" s="23" t="str">
        <f t="shared" si="1"/>
        <v/>
      </c>
      <c r="G30" s="23">
        <f>'Project Compliance Tool'!I36</f>
        <v>0</v>
      </c>
      <c r="H30" s="23" t="str">
        <f t="shared" ca="1" si="3"/>
        <v>OK</v>
      </c>
      <c r="I30" s="23">
        <f t="shared" ca="1" si="2"/>
        <v>1</v>
      </c>
    </row>
    <row r="31" spans="1:9" ht="18.75" customHeight="1" x14ac:dyDescent="0.2">
      <c r="A31" s="53"/>
      <c r="B31" s="53"/>
      <c r="D31" s="16">
        <f>'Project Compliance Tool'!A37</f>
        <v>26</v>
      </c>
      <c r="E31" s="54">
        <f>'Project Compliance Tool'!H37</f>
        <v>0</v>
      </c>
      <c r="F31" s="23" t="str">
        <f t="shared" si="1"/>
        <v/>
      </c>
      <c r="G31" s="23">
        <f>'Project Compliance Tool'!I37</f>
        <v>0</v>
      </c>
      <c r="H31" s="23" t="str">
        <f t="shared" ca="1" si="3"/>
        <v>OK</v>
      </c>
      <c r="I31" s="23">
        <f t="shared" ca="1" si="2"/>
        <v>1</v>
      </c>
    </row>
    <row r="32" spans="1:9" ht="18.75" customHeight="1" x14ac:dyDescent="0.2">
      <c r="A32" s="53"/>
      <c r="B32" s="53"/>
      <c r="D32" s="16">
        <f>'Project Compliance Tool'!A38</f>
        <v>27</v>
      </c>
      <c r="E32" s="54">
        <f>'Project Compliance Tool'!H38</f>
        <v>0</v>
      </c>
      <c r="F32" s="23" t="str">
        <f t="shared" si="1"/>
        <v/>
      </c>
      <c r="G32" s="23">
        <f>'Project Compliance Tool'!I38</f>
        <v>0</v>
      </c>
      <c r="H32" s="23" t="str">
        <f t="shared" ca="1" si="3"/>
        <v>OK</v>
      </c>
      <c r="I32" s="23">
        <f t="shared" ca="1" si="2"/>
        <v>1</v>
      </c>
    </row>
    <row r="33" spans="1:14" ht="18.75" customHeight="1" x14ac:dyDescent="0.2">
      <c r="A33" s="53"/>
      <c r="B33" s="53" t="s">
        <v>499</v>
      </c>
      <c r="D33" s="16">
        <f>'Project Compliance Tool'!A39</f>
        <v>28</v>
      </c>
      <c r="E33" s="54">
        <f>'Project Compliance Tool'!H39</f>
        <v>0</v>
      </c>
      <c r="F33" s="23" t="str">
        <f t="shared" si="1"/>
        <v/>
      </c>
      <c r="G33" s="23">
        <f>'Project Compliance Tool'!I39</f>
        <v>0</v>
      </c>
      <c r="H33" s="23" t="str">
        <f t="shared" ca="1" si="3"/>
        <v>OK</v>
      </c>
      <c r="I33" s="23">
        <f t="shared" ca="1" si="2"/>
        <v>1</v>
      </c>
    </row>
    <row r="34" spans="1:14" ht="18.75" customHeight="1" x14ac:dyDescent="0.2">
      <c r="D34" s="16">
        <f>'Project Compliance Tool'!A40</f>
        <v>29</v>
      </c>
      <c r="E34" s="54">
        <f>'Project Compliance Tool'!H40</f>
        <v>0</v>
      </c>
      <c r="F34" s="23" t="str">
        <f t="shared" si="1"/>
        <v/>
      </c>
      <c r="G34" s="23">
        <f>'Project Compliance Tool'!I40</f>
        <v>0</v>
      </c>
      <c r="H34" s="23" t="str">
        <f t="shared" ca="1" si="3"/>
        <v>OK</v>
      </c>
      <c r="I34" s="23">
        <f t="shared" ca="1" si="2"/>
        <v>1</v>
      </c>
      <c r="M34" s="23"/>
      <c r="N34" s="54"/>
    </row>
    <row r="35" spans="1:14" ht="18.75" customHeight="1" x14ac:dyDescent="0.2">
      <c r="D35" s="16">
        <f>'Project Compliance Tool'!A41</f>
        <v>30</v>
      </c>
      <c r="E35" s="54">
        <f>'Project Compliance Tool'!H41</f>
        <v>0</v>
      </c>
      <c r="F35" s="23" t="str">
        <f t="shared" si="1"/>
        <v/>
      </c>
      <c r="G35" s="23">
        <f>'Project Compliance Tool'!I41</f>
        <v>0</v>
      </c>
      <c r="H35" s="23" t="str">
        <f t="shared" ca="1" si="3"/>
        <v>OK</v>
      </c>
      <c r="I35" s="23">
        <f t="shared" ca="1" si="2"/>
        <v>1</v>
      </c>
      <c r="M35" s="23"/>
      <c r="N35" s="54"/>
    </row>
    <row r="36" spans="1:14" ht="18.75" customHeight="1" x14ac:dyDescent="0.2">
      <c r="D36" s="16">
        <f>'Project Compliance Tool'!A42</f>
        <v>31</v>
      </c>
      <c r="E36" s="54">
        <f>'Project Compliance Tool'!H42</f>
        <v>0</v>
      </c>
      <c r="F36" s="23" t="str">
        <f t="shared" si="1"/>
        <v/>
      </c>
      <c r="G36" s="23">
        <f>'Project Compliance Tool'!I42</f>
        <v>0</v>
      </c>
      <c r="H36" s="23" t="str">
        <f t="shared" ca="1" si="3"/>
        <v>OK</v>
      </c>
      <c r="I36" s="23">
        <f t="shared" ca="1" si="2"/>
        <v>1</v>
      </c>
      <c r="M36" s="23"/>
      <c r="N36" s="54"/>
    </row>
    <row r="37" spans="1:14" ht="18.75" customHeight="1" x14ac:dyDescent="0.2">
      <c r="D37" s="16">
        <f>'Project Compliance Tool'!A43</f>
        <v>32</v>
      </c>
      <c r="E37" s="54">
        <f>'Project Compliance Tool'!H43</f>
        <v>0</v>
      </c>
      <c r="F37" s="23" t="str">
        <f t="shared" si="1"/>
        <v/>
      </c>
      <c r="G37" s="23">
        <f>'Project Compliance Tool'!I43</f>
        <v>0</v>
      </c>
      <c r="H37" s="23" t="str">
        <f t="shared" ca="1" si="3"/>
        <v>OK</v>
      </c>
      <c r="I37" s="23">
        <f t="shared" ca="1" si="2"/>
        <v>1</v>
      </c>
      <c r="M37" s="23"/>
      <c r="N37" s="54"/>
    </row>
    <row r="38" spans="1:14" ht="18.75" customHeight="1" x14ac:dyDescent="0.2">
      <c r="D38" s="16">
        <f>'Project Compliance Tool'!A44</f>
        <v>33</v>
      </c>
      <c r="E38" s="54">
        <f>'Project Compliance Tool'!H44</f>
        <v>0</v>
      </c>
      <c r="F38" s="23" t="str">
        <f t="shared" si="1"/>
        <v/>
      </c>
      <c r="G38" s="23">
        <f>'Project Compliance Tool'!I44</f>
        <v>0</v>
      </c>
      <c r="H38" s="23" t="str">
        <f t="shared" ca="1" si="3"/>
        <v>OK</v>
      </c>
      <c r="I38" s="23">
        <f t="shared" ca="1" si="2"/>
        <v>1</v>
      </c>
      <c r="M38" s="23"/>
      <c r="N38" s="54"/>
    </row>
    <row r="39" spans="1:14" ht="18.75" customHeight="1" x14ac:dyDescent="0.2">
      <c r="D39" s="16">
        <f>'Project Compliance Tool'!A45</f>
        <v>34</v>
      </c>
      <c r="E39" s="54">
        <f>'Project Compliance Tool'!H45</f>
        <v>0</v>
      </c>
      <c r="F39" s="23" t="str">
        <f t="shared" si="1"/>
        <v/>
      </c>
      <c r="G39" s="23">
        <f>'Project Compliance Tool'!I45</f>
        <v>0</v>
      </c>
      <c r="H39" s="23" t="str">
        <f t="shared" ca="1" si="3"/>
        <v>OK</v>
      </c>
      <c r="I39" s="23">
        <f t="shared" ca="1" si="2"/>
        <v>1</v>
      </c>
      <c r="M39" s="23"/>
      <c r="N39" s="54"/>
    </row>
    <row r="40" spans="1:14" ht="18.75" customHeight="1" x14ac:dyDescent="0.2">
      <c r="D40" s="16">
        <f>'Project Compliance Tool'!A46</f>
        <v>35</v>
      </c>
      <c r="E40" s="54">
        <f>'Project Compliance Tool'!H46</f>
        <v>0</v>
      </c>
      <c r="F40" s="23" t="str">
        <f t="shared" si="1"/>
        <v/>
      </c>
      <c r="G40" s="23">
        <f>'Project Compliance Tool'!I46</f>
        <v>0</v>
      </c>
      <c r="H40" s="23" t="str">
        <f t="shared" ca="1" si="3"/>
        <v>OK</v>
      </c>
      <c r="I40" s="23">
        <f t="shared" ca="1" si="2"/>
        <v>1</v>
      </c>
      <c r="M40" s="23"/>
      <c r="N40" s="54"/>
    </row>
    <row r="41" spans="1:14" ht="18.75" customHeight="1" x14ac:dyDescent="0.2">
      <c r="D41" s="16">
        <f>'Project Compliance Tool'!A47</f>
        <v>36</v>
      </c>
      <c r="E41" s="54">
        <f>'Project Compliance Tool'!H47</f>
        <v>0</v>
      </c>
      <c r="F41" s="23" t="str">
        <f t="shared" si="1"/>
        <v/>
      </c>
      <c r="G41" s="23">
        <f>'Project Compliance Tool'!I47</f>
        <v>0</v>
      </c>
      <c r="H41" s="23" t="str">
        <f t="shared" ca="1" si="3"/>
        <v>OK</v>
      </c>
      <c r="I41" s="23">
        <f t="shared" ca="1" si="2"/>
        <v>1</v>
      </c>
      <c r="M41" s="23"/>
      <c r="N41" s="54"/>
    </row>
    <row r="42" spans="1:14" ht="18.75" customHeight="1" x14ac:dyDescent="0.2">
      <c r="D42" s="16">
        <f>'Project Compliance Tool'!A48</f>
        <v>37</v>
      </c>
      <c r="E42" s="54">
        <f>'Project Compliance Tool'!H48</f>
        <v>0</v>
      </c>
      <c r="F42" s="23" t="str">
        <f t="shared" si="1"/>
        <v/>
      </c>
      <c r="G42" s="23">
        <f>'Project Compliance Tool'!I48</f>
        <v>0</v>
      </c>
      <c r="H42" s="23" t="str">
        <f t="shared" ca="1" si="3"/>
        <v>OK</v>
      </c>
      <c r="I42" s="23">
        <f t="shared" ca="1" si="2"/>
        <v>1</v>
      </c>
      <c r="M42" s="23"/>
      <c r="N42" s="54"/>
    </row>
    <row r="43" spans="1:14" ht="18.75" customHeight="1" x14ac:dyDescent="0.2">
      <c r="D43" s="16">
        <f>'Project Compliance Tool'!A49</f>
        <v>38</v>
      </c>
      <c r="E43" s="54">
        <f>'Project Compliance Tool'!H49</f>
        <v>0</v>
      </c>
      <c r="F43" s="23" t="str">
        <f t="shared" si="1"/>
        <v/>
      </c>
      <c r="G43" s="23">
        <f>'Project Compliance Tool'!I49</f>
        <v>0</v>
      </c>
      <c r="H43" s="23" t="str">
        <f t="shared" ca="1" si="3"/>
        <v>OK</v>
      </c>
      <c r="I43" s="23">
        <f t="shared" ca="1" si="2"/>
        <v>1</v>
      </c>
      <c r="M43" s="23"/>
      <c r="N43" s="54"/>
    </row>
    <row r="44" spans="1:14" ht="18.75" customHeight="1" x14ac:dyDescent="0.2">
      <c r="D44" s="16">
        <f>'Project Compliance Tool'!A50</f>
        <v>39</v>
      </c>
      <c r="E44" s="54">
        <f>'Project Compliance Tool'!H50</f>
        <v>0</v>
      </c>
      <c r="F44" s="23" t="str">
        <f t="shared" si="1"/>
        <v/>
      </c>
      <c r="G44" s="23">
        <f>'Project Compliance Tool'!I50</f>
        <v>0</v>
      </c>
      <c r="H44" s="23" t="str">
        <f t="shared" ca="1" si="3"/>
        <v>OK</v>
      </c>
      <c r="I44" s="23">
        <f t="shared" ca="1" si="2"/>
        <v>1</v>
      </c>
      <c r="M44" s="23"/>
      <c r="N44" s="54"/>
    </row>
    <row r="45" spans="1:14" ht="18.75" customHeight="1" x14ac:dyDescent="0.2">
      <c r="D45" s="16">
        <f>'Project Compliance Tool'!A51</f>
        <v>40</v>
      </c>
      <c r="E45" s="54">
        <f>'Project Compliance Tool'!H51</f>
        <v>0</v>
      </c>
      <c r="F45" s="23" t="str">
        <f t="shared" si="1"/>
        <v/>
      </c>
      <c r="G45" s="23">
        <f>'Project Compliance Tool'!I51</f>
        <v>0</v>
      </c>
      <c r="H45" s="23" t="str">
        <f t="shared" ca="1" si="3"/>
        <v>OK</v>
      </c>
      <c r="I45" s="23">
        <f t="shared" ca="1" si="2"/>
        <v>1</v>
      </c>
      <c r="M45" s="23"/>
      <c r="N45" s="54"/>
    </row>
    <row r="46" spans="1:14" ht="18.75" customHeight="1" x14ac:dyDescent="0.2">
      <c r="D46" s="16">
        <f>'Project Compliance Tool'!A52</f>
        <v>41</v>
      </c>
      <c r="E46" s="54">
        <f>'Project Compliance Tool'!H52</f>
        <v>0</v>
      </c>
      <c r="F46" s="23" t="str">
        <f t="shared" si="1"/>
        <v/>
      </c>
      <c r="G46" s="23">
        <f>'Project Compliance Tool'!I52</f>
        <v>0</v>
      </c>
      <c r="H46" s="23" t="str">
        <f t="shared" ca="1" si="3"/>
        <v>OK</v>
      </c>
      <c r="I46" s="23">
        <f t="shared" ca="1" si="2"/>
        <v>1</v>
      </c>
      <c r="M46" s="23"/>
      <c r="N46" s="54"/>
    </row>
    <row r="47" spans="1:14" ht="18.75" customHeight="1" x14ac:dyDescent="0.2">
      <c r="D47" s="16">
        <f>'Project Compliance Tool'!A53</f>
        <v>42</v>
      </c>
      <c r="E47" s="54">
        <f>'Project Compliance Tool'!H53</f>
        <v>0</v>
      </c>
      <c r="F47" s="23" t="str">
        <f t="shared" si="1"/>
        <v/>
      </c>
      <c r="G47" s="23">
        <f>'Project Compliance Tool'!I53</f>
        <v>0</v>
      </c>
      <c r="H47" s="23" t="str">
        <f t="shared" ca="1" si="3"/>
        <v>OK</v>
      </c>
      <c r="I47" s="23">
        <f t="shared" ca="1" si="2"/>
        <v>1</v>
      </c>
      <c r="M47" s="23"/>
      <c r="N47" s="54"/>
    </row>
    <row r="48" spans="1:14" ht="18.75" customHeight="1" x14ac:dyDescent="0.2">
      <c r="D48" s="16">
        <f>'Project Compliance Tool'!A54</f>
        <v>43</v>
      </c>
      <c r="E48" s="54">
        <f>'Project Compliance Tool'!H54</f>
        <v>0</v>
      </c>
      <c r="F48" s="23" t="str">
        <f t="shared" si="1"/>
        <v/>
      </c>
      <c r="G48" s="23">
        <f>'Project Compliance Tool'!I54</f>
        <v>0</v>
      </c>
      <c r="H48" s="23" t="str">
        <f t="shared" ca="1" si="3"/>
        <v>OK</v>
      </c>
      <c r="I48" s="23">
        <f t="shared" ca="1" si="2"/>
        <v>1</v>
      </c>
      <c r="M48" s="23"/>
      <c r="N48" s="54"/>
    </row>
    <row r="49" spans="4:14" ht="18.75" customHeight="1" x14ac:dyDescent="0.2">
      <c r="D49" s="16">
        <f>'Project Compliance Tool'!A55</f>
        <v>44</v>
      </c>
      <c r="E49" s="54">
        <f>'Project Compliance Tool'!H55</f>
        <v>0</v>
      </c>
      <c r="F49" s="23" t="str">
        <f t="shared" si="1"/>
        <v/>
      </c>
      <c r="G49" s="23">
        <f>'Project Compliance Tool'!I55</f>
        <v>0</v>
      </c>
      <c r="H49" s="23" t="str">
        <f t="shared" ca="1" si="3"/>
        <v>OK</v>
      </c>
      <c r="I49" s="23">
        <f t="shared" ca="1" si="2"/>
        <v>1</v>
      </c>
      <c r="M49" s="23"/>
      <c r="N49" s="54"/>
    </row>
    <row r="50" spans="4:14" ht="18.75" customHeight="1" x14ac:dyDescent="0.2">
      <c r="D50" s="16">
        <f>'Project Compliance Tool'!A56</f>
        <v>45</v>
      </c>
      <c r="E50" s="54">
        <f>'Project Compliance Tool'!H56</f>
        <v>0</v>
      </c>
      <c r="F50" s="23" t="str">
        <f t="shared" si="1"/>
        <v/>
      </c>
      <c r="G50" s="23">
        <f>'Project Compliance Tool'!I56</f>
        <v>0</v>
      </c>
      <c r="H50" s="23" t="str">
        <f t="shared" ca="1" si="3"/>
        <v>OK</v>
      </c>
      <c r="I50" s="23">
        <f t="shared" ca="1" si="2"/>
        <v>1</v>
      </c>
      <c r="M50" s="23"/>
      <c r="N50" s="54"/>
    </row>
    <row r="51" spans="4:14" ht="18.75" customHeight="1" x14ac:dyDescent="0.2">
      <c r="D51" s="16">
        <f>'Project Compliance Tool'!A57</f>
        <v>46</v>
      </c>
      <c r="E51" s="54">
        <f>'Project Compliance Tool'!H57</f>
        <v>0</v>
      </c>
      <c r="F51" s="23" t="str">
        <f t="shared" si="1"/>
        <v/>
      </c>
      <c r="G51" s="23">
        <f>'Project Compliance Tool'!I57</f>
        <v>0</v>
      </c>
      <c r="H51" s="23" t="str">
        <f t="shared" ca="1" si="3"/>
        <v>OK</v>
      </c>
      <c r="I51" s="23">
        <f t="shared" ca="1" si="2"/>
        <v>1</v>
      </c>
      <c r="M51" s="23"/>
      <c r="N51" s="54"/>
    </row>
    <row r="52" spans="4:14" ht="18.75" customHeight="1" x14ac:dyDescent="0.2">
      <c r="D52" s="16">
        <f>'Project Compliance Tool'!A58</f>
        <v>47</v>
      </c>
      <c r="E52" s="54">
        <f>'Project Compliance Tool'!H58</f>
        <v>0</v>
      </c>
      <c r="F52" s="23" t="str">
        <f t="shared" si="1"/>
        <v/>
      </c>
      <c r="G52" s="23">
        <f>'Project Compliance Tool'!I58</f>
        <v>0</v>
      </c>
      <c r="H52" s="23" t="str">
        <f t="shared" ca="1" si="3"/>
        <v>OK</v>
      </c>
      <c r="I52" s="23">
        <f t="shared" ca="1" si="2"/>
        <v>1</v>
      </c>
      <c r="M52" s="23"/>
      <c r="N52" s="54"/>
    </row>
    <row r="53" spans="4:14" ht="18.75" customHeight="1" x14ac:dyDescent="0.2">
      <c r="D53" s="16">
        <f>'Project Compliance Tool'!A59</f>
        <v>48</v>
      </c>
      <c r="E53" s="54">
        <f>'Project Compliance Tool'!H59</f>
        <v>0</v>
      </c>
      <c r="F53" s="23" t="str">
        <f t="shared" si="1"/>
        <v/>
      </c>
      <c r="G53" s="23">
        <f>'Project Compliance Tool'!I59</f>
        <v>0</v>
      </c>
      <c r="H53" s="23" t="str">
        <f t="shared" ca="1" si="3"/>
        <v>OK</v>
      </c>
      <c r="I53" s="23">
        <f t="shared" ca="1" si="2"/>
        <v>1</v>
      </c>
      <c r="M53" s="23"/>
      <c r="N53" s="54"/>
    </row>
    <row r="54" spans="4:14" ht="18.75" customHeight="1" x14ac:dyDescent="0.2">
      <c r="D54" s="16">
        <f>'Project Compliance Tool'!A60</f>
        <v>49</v>
      </c>
      <c r="E54" s="54">
        <f>'Project Compliance Tool'!H60</f>
        <v>0</v>
      </c>
      <c r="F54" s="23" t="str">
        <f t="shared" si="1"/>
        <v/>
      </c>
      <c r="G54" s="23">
        <f>'Project Compliance Tool'!I60</f>
        <v>0</v>
      </c>
      <c r="H54" s="23" t="str">
        <f t="shared" ca="1" si="3"/>
        <v>OK</v>
      </c>
      <c r="I54" s="23">
        <f t="shared" ca="1" si="2"/>
        <v>1</v>
      </c>
      <c r="M54" s="23"/>
      <c r="N54" s="54"/>
    </row>
    <row r="55" spans="4:14" ht="18.75" customHeight="1" x14ac:dyDescent="0.2">
      <c r="D55" s="16">
        <f>'Project Compliance Tool'!A61</f>
        <v>50</v>
      </c>
      <c r="E55" s="54">
        <f>'Project Compliance Tool'!H61</f>
        <v>0</v>
      </c>
      <c r="F55" s="23" t="str">
        <f t="shared" si="1"/>
        <v/>
      </c>
      <c r="G55" s="23">
        <f>'Project Compliance Tool'!I61</f>
        <v>0</v>
      </c>
      <c r="H55" s="23" t="str">
        <f t="shared" ca="1" si="3"/>
        <v>OK</v>
      </c>
      <c r="I55" s="23">
        <f t="shared" ca="1" si="2"/>
        <v>1</v>
      </c>
      <c r="M55" s="23"/>
      <c r="N55" s="54"/>
    </row>
    <row r="56" spans="4:14" ht="18.75" customHeight="1" x14ac:dyDescent="0.2">
      <c r="E56" s="54"/>
      <c r="M56" s="23"/>
      <c r="N56" s="54"/>
    </row>
    <row r="57" spans="4:14" ht="18.75" customHeight="1" x14ac:dyDescent="0.2">
      <c r="E57" s="54"/>
      <c r="M57" s="23"/>
      <c r="N57" s="54"/>
    </row>
    <row r="58" spans="4:14" ht="18.75" customHeight="1" x14ac:dyDescent="0.2">
      <c r="E58" s="54"/>
      <c r="M58" s="23"/>
      <c r="N58" s="54"/>
    </row>
    <row r="59" spans="4:14" ht="18.75" customHeight="1" x14ac:dyDescent="0.2">
      <c r="E59" s="54"/>
      <c r="M59" s="23"/>
      <c r="N59" s="54"/>
    </row>
    <row r="60" spans="4:14" ht="18.75" customHeight="1" x14ac:dyDescent="0.2">
      <c r="E60" s="54"/>
      <c r="M60" s="23"/>
      <c r="N60" s="54"/>
    </row>
    <row r="61" spans="4:14" ht="18.75" customHeight="1" x14ac:dyDescent="0.2">
      <c r="E61" s="54"/>
      <c r="M61" s="23"/>
      <c r="N61" s="54"/>
    </row>
    <row r="62" spans="4:14" ht="18.75" customHeight="1" x14ac:dyDescent="0.2">
      <c r="E62" s="54"/>
      <c r="M62" s="23"/>
      <c r="N62" s="54"/>
    </row>
    <row r="63" spans="4:14" ht="18.75" customHeight="1" x14ac:dyDescent="0.2">
      <c r="E63" s="54"/>
      <c r="M63" s="23"/>
      <c r="N63" s="54"/>
    </row>
    <row r="64" spans="4:14" ht="18.75" customHeight="1" x14ac:dyDescent="0.2">
      <c r="E64" s="54"/>
      <c r="M64" s="23"/>
      <c r="N64" s="54"/>
    </row>
    <row r="65" spans="4:14" ht="18.75" customHeight="1" x14ac:dyDescent="0.2">
      <c r="E65" s="54"/>
      <c r="M65" s="23"/>
      <c r="N65" s="54"/>
    </row>
    <row r="66" spans="4:14" ht="18.75" customHeight="1" x14ac:dyDescent="0.2">
      <c r="E66" s="54"/>
      <c r="M66" s="23"/>
      <c r="N66" s="54"/>
    </row>
    <row r="67" spans="4:14" ht="18.75" customHeight="1" x14ac:dyDescent="0.2">
      <c r="E67" s="54"/>
      <c r="M67" s="23"/>
      <c r="N67" s="54"/>
    </row>
    <row r="68" spans="4:14" ht="18.75" customHeight="1" x14ac:dyDescent="0.2">
      <c r="E68" s="54"/>
      <c r="M68" s="23"/>
      <c r="N68" s="54"/>
    </row>
    <row r="69" spans="4:14" ht="18.75" customHeight="1" x14ac:dyDescent="0.2">
      <c r="E69" s="54"/>
      <c r="M69" s="23"/>
      <c r="N69" s="54"/>
    </row>
    <row r="70" spans="4:14" ht="18.75" customHeight="1" x14ac:dyDescent="0.2">
      <c r="E70" s="54"/>
      <c r="M70" s="23"/>
      <c r="N70" s="54"/>
    </row>
    <row r="71" spans="4:14" ht="18.75" customHeight="1" x14ac:dyDescent="0.25">
      <c r="D71" s="23"/>
      <c r="E71" s="520" t="s">
        <v>500</v>
      </c>
      <c r="F71" s="521" t="s">
        <v>501</v>
      </c>
      <c r="G71" s="521" t="s">
        <v>502</v>
      </c>
      <c r="M71" s="23"/>
      <c r="N71" s="54"/>
    </row>
    <row r="72" spans="4:14" ht="18.75" customHeight="1" x14ac:dyDescent="0.2">
      <c r="D72" s="23"/>
      <c r="E72" s="62" t="s">
        <v>503</v>
      </c>
      <c r="F72" s="62">
        <v>10</v>
      </c>
      <c r="G72" s="62">
        <v>350</v>
      </c>
      <c r="M72" s="23"/>
      <c r="N72" s="54"/>
    </row>
    <row r="73" spans="4:14" ht="18.75" customHeight="1" x14ac:dyDescent="0.2">
      <c r="D73" s="23"/>
      <c r="E73" s="62" t="s">
        <v>504</v>
      </c>
      <c r="F73" s="62">
        <v>10</v>
      </c>
      <c r="G73" s="62">
        <v>350</v>
      </c>
      <c r="M73" s="23"/>
      <c r="N73" s="54"/>
    </row>
    <row r="74" spans="4:14" ht="18.75" customHeight="1" x14ac:dyDescent="0.2">
      <c r="D74" s="23"/>
      <c r="E74" s="61"/>
      <c r="F74" s="61"/>
      <c r="G74" s="61"/>
      <c r="M74" s="23"/>
      <c r="N74" s="54"/>
    </row>
    <row r="75" spans="4:14" ht="18.75" customHeight="1" x14ac:dyDescent="0.2">
      <c r="D75" s="23"/>
      <c r="E75" s="61" t="s">
        <v>505</v>
      </c>
      <c r="F75" s="63" t="str">
        <f>'Project Compliance Tool'!Q65</f>
        <v/>
      </c>
      <c r="G75" s="64" t="str">
        <f>'Project Compliance Tool'!U65</f>
        <v/>
      </c>
      <c r="M75" s="23"/>
      <c r="N75" s="54"/>
    </row>
    <row r="76" spans="4:14" ht="18.75" customHeight="1" x14ac:dyDescent="0.2">
      <c r="D76" s="23"/>
      <c r="E76" s="61" t="s">
        <v>506</v>
      </c>
      <c r="F76" s="61" t="str">
        <f>IFERROR(VLOOKUP('Project Compliance Tool'!D4,E71:G73,2,FALSE),"")</f>
        <v/>
      </c>
      <c r="G76" s="61" t="str">
        <f>IFERROR(VLOOKUP('Project Compliance Tool'!D4,E71:G73,3,FALSE),"")</f>
        <v/>
      </c>
      <c r="M76" s="23"/>
      <c r="N76" s="54"/>
    </row>
    <row r="77" spans="4:14" ht="18.75" customHeight="1" x14ac:dyDescent="0.2">
      <c r="D77" s="61"/>
      <c r="E77" s="61" t="s">
        <v>123</v>
      </c>
      <c r="F77" s="61" t="str">
        <f>IF(F75&lt;=F76,"Compliant","Non-compliant")</f>
        <v>Compliant</v>
      </c>
      <c r="G77" s="61" t="str">
        <f>IF(G75&lt;=G76,"Compliant","Non-compliant")</f>
        <v>Compliant</v>
      </c>
      <c r="H77" s="61" t="str">
        <f>IF('Project Compliance Tool'!D4="","Select Programme",IF(AND(F77="Compliant",G77="Compliant"),"Compliant","Non-compliant"))</f>
        <v>Select Programme</v>
      </c>
      <c r="M77" s="23"/>
      <c r="N77" s="54"/>
    </row>
    <row r="78" spans="4:14" ht="18.75" customHeight="1" x14ac:dyDescent="0.2">
      <c r="D78" s="61"/>
      <c r="H78" s="61"/>
      <c r="M78" s="23"/>
      <c r="N78" s="54"/>
    </row>
    <row r="79" spans="4:14" ht="18.75" customHeight="1" x14ac:dyDescent="0.2">
      <c r="D79" s="61"/>
      <c r="H79" s="61"/>
      <c r="M79" s="23"/>
      <c r="N79" s="54"/>
    </row>
    <row r="80" spans="4:14" ht="18.75" customHeight="1" x14ac:dyDescent="0.2">
      <c r="D80" s="16" t="s">
        <v>503</v>
      </c>
      <c r="E80" s="23" t="s">
        <v>507</v>
      </c>
      <c r="F80" s="23" t="str">
        <f>IFERROR(VLOOKUP('Project Compliance Tool'!D4,'Extra look-up'!D80:E81,2,FALSE),"")</f>
        <v/>
      </c>
      <c r="G80" s="65" t="s">
        <v>68</v>
      </c>
      <c r="H80" s="65" t="s">
        <v>508</v>
      </c>
      <c r="I80" s="66" t="s">
        <v>509</v>
      </c>
      <c r="M80" s="23"/>
      <c r="N80" s="54"/>
    </row>
    <row r="81" spans="4:14" ht="18.75" customHeight="1" x14ac:dyDescent="0.2">
      <c r="D81" s="16" t="s">
        <v>504</v>
      </c>
      <c r="E81" s="16" t="s">
        <v>510</v>
      </c>
      <c r="G81" s="67" t="s">
        <v>67</v>
      </c>
      <c r="H81" s="67" t="s">
        <v>511</v>
      </c>
      <c r="I81" s="67" t="s">
        <v>512</v>
      </c>
      <c r="M81" s="23"/>
      <c r="N81" s="54"/>
    </row>
    <row r="82" spans="4:14" ht="18.75" customHeight="1" x14ac:dyDescent="0.2">
      <c r="G82" s="67" t="s">
        <v>69</v>
      </c>
      <c r="H82" s="67" t="s">
        <v>483</v>
      </c>
      <c r="I82" s="67"/>
      <c r="M82" s="23"/>
      <c r="N82" s="54"/>
    </row>
    <row r="83" spans="4:14" ht="18.75" customHeight="1" x14ac:dyDescent="0.2">
      <c r="G83" s="67" t="s">
        <v>70</v>
      </c>
      <c r="H83" s="67" t="s">
        <v>70</v>
      </c>
      <c r="I83" s="67"/>
    </row>
    <row r="84" spans="4:14" ht="18.75" customHeight="1" x14ac:dyDescent="0.2">
      <c r="E84" s="16"/>
      <c r="G84" s="67" t="s">
        <v>513</v>
      </c>
      <c r="H84" s="67" t="s">
        <v>514</v>
      </c>
      <c r="I84" s="67"/>
      <c r="M84" s="23"/>
      <c r="N84" s="54"/>
    </row>
    <row r="85" spans="4:14" ht="18.75" customHeight="1" x14ac:dyDescent="0.2">
      <c r="E85" s="16"/>
      <c r="G85" s="67" t="s">
        <v>515</v>
      </c>
      <c r="H85" s="67" t="s">
        <v>516</v>
      </c>
      <c r="I85" s="67"/>
      <c r="M85" s="23"/>
      <c r="N85" s="54"/>
    </row>
    <row r="86" spans="4:14" ht="18.75" customHeight="1" x14ac:dyDescent="0.2">
      <c r="G86" s="67" t="s">
        <v>72</v>
      </c>
      <c r="H86" s="67" t="s">
        <v>488</v>
      </c>
      <c r="I86" s="67"/>
    </row>
    <row r="87" spans="4:14" ht="18.75" customHeight="1" x14ac:dyDescent="0.2">
      <c r="G87" s="68" t="s">
        <v>68</v>
      </c>
      <c r="H87" s="68" t="s">
        <v>508</v>
      </c>
      <c r="I87" s="69" t="s">
        <v>517</v>
      </c>
    </row>
    <row r="88" spans="4:14" ht="18.75" customHeight="1" x14ac:dyDescent="0.2">
      <c r="G88" s="69" t="s">
        <v>67</v>
      </c>
      <c r="H88" s="69" t="s">
        <v>511</v>
      </c>
      <c r="I88" s="69"/>
    </row>
    <row r="89" spans="4:14" ht="18.75" customHeight="1" x14ac:dyDescent="0.2">
      <c r="E89" s="16"/>
      <c r="G89" s="69" t="s">
        <v>69</v>
      </c>
      <c r="H89" s="69" t="s">
        <v>483</v>
      </c>
      <c r="I89" s="69"/>
    </row>
    <row r="90" spans="4:14" ht="18.75" customHeight="1" x14ac:dyDescent="0.2">
      <c r="E90" s="16"/>
      <c r="G90" s="69" t="s">
        <v>70</v>
      </c>
      <c r="H90" s="69" t="s">
        <v>70</v>
      </c>
      <c r="I90" s="69"/>
    </row>
    <row r="91" spans="4:14" ht="18.75" customHeight="1" x14ac:dyDescent="0.2">
      <c r="E91" s="16"/>
      <c r="G91" s="69" t="s">
        <v>513</v>
      </c>
      <c r="H91" s="69" t="s">
        <v>514</v>
      </c>
      <c r="I91" s="69"/>
    </row>
    <row r="92" spans="4:14" ht="18.75" customHeight="1" x14ac:dyDescent="0.2">
      <c r="E92" s="16"/>
      <c r="G92" s="70" t="s">
        <v>515</v>
      </c>
      <c r="H92" s="70" t="s">
        <v>516</v>
      </c>
      <c r="I92" s="70" t="s">
        <v>518</v>
      </c>
    </row>
    <row r="93" spans="4:14" ht="18.75" customHeight="1" x14ac:dyDescent="0.2">
      <c r="G93" s="70" t="s">
        <v>72</v>
      </c>
      <c r="H93" s="70" t="s">
        <v>488</v>
      </c>
      <c r="I93" s="70"/>
    </row>
    <row r="94" spans="4:14" ht="18.75" customHeight="1" x14ac:dyDescent="0.2">
      <c r="G94" s="71" t="s">
        <v>68</v>
      </c>
      <c r="H94" s="71" t="s">
        <v>508</v>
      </c>
      <c r="I94" s="72" t="s">
        <v>519</v>
      </c>
    </row>
    <row r="95" spans="4:14" ht="18.75" customHeight="1" x14ac:dyDescent="0.2">
      <c r="G95" s="72" t="s">
        <v>69</v>
      </c>
      <c r="H95" s="72" t="s">
        <v>483</v>
      </c>
    </row>
    <row r="96" spans="4:14" ht="18.75" customHeight="1" x14ac:dyDescent="0.2">
      <c r="G96" s="72" t="s">
        <v>520</v>
      </c>
      <c r="H96" s="72" t="s">
        <v>516</v>
      </c>
    </row>
    <row r="97" spans="5:9" ht="18.75" customHeight="1" x14ac:dyDescent="0.2">
      <c r="G97" s="72" t="s">
        <v>521</v>
      </c>
      <c r="H97" s="72" t="s">
        <v>488</v>
      </c>
    </row>
    <row r="98" spans="5:9" ht="18.75" customHeight="1" x14ac:dyDescent="0.2">
      <c r="G98" s="73" t="s">
        <v>69</v>
      </c>
      <c r="H98" s="73" t="s">
        <v>483</v>
      </c>
      <c r="I98" s="73" t="s">
        <v>522</v>
      </c>
    </row>
    <row r="99" spans="5:9" ht="18.75" customHeight="1" x14ac:dyDescent="0.2">
      <c r="G99" s="73" t="s">
        <v>515</v>
      </c>
      <c r="H99" s="73" t="s">
        <v>516</v>
      </c>
      <c r="I99" s="73"/>
    </row>
    <row r="100" spans="5:9" ht="18.75" customHeight="1" x14ac:dyDescent="0.2">
      <c r="G100" s="73" t="s">
        <v>72</v>
      </c>
      <c r="H100" s="73" t="s">
        <v>488</v>
      </c>
      <c r="I100" s="74"/>
    </row>
    <row r="101" spans="5:9" ht="18.75" customHeight="1" x14ac:dyDescent="0.2">
      <c r="E101" s="16"/>
      <c r="G101" s="73" t="s">
        <v>513</v>
      </c>
      <c r="H101" s="73" t="s">
        <v>514</v>
      </c>
      <c r="I101" s="74"/>
    </row>
    <row r="102" spans="5:9" ht="18.75" customHeight="1" x14ac:dyDescent="0.2">
      <c r="E102" s="16"/>
      <c r="G102" s="73" t="s">
        <v>68</v>
      </c>
      <c r="H102" s="73" t="s">
        <v>508</v>
      </c>
      <c r="I102" s="73"/>
    </row>
    <row r="103" spans="5:9" ht="18.75" customHeight="1" x14ac:dyDescent="0.2">
      <c r="G103" s="75" t="s">
        <v>69</v>
      </c>
      <c r="H103" s="75" t="s">
        <v>483</v>
      </c>
      <c r="I103" s="75" t="s">
        <v>510</v>
      </c>
    </row>
    <row r="104" spans="5:9" ht="18.75" customHeight="1" x14ac:dyDescent="0.2">
      <c r="G104" s="75" t="s">
        <v>520</v>
      </c>
      <c r="H104" s="75" t="s">
        <v>516</v>
      </c>
      <c r="I104" s="75"/>
    </row>
    <row r="105" spans="5:9" ht="18.75" customHeight="1" x14ac:dyDescent="0.2">
      <c r="G105" s="75" t="s">
        <v>521</v>
      </c>
      <c r="H105" s="75" t="s">
        <v>488</v>
      </c>
      <c r="I105" s="75"/>
    </row>
    <row r="106" spans="5:9" ht="18.75" customHeight="1" x14ac:dyDescent="0.2">
      <c r="G106" s="75" t="s">
        <v>68</v>
      </c>
      <c r="H106" s="75" t="s">
        <v>508</v>
      </c>
      <c r="I106" s="75"/>
    </row>
    <row r="107" spans="5:9" ht="18.75" customHeight="1" x14ac:dyDescent="0.2">
      <c r="G107" s="76" t="s">
        <v>67</v>
      </c>
      <c r="H107" s="76" t="s">
        <v>511</v>
      </c>
      <c r="I107" s="76" t="s">
        <v>507</v>
      </c>
    </row>
    <row r="108" spans="5:9" ht="18.75" customHeight="1" x14ac:dyDescent="0.2">
      <c r="G108" s="76" t="s">
        <v>68</v>
      </c>
      <c r="H108" s="76" t="s">
        <v>508</v>
      </c>
      <c r="I108" s="76"/>
    </row>
    <row r="109" spans="5:9" ht="18.75" customHeight="1" x14ac:dyDescent="0.2">
      <c r="G109" s="76" t="s">
        <v>513</v>
      </c>
      <c r="H109" s="76" t="s">
        <v>514</v>
      </c>
      <c r="I109" s="76"/>
    </row>
    <row r="110" spans="5:9" ht="18.75" customHeight="1" x14ac:dyDescent="0.2">
      <c r="G110" s="76" t="s">
        <v>69</v>
      </c>
      <c r="H110" s="76" t="s">
        <v>483</v>
      </c>
      <c r="I110" s="76"/>
    </row>
    <row r="111" spans="5:9" ht="18.75" customHeight="1" x14ac:dyDescent="0.2">
      <c r="G111" s="76" t="s">
        <v>515</v>
      </c>
      <c r="H111" s="76" t="s">
        <v>516</v>
      </c>
      <c r="I111" s="76"/>
    </row>
    <row r="112" spans="5:9" ht="18.75" customHeight="1" x14ac:dyDescent="0.2">
      <c r="G112" s="76" t="s">
        <v>72</v>
      </c>
      <c r="H112" s="76" t="s">
        <v>488</v>
      </c>
      <c r="I112" s="76"/>
    </row>
    <row r="113" spans="4:9" ht="18.75" customHeight="1" x14ac:dyDescent="0.2">
      <c r="G113" s="76" t="s">
        <v>70</v>
      </c>
      <c r="H113" s="76" t="s">
        <v>70</v>
      </c>
      <c r="I113" s="76"/>
    </row>
    <row r="114" spans="4:9" ht="18.75" customHeight="1" x14ac:dyDescent="0.2">
      <c r="G114" s="313" t="s">
        <v>67</v>
      </c>
      <c r="H114" s="313" t="s">
        <v>511</v>
      </c>
      <c r="I114" s="313" t="s">
        <v>523</v>
      </c>
    </row>
    <row r="115" spans="4:9" ht="18.75" customHeight="1" x14ac:dyDescent="0.2">
      <c r="G115" s="313" t="s">
        <v>69</v>
      </c>
      <c r="H115" s="313" t="s">
        <v>483</v>
      </c>
      <c r="I115" s="313"/>
    </row>
    <row r="116" spans="4:9" ht="18.75" customHeight="1" x14ac:dyDescent="0.2">
      <c r="G116" s="313" t="s">
        <v>70</v>
      </c>
      <c r="H116" s="313" t="s">
        <v>70</v>
      </c>
      <c r="I116" s="313"/>
    </row>
    <row r="117" spans="4:9" ht="18.75" customHeight="1" x14ac:dyDescent="0.2">
      <c r="G117" s="313" t="s">
        <v>513</v>
      </c>
      <c r="H117" s="313" t="s">
        <v>514</v>
      </c>
      <c r="I117" s="313"/>
    </row>
    <row r="118" spans="4:9" ht="18.75" customHeight="1" x14ac:dyDescent="0.2">
      <c r="G118" s="313" t="s">
        <v>515</v>
      </c>
      <c r="H118" s="313" t="s">
        <v>516</v>
      </c>
      <c r="I118" s="313"/>
    </row>
    <row r="119" spans="4:9" ht="18.75" customHeight="1" x14ac:dyDescent="0.2">
      <c r="G119" s="313" t="s">
        <v>72</v>
      </c>
      <c r="H119" s="313" t="s">
        <v>488</v>
      </c>
      <c r="I119" s="313"/>
    </row>
    <row r="120" spans="4:9" ht="18.75" customHeight="1" x14ac:dyDescent="0.2"/>
    <row r="121" spans="4:9" ht="18.75" customHeight="1" x14ac:dyDescent="0.2">
      <c r="D121" s="16" t="s">
        <v>524</v>
      </c>
      <c r="E121" s="16" t="s">
        <v>525</v>
      </c>
      <c r="F121" s="23" t="s">
        <v>468</v>
      </c>
      <c r="G121" s="23" t="s">
        <v>468</v>
      </c>
      <c r="H121" s="57" t="s">
        <v>479</v>
      </c>
    </row>
    <row r="122" spans="4:9" ht="18.75" customHeight="1" x14ac:dyDescent="0.2">
      <c r="D122" s="16">
        <f>'Project Compliance Tool'!$D$4</f>
        <v>0</v>
      </c>
      <c r="E122" s="16" t="str">
        <f>IFERROR(VLOOKUP(D122,D80:E81,2,FALSE),"")</f>
        <v/>
      </c>
      <c r="F122" s="23">
        <f>'Project Compliance Tool'!$D$5</f>
        <v>0</v>
      </c>
      <c r="G122" s="23" t="e">
        <f>VLOOKUP(F122,G83:H116,2,FALSE)</f>
        <v>#N/A</v>
      </c>
      <c r="H122" s="23" t="str">
        <f ca="1">IF(OR(AND(E102=0,F102=0),AND(E102&lt;&gt;0,F102=0)),"OK",IF(ISERROR(VLOOKUP(F102,INDIRECT(E102),1,FALSE)),"Client Type","OK"))</f>
        <v>OK</v>
      </c>
    </row>
    <row r="123" spans="4:9" ht="18.75" customHeight="1" x14ac:dyDescent="0.2"/>
    <row r="124" spans="4:9" ht="18.75" customHeight="1" x14ac:dyDescent="0.2"/>
    <row r="125" spans="4:9" ht="18.75" customHeight="1" x14ac:dyDescent="0.2"/>
    <row r="126" spans="4:9" ht="18.75" customHeight="1" x14ac:dyDescent="0.2"/>
    <row r="127" spans="4:9" ht="18.75" customHeight="1" x14ac:dyDescent="0.2"/>
    <row r="128" spans="4:9"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sheetData>
  <sheetProtection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customProperties>
    <customPr name="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ACEACF"/>
  </sheetPr>
  <dimension ref="B1:N91"/>
  <sheetViews>
    <sheetView showGridLines="0" zoomScale="80" zoomScaleNormal="80" workbookViewId="0">
      <selection activeCell="I57" sqref="I57"/>
    </sheetView>
  </sheetViews>
  <sheetFormatPr defaultColWidth="9.140625" defaultRowHeight="15.75" x14ac:dyDescent="0.2"/>
  <cols>
    <col min="1" max="1" width="3.42578125" style="252" customWidth="1"/>
    <col min="2" max="2" width="34.85546875" style="253" customWidth="1"/>
    <col min="3" max="3" width="14.42578125" style="252" customWidth="1"/>
    <col min="4" max="8" width="22.140625" style="252" customWidth="1"/>
    <col min="9" max="9" width="122.42578125" style="254" customWidth="1"/>
    <col min="10" max="16384" width="9.140625" style="252"/>
  </cols>
  <sheetData>
    <row r="1" spans="2:11" ht="16.5" thickBot="1" x14ac:dyDescent="0.25">
      <c r="C1" s="810"/>
      <c r="D1" s="810"/>
      <c r="E1" s="810"/>
      <c r="F1" s="810"/>
      <c r="G1" s="810"/>
      <c r="H1" s="810"/>
      <c r="J1" s="810"/>
      <c r="K1" s="810"/>
    </row>
    <row r="2" spans="2:11" x14ac:dyDescent="0.2">
      <c r="B2" s="255"/>
      <c r="C2" s="811"/>
      <c r="D2" s="811"/>
      <c r="E2" s="811"/>
      <c r="F2" s="811"/>
      <c r="G2" s="811"/>
      <c r="H2" s="812"/>
      <c r="J2" s="810"/>
      <c r="K2" s="810"/>
    </row>
    <row r="3" spans="2:11" x14ac:dyDescent="0.2">
      <c r="B3" s="256"/>
      <c r="C3" s="810"/>
      <c r="D3" s="810"/>
      <c r="E3" s="810"/>
      <c r="F3" s="810"/>
      <c r="G3" s="810"/>
      <c r="H3" s="813"/>
      <c r="J3" s="810"/>
      <c r="K3" s="810"/>
    </row>
    <row r="4" spans="2:11" x14ac:dyDescent="0.2">
      <c r="B4" s="257"/>
      <c r="C4" s="814"/>
      <c r="D4" s="814"/>
      <c r="E4" s="814"/>
      <c r="F4" s="814"/>
      <c r="G4" s="814"/>
      <c r="H4" s="815"/>
      <c r="J4" s="810"/>
      <c r="K4" s="810"/>
    </row>
    <row r="5" spans="2:11" ht="23.25" customHeight="1" x14ac:dyDescent="0.2">
      <c r="B5" s="1026" t="s">
        <v>526</v>
      </c>
      <c r="C5" s="1027"/>
      <c r="D5" s="1027"/>
      <c r="E5" s="1027"/>
      <c r="F5" s="1027"/>
      <c r="G5" s="1027"/>
      <c r="H5" s="1028"/>
      <c r="J5" s="810"/>
      <c r="K5" s="810"/>
    </row>
    <row r="6" spans="2:11" x14ac:dyDescent="0.2">
      <c r="B6" s="258" t="s">
        <v>527</v>
      </c>
      <c r="C6" s="810"/>
      <c r="D6" s="810"/>
      <c r="E6" s="810"/>
      <c r="F6" s="810"/>
      <c r="G6" s="810"/>
      <c r="H6" s="813"/>
      <c r="J6" s="810"/>
      <c r="K6" s="810"/>
    </row>
    <row r="7" spans="2:11" x14ac:dyDescent="0.2">
      <c r="B7" s="259"/>
      <c r="C7" s="810"/>
      <c r="D7" s="810"/>
      <c r="E7" s="810"/>
      <c r="F7" s="810"/>
      <c r="G7" s="810"/>
      <c r="H7" s="813"/>
      <c r="I7" s="260" t="s">
        <v>528</v>
      </c>
      <c r="J7" s="810"/>
      <c r="K7" s="810"/>
    </row>
    <row r="8" spans="2:11" ht="18.75" customHeight="1" x14ac:dyDescent="0.2">
      <c r="B8" s="261" t="s">
        <v>529</v>
      </c>
      <c r="C8" s="1029" t="str">
        <f>IF('Business Case'!D9="","",'Business Case'!D9)</f>
        <v/>
      </c>
      <c r="D8" s="1029"/>
      <c r="E8" s="1029"/>
      <c r="F8" s="1029"/>
      <c r="G8" s="1029"/>
      <c r="H8" s="1030"/>
      <c r="I8" s="1024" t="s">
        <v>530</v>
      </c>
      <c r="J8" s="810"/>
      <c r="K8" s="810"/>
    </row>
    <row r="9" spans="2:11" x14ac:dyDescent="0.2">
      <c r="B9" s="262"/>
      <c r="C9" s="810"/>
      <c r="D9" s="810"/>
      <c r="E9" s="810"/>
      <c r="F9" s="810"/>
      <c r="G9" s="810"/>
      <c r="H9" s="813"/>
      <c r="I9" s="1024"/>
      <c r="J9" s="810"/>
      <c r="K9" s="810"/>
    </row>
    <row r="10" spans="2:11" x14ac:dyDescent="0.2">
      <c r="B10" s="261" t="s">
        <v>531</v>
      </c>
      <c r="C10" s="1029" t="str">
        <f>IF('Project Compliance Tool'!D3="","",'Project Compliance Tool'!D3)</f>
        <v/>
      </c>
      <c r="D10" s="1029"/>
      <c r="E10" s="1029"/>
      <c r="F10" s="1029"/>
      <c r="G10" s="1029"/>
      <c r="H10" s="1030"/>
      <c r="I10" s="1024"/>
      <c r="J10" s="810"/>
      <c r="K10" s="810"/>
    </row>
    <row r="11" spans="2:11" x14ac:dyDescent="0.2">
      <c r="B11" s="259"/>
      <c r="C11" s="810"/>
      <c r="D11" s="810"/>
      <c r="E11" s="810"/>
      <c r="F11" s="810"/>
      <c r="G11" s="810"/>
      <c r="H11" s="813"/>
      <c r="I11" s="263"/>
      <c r="J11" s="810"/>
      <c r="K11" s="810"/>
    </row>
    <row r="12" spans="2:11" x14ac:dyDescent="0.2">
      <c r="B12" s="258" t="s">
        <v>532</v>
      </c>
      <c r="C12" s="810"/>
      <c r="D12" s="810" t="s">
        <v>533</v>
      </c>
      <c r="E12" s="810"/>
      <c r="F12" s="810"/>
      <c r="G12" s="810"/>
      <c r="H12" s="813"/>
      <c r="I12" s="263"/>
      <c r="J12" s="810"/>
      <c r="K12" s="810"/>
    </row>
    <row r="13" spans="2:11" ht="15.75" customHeight="1" x14ac:dyDescent="0.2">
      <c r="B13" s="256"/>
      <c r="C13" s="810"/>
      <c r="D13" s="810"/>
      <c r="E13" s="810"/>
      <c r="F13" s="810"/>
      <c r="G13" s="810"/>
      <c r="H13" s="813"/>
      <c r="I13" s="1031" t="s">
        <v>534</v>
      </c>
      <c r="J13" s="810"/>
      <c r="K13" s="810"/>
    </row>
    <row r="14" spans="2:11" ht="61.35" customHeight="1" x14ac:dyDescent="0.2">
      <c r="B14" s="436" t="s">
        <v>535</v>
      </c>
      <c r="C14" s="437"/>
      <c r="D14" s="999"/>
      <c r="E14" s="1000"/>
      <c r="F14" s="1000"/>
      <c r="G14" s="1000"/>
      <c r="H14" s="1001"/>
      <c r="I14" s="1031"/>
      <c r="J14" s="816"/>
      <c r="K14" s="816"/>
    </row>
    <row r="15" spans="2:11" x14ac:dyDescent="0.2">
      <c r="B15" s="264"/>
      <c r="C15" s="265"/>
      <c r="D15" s="266"/>
      <c r="E15" s="266"/>
      <c r="F15" s="267"/>
      <c r="G15" s="267"/>
      <c r="H15" s="268"/>
      <c r="I15" s="311"/>
      <c r="J15" s="816"/>
      <c r="K15" s="816"/>
    </row>
    <row r="16" spans="2:11" ht="61.35" customHeight="1" x14ac:dyDescent="0.2">
      <c r="B16" s="436" t="s">
        <v>536</v>
      </c>
      <c r="C16" s="437"/>
      <c r="D16" s="999"/>
      <c r="E16" s="1000"/>
      <c r="F16" s="1000"/>
      <c r="G16" s="1000"/>
      <c r="H16" s="1001"/>
      <c r="I16" s="434" t="s">
        <v>537</v>
      </c>
      <c r="J16" s="816"/>
      <c r="K16" s="816"/>
    </row>
    <row r="17" spans="2:11" x14ac:dyDescent="0.2">
      <c r="B17" s="264"/>
      <c r="C17" s="265"/>
      <c r="D17" s="266"/>
      <c r="E17" s="266"/>
      <c r="F17" s="267"/>
      <c r="G17" s="267"/>
      <c r="H17" s="268"/>
      <c r="I17" s="311"/>
      <c r="J17" s="816"/>
      <c r="K17" s="816"/>
    </row>
    <row r="18" spans="2:11" ht="61.35" customHeight="1" x14ac:dyDescent="0.2">
      <c r="B18" s="436" t="s">
        <v>538</v>
      </c>
      <c r="C18" s="437"/>
      <c r="D18" s="999"/>
      <c r="E18" s="1000"/>
      <c r="F18" s="1000"/>
      <c r="G18" s="1000"/>
      <c r="H18" s="1001"/>
      <c r="I18" s="311" t="s">
        <v>539</v>
      </c>
      <c r="J18" s="816"/>
      <c r="K18" s="816"/>
    </row>
    <row r="19" spans="2:11" x14ac:dyDescent="0.2">
      <c r="B19" s="264"/>
      <c r="C19" s="265"/>
      <c r="D19" s="270"/>
      <c r="E19" s="270"/>
      <c r="F19" s="263"/>
      <c r="G19" s="263"/>
      <c r="H19" s="271"/>
      <c r="I19" s="269"/>
      <c r="J19" s="816"/>
      <c r="K19" s="816"/>
    </row>
    <row r="20" spans="2:11" ht="38.25" customHeight="1" x14ac:dyDescent="0.2">
      <c r="B20" s="436" t="s">
        <v>540</v>
      </c>
      <c r="C20" s="437"/>
      <c r="D20" s="999"/>
      <c r="E20" s="1000"/>
      <c r="F20" s="1000"/>
      <c r="G20" s="1000"/>
      <c r="H20" s="1001"/>
      <c r="I20" s="1025" t="s">
        <v>541</v>
      </c>
      <c r="J20" s="816"/>
      <c r="K20" s="816"/>
    </row>
    <row r="21" spans="2:11" x14ac:dyDescent="0.2">
      <c r="B21" s="264"/>
      <c r="C21" s="265"/>
      <c r="D21" s="272"/>
      <c r="E21" s="272"/>
      <c r="F21" s="273"/>
      <c r="G21" s="273"/>
      <c r="H21" s="274"/>
      <c r="I21" s="1025"/>
      <c r="J21" s="816"/>
      <c r="K21" s="816"/>
    </row>
    <row r="22" spans="2:11" ht="38.25" customHeight="1" x14ac:dyDescent="0.2">
      <c r="B22" s="436" t="s">
        <v>542</v>
      </c>
      <c r="C22" s="437"/>
      <c r="D22" s="999"/>
      <c r="E22" s="1000"/>
      <c r="F22" s="1000"/>
      <c r="G22" s="1000"/>
      <c r="H22" s="1001"/>
      <c r="I22" s="434" t="s">
        <v>543</v>
      </c>
      <c r="J22" s="816"/>
      <c r="K22" s="816"/>
    </row>
    <row r="23" spans="2:11" x14ac:dyDescent="0.2">
      <c r="B23" s="256"/>
      <c r="C23" s="810"/>
      <c r="D23" s="817"/>
      <c r="E23" s="817"/>
      <c r="F23" s="817"/>
      <c r="G23" s="817"/>
      <c r="H23" s="818"/>
      <c r="I23" s="263"/>
      <c r="J23" s="810"/>
      <c r="K23" s="810"/>
    </row>
    <row r="24" spans="2:11" x14ac:dyDescent="0.2">
      <c r="B24" s="258" t="s">
        <v>544</v>
      </c>
      <c r="C24" s="810"/>
      <c r="D24" s="817"/>
      <c r="E24" s="817"/>
      <c r="F24" s="817"/>
      <c r="G24" s="817"/>
      <c r="H24" s="818"/>
      <c r="I24" s="263"/>
      <c r="J24" s="810"/>
      <c r="K24" s="810"/>
    </row>
    <row r="25" spans="2:11" x14ac:dyDescent="0.2">
      <c r="B25" s="256"/>
      <c r="C25" s="810"/>
      <c r="D25" s="817"/>
      <c r="E25" s="817"/>
      <c r="F25" s="817"/>
      <c r="G25" s="817"/>
      <c r="H25" s="818"/>
      <c r="I25" s="263"/>
      <c r="J25" s="810"/>
      <c r="K25" s="810"/>
    </row>
    <row r="26" spans="2:11" ht="30" customHeight="1" x14ac:dyDescent="0.2">
      <c r="B26" s="275" t="s">
        <v>545</v>
      </c>
      <c r="C26" s="445"/>
      <c r="D26" s="1032" t="s">
        <v>533</v>
      </c>
      <c r="E26" s="1033"/>
      <c r="F26" s="1033"/>
      <c r="G26" s="1033"/>
      <c r="H26" s="1034"/>
      <c r="I26" s="311" t="s">
        <v>546</v>
      </c>
      <c r="J26" s="816"/>
      <c r="K26" s="816"/>
    </row>
    <row r="27" spans="2:11" ht="30" customHeight="1" x14ac:dyDescent="0.2">
      <c r="B27" s="275" t="s">
        <v>547</v>
      </c>
      <c r="C27" s="445"/>
      <c r="D27" s="1032"/>
      <c r="E27" s="1033"/>
      <c r="F27" s="1033"/>
      <c r="G27" s="1033"/>
      <c r="H27" s="1034"/>
      <c r="I27" s="311" t="s">
        <v>548</v>
      </c>
      <c r="J27" s="816"/>
      <c r="K27" s="816"/>
    </row>
    <row r="28" spans="2:11" ht="30" customHeight="1" x14ac:dyDescent="0.2">
      <c r="B28" s="275" t="s">
        <v>549</v>
      </c>
      <c r="C28" s="445"/>
      <c r="D28" s="1032"/>
      <c r="E28" s="1033"/>
      <c r="F28" s="1033"/>
      <c r="G28" s="1033"/>
      <c r="H28" s="1034"/>
      <c r="I28" s="311" t="s">
        <v>550</v>
      </c>
      <c r="J28" s="816"/>
      <c r="K28" s="816"/>
    </row>
    <row r="29" spans="2:11" ht="30" customHeight="1" x14ac:dyDescent="0.2">
      <c r="B29" s="275" t="s">
        <v>551</v>
      </c>
      <c r="C29" s="445"/>
      <c r="D29" s="1032"/>
      <c r="E29" s="1033"/>
      <c r="F29" s="1033"/>
      <c r="G29" s="1033"/>
      <c r="H29" s="1034"/>
      <c r="I29" s="1024" t="s">
        <v>552</v>
      </c>
      <c r="J29" s="816"/>
      <c r="K29" s="816"/>
    </row>
    <row r="30" spans="2:11" ht="75" customHeight="1" x14ac:dyDescent="0.2">
      <c r="B30" s="1017" t="s">
        <v>553</v>
      </c>
      <c r="C30" s="1018"/>
      <c r="D30" s="1014"/>
      <c r="E30" s="1015"/>
      <c r="F30" s="1015"/>
      <c r="G30" s="1015"/>
      <c r="H30" s="1016"/>
      <c r="I30" s="1024"/>
      <c r="J30" s="816"/>
      <c r="K30" s="816"/>
    </row>
    <row r="31" spans="2:11" x14ac:dyDescent="0.2">
      <c r="B31" s="1019"/>
      <c r="C31" s="1020"/>
      <c r="D31" s="1020"/>
      <c r="E31" s="1020"/>
      <c r="F31" s="1020"/>
      <c r="G31" s="1020"/>
      <c r="H31" s="1021"/>
      <c r="I31" s="311"/>
      <c r="J31" s="816"/>
      <c r="K31" s="816"/>
    </row>
    <row r="32" spans="2:11" ht="38.25" customHeight="1" x14ac:dyDescent="0.2">
      <c r="B32" s="435" t="s">
        <v>554</v>
      </c>
      <c r="C32" s="437"/>
      <c r="D32" s="999"/>
      <c r="E32" s="1000"/>
      <c r="F32" s="1000"/>
      <c r="G32" s="1000"/>
      <c r="H32" s="1001"/>
      <c r="I32" s="311" t="s">
        <v>555</v>
      </c>
      <c r="J32" s="816"/>
      <c r="K32" s="816"/>
    </row>
    <row r="33" spans="2:14" x14ac:dyDescent="0.2">
      <c r="B33" s="1011"/>
      <c r="C33" s="1012"/>
      <c r="D33" s="1012"/>
      <c r="E33" s="1012"/>
      <c r="F33" s="1012"/>
      <c r="G33" s="1012"/>
      <c r="H33" s="1013"/>
      <c r="I33" s="311"/>
      <c r="J33" s="816"/>
      <c r="K33" s="816"/>
      <c r="L33" s="810"/>
      <c r="M33" s="810"/>
      <c r="N33" s="810"/>
    </row>
    <row r="34" spans="2:14" ht="52.5" customHeight="1" x14ac:dyDescent="0.2">
      <c r="B34" s="435" t="s">
        <v>556</v>
      </c>
      <c r="C34" s="437"/>
      <c r="D34" s="999"/>
      <c r="E34" s="1000"/>
      <c r="F34" s="1000"/>
      <c r="G34" s="1000"/>
      <c r="H34" s="1001"/>
      <c r="I34" s="311" t="s">
        <v>557</v>
      </c>
      <c r="J34" s="816"/>
      <c r="K34" s="816"/>
      <c r="L34" s="810"/>
      <c r="M34" s="810"/>
      <c r="N34" s="810"/>
    </row>
    <row r="35" spans="2:14" x14ac:dyDescent="0.2">
      <c r="B35" s="1011"/>
      <c r="C35" s="1012"/>
      <c r="D35" s="1012"/>
      <c r="E35" s="1012"/>
      <c r="F35" s="1012"/>
      <c r="G35" s="1012"/>
      <c r="H35" s="1013"/>
      <c r="I35" s="311"/>
      <c r="J35" s="816"/>
      <c r="K35" s="816"/>
      <c r="L35" s="810"/>
      <c r="M35" s="810"/>
      <c r="N35" s="810"/>
    </row>
    <row r="36" spans="2:14" ht="38.25" customHeight="1" x14ac:dyDescent="0.2">
      <c r="B36" s="435" t="s">
        <v>558</v>
      </c>
      <c r="C36" s="437"/>
      <c r="D36" s="1022"/>
      <c r="E36" s="1022"/>
      <c r="F36" s="1022"/>
      <c r="G36" s="1022"/>
      <c r="H36" s="1023"/>
      <c r="I36" s="311" t="s">
        <v>559</v>
      </c>
      <c r="J36" s="816"/>
      <c r="K36" s="816"/>
      <c r="L36" s="810"/>
      <c r="M36" s="810"/>
      <c r="N36" s="810"/>
    </row>
    <row r="37" spans="2:14" ht="15.75" customHeight="1" x14ac:dyDescent="0.2">
      <c r="B37" s="276"/>
      <c r="C37" s="277"/>
      <c r="D37" s="277"/>
      <c r="E37" s="277"/>
      <c r="F37" s="277"/>
      <c r="G37" s="277"/>
      <c r="H37" s="278"/>
      <c r="I37" s="263"/>
      <c r="J37" s="810"/>
      <c r="K37" s="810"/>
      <c r="L37" s="810"/>
      <c r="M37" s="810"/>
      <c r="N37" s="810"/>
    </row>
    <row r="38" spans="2:14" ht="15.75" customHeight="1" x14ac:dyDescent="0.2">
      <c r="B38" s="280" t="s">
        <v>560</v>
      </c>
      <c r="C38" s="279"/>
      <c r="D38" s="279"/>
      <c r="E38" s="281"/>
      <c r="F38" s="281"/>
      <c r="G38" s="281"/>
      <c r="H38" s="282"/>
      <c r="I38" s="263"/>
      <c r="J38" s="810"/>
      <c r="K38" s="810"/>
      <c r="L38" s="810"/>
      <c r="M38" s="810"/>
      <c r="N38" s="810"/>
    </row>
    <row r="39" spans="2:14" x14ac:dyDescent="0.2">
      <c r="B39" s="1008"/>
      <c r="C39" s="1009"/>
      <c r="D39" s="1009"/>
      <c r="E39" s="1009"/>
      <c r="F39" s="1009"/>
      <c r="G39" s="1009"/>
      <c r="H39" s="1010"/>
      <c r="I39" s="311"/>
      <c r="J39" s="816"/>
      <c r="K39" s="816"/>
      <c r="L39" s="810"/>
      <c r="M39" s="810"/>
      <c r="N39" s="810"/>
    </row>
    <row r="40" spans="2:14" ht="38.25" customHeight="1" x14ac:dyDescent="0.2">
      <c r="B40" s="433" t="s">
        <v>561</v>
      </c>
      <c r="C40" s="437"/>
      <c r="D40" s="999"/>
      <c r="E40" s="1000"/>
      <c r="F40" s="1000"/>
      <c r="G40" s="1000"/>
      <c r="H40" s="1001"/>
      <c r="I40" s="446" t="s">
        <v>562</v>
      </c>
      <c r="J40" s="816"/>
      <c r="K40" s="816"/>
      <c r="L40" s="810"/>
      <c r="M40" s="810"/>
      <c r="N40" s="810"/>
    </row>
    <row r="41" spans="2:14" x14ac:dyDescent="0.2">
      <c r="B41" s="1011"/>
      <c r="C41" s="1012"/>
      <c r="D41" s="1012"/>
      <c r="E41" s="1012"/>
      <c r="F41" s="1012"/>
      <c r="G41" s="1012"/>
      <c r="H41" s="1013"/>
      <c r="I41" s="311"/>
      <c r="J41" s="816"/>
      <c r="K41" s="816"/>
      <c r="L41" s="810"/>
      <c r="M41" s="810"/>
      <c r="N41" s="810"/>
    </row>
    <row r="42" spans="2:14" ht="57.75" customHeight="1" x14ac:dyDescent="0.2">
      <c r="B42" s="433" t="s">
        <v>563</v>
      </c>
      <c r="C42" s="437"/>
      <c r="D42" s="999"/>
      <c r="E42" s="1000"/>
      <c r="F42" s="1000"/>
      <c r="G42" s="1000"/>
      <c r="H42" s="1001"/>
      <c r="I42" s="311" t="s">
        <v>564</v>
      </c>
      <c r="J42" s="816"/>
      <c r="K42" s="816"/>
      <c r="L42" s="810"/>
      <c r="M42" s="810"/>
      <c r="N42" s="810"/>
    </row>
    <row r="43" spans="2:14" x14ac:dyDescent="0.2">
      <c r="B43" s="1011"/>
      <c r="C43" s="1012"/>
      <c r="D43" s="1012"/>
      <c r="E43" s="1012"/>
      <c r="F43" s="1012"/>
      <c r="G43" s="1012"/>
      <c r="H43" s="1013"/>
      <c r="I43" s="311"/>
      <c r="J43" s="816"/>
      <c r="K43" s="816"/>
      <c r="L43" s="810"/>
      <c r="M43" s="810"/>
      <c r="N43" s="810"/>
    </row>
    <row r="44" spans="2:14" ht="38.25" customHeight="1" x14ac:dyDescent="0.2">
      <c r="B44" s="433" t="s">
        <v>565</v>
      </c>
      <c r="C44" s="437"/>
      <c r="D44" s="999"/>
      <c r="E44" s="1000"/>
      <c r="F44" s="1000"/>
      <c r="G44" s="1000"/>
      <c r="H44" s="1001"/>
      <c r="I44" s="311" t="s">
        <v>566</v>
      </c>
      <c r="J44" s="816"/>
      <c r="K44" s="816"/>
      <c r="L44" s="810"/>
      <c r="M44" s="810"/>
      <c r="N44" s="810"/>
    </row>
    <row r="45" spans="2:14" x14ac:dyDescent="0.2">
      <c r="B45" s="996"/>
      <c r="C45" s="997"/>
      <c r="D45" s="997"/>
      <c r="E45" s="997"/>
      <c r="F45" s="997"/>
      <c r="G45" s="997"/>
      <c r="H45" s="998"/>
      <c r="I45" s="263"/>
      <c r="J45" s="810"/>
      <c r="K45" s="810"/>
      <c r="L45" s="810"/>
      <c r="M45" s="810"/>
      <c r="N45" s="810"/>
    </row>
    <row r="46" spans="2:14" ht="54" customHeight="1" x14ac:dyDescent="0.2">
      <c r="B46" s="433" t="s">
        <v>567</v>
      </c>
      <c r="C46" s="437"/>
      <c r="D46" s="999"/>
      <c r="E46" s="1000"/>
      <c r="F46" s="1000"/>
      <c r="G46" s="1000"/>
      <c r="H46" s="1001"/>
      <c r="I46" s="263"/>
      <c r="J46" s="810"/>
      <c r="K46" s="810"/>
      <c r="L46" s="810"/>
      <c r="M46" s="810"/>
      <c r="N46" s="810"/>
    </row>
    <row r="47" spans="2:14" ht="18.75" x14ac:dyDescent="0.2">
      <c r="B47" s="256"/>
      <c r="C47" s="810"/>
      <c r="D47" s="810"/>
      <c r="E47" s="284"/>
      <c r="F47" s="284"/>
      <c r="G47" s="285"/>
      <c r="H47" s="286"/>
      <c r="I47" s="263"/>
      <c r="J47" s="283"/>
      <c r="K47" s="287">
        <v>2.2999999999999998</v>
      </c>
      <c r="L47" s="288" t="e">
        <f>#REF!</f>
        <v>#REF!</v>
      </c>
      <c r="M47" s="287"/>
      <c r="N47" s="283"/>
    </row>
    <row r="48" spans="2:14" ht="18.75" x14ac:dyDescent="0.2">
      <c r="B48" s="289"/>
      <c r="C48" s="819"/>
      <c r="D48" s="819"/>
      <c r="E48" s="290"/>
      <c r="F48" s="290"/>
      <c r="G48" s="291"/>
      <c r="H48" s="292"/>
      <c r="I48" s="263"/>
      <c r="J48" s="283"/>
      <c r="K48" s="287">
        <v>2.4</v>
      </c>
      <c r="L48" s="288" t="e">
        <f>#REF!</f>
        <v>#REF!</v>
      </c>
      <c r="M48" s="287"/>
      <c r="N48" s="283"/>
    </row>
    <row r="49" spans="2:14" x14ac:dyDescent="0.2">
      <c r="B49" s="1002" t="s">
        <v>568</v>
      </c>
      <c r="C49" s="1003"/>
      <c r="D49" s="1004"/>
      <c r="E49" s="1005"/>
      <c r="F49" s="1005"/>
      <c r="G49" s="1005"/>
      <c r="H49" s="1006"/>
      <c r="I49" s="995" t="s">
        <v>569</v>
      </c>
      <c r="J49" s="283"/>
      <c r="K49" s="287">
        <v>2.5</v>
      </c>
      <c r="L49" s="288" t="e">
        <f>#REF!</f>
        <v>#REF!</v>
      </c>
      <c r="M49" s="287"/>
      <c r="N49" s="283"/>
    </row>
    <row r="50" spans="2:14" x14ac:dyDescent="0.2">
      <c r="B50" s="987"/>
      <c r="C50" s="988"/>
      <c r="D50" s="992"/>
      <c r="E50" s="993"/>
      <c r="F50" s="993"/>
      <c r="G50" s="993"/>
      <c r="H50" s="994"/>
      <c r="I50" s="995"/>
      <c r="J50" s="283"/>
      <c r="K50" s="287">
        <v>2.6</v>
      </c>
      <c r="L50" s="288" t="e">
        <f>#REF!</f>
        <v>#REF!</v>
      </c>
      <c r="M50" s="287"/>
      <c r="N50" s="283"/>
    </row>
    <row r="51" spans="2:14" ht="15.75" customHeight="1" x14ac:dyDescent="0.2">
      <c r="B51" s="293"/>
      <c r="C51" s="263"/>
      <c r="D51" s="810"/>
      <c r="E51" s="284"/>
      <c r="F51" s="284"/>
      <c r="G51" s="285"/>
      <c r="H51" s="286"/>
      <c r="I51" s="263"/>
      <c r="J51" s="283"/>
      <c r="K51" s="287">
        <v>2.7</v>
      </c>
      <c r="L51" s="288" t="e">
        <f>#REF!</f>
        <v>#REF!</v>
      </c>
      <c r="M51" s="287"/>
      <c r="N51" s="283"/>
    </row>
    <row r="52" spans="2:14" x14ac:dyDescent="0.2">
      <c r="B52" s="987" t="s">
        <v>570</v>
      </c>
      <c r="C52" s="988"/>
      <c r="D52" s="989"/>
      <c r="E52" s="990"/>
      <c r="F52" s="990"/>
      <c r="G52" s="990"/>
      <c r="H52" s="991"/>
      <c r="I52" s="1007" t="s">
        <v>571</v>
      </c>
      <c r="J52" s="283"/>
      <c r="K52" s="287">
        <v>3.1</v>
      </c>
      <c r="L52" s="288" t="e">
        <f>#REF!</f>
        <v>#REF!</v>
      </c>
      <c r="M52" s="287"/>
      <c r="N52" s="283"/>
    </row>
    <row r="53" spans="2:14" x14ac:dyDescent="0.2">
      <c r="B53" s="987"/>
      <c r="C53" s="988"/>
      <c r="D53" s="992"/>
      <c r="E53" s="993"/>
      <c r="F53" s="993"/>
      <c r="G53" s="993"/>
      <c r="H53" s="994"/>
      <c r="I53" s="1007"/>
      <c r="J53" s="283"/>
      <c r="K53" s="287">
        <v>3.2</v>
      </c>
      <c r="L53" s="288" t="e">
        <f>#REF!</f>
        <v>#REF!</v>
      </c>
      <c r="M53" s="287"/>
      <c r="N53" s="283"/>
    </row>
    <row r="54" spans="2:14" x14ac:dyDescent="0.2">
      <c r="B54" s="294"/>
      <c r="C54" s="295"/>
      <c r="D54" s="820"/>
      <c r="E54" s="820"/>
      <c r="F54" s="820"/>
      <c r="G54" s="820"/>
      <c r="H54" s="821"/>
      <c r="I54" s="312"/>
      <c r="J54" s="283"/>
      <c r="K54" s="287">
        <v>3.3</v>
      </c>
      <c r="L54" s="288" t="e">
        <f>#REF!</f>
        <v>#REF!</v>
      </c>
      <c r="M54" s="287"/>
      <c r="N54" s="283"/>
    </row>
    <row r="55" spans="2:14" ht="31.5" customHeight="1" x14ac:dyDescent="0.2">
      <c r="B55" s="296" t="s">
        <v>572</v>
      </c>
      <c r="C55" s="297">
        <f>'Business Case'!H76</f>
        <v>0</v>
      </c>
      <c r="D55" s="982"/>
      <c r="E55" s="983"/>
      <c r="F55" s="983"/>
      <c r="G55" s="983"/>
      <c r="H55" s="984"/>
      <c r="I55" s="312" t="s">
        <v>573</v>
      </c>
      <c r="J55" s="283"/>
      <c r="K55" s="287">
        <v>3.4</v>
      </c>
      <c r="L55" s="288" t="e">
        <f>#REF!</f>
        <v>#REF!</v>
      </c>
      <c r="M55" s="287"/>
      <c r="N55" s="283"/>
    </row>
    <row r="56" spans="2:14" x14ac:dyDescent="0.2">
      <c r="B56" s="294"/>
      <c r="C56" s="295"/>
      <c r="D56" s="820"/>
      <c r="E56" s="820"/>
      <c r="F56" s="820"/>
      <c r="G56" s="820"/>
      <c r="H56" s="821"/>
      <c r="I56" s="312"/>
      <c r="J56" s="283"/>
      <c r="K56" s="283"/>
      <c r="L56" s="283"/>
      <c r="M56" s="283"/>
      <c r="N56" s="283"/>
    </row>
    <row r="57" spans="2:14" ht="31.5" customHeight="1" x14ac:dyDescent="0.2">
      <c r="B57" s="296" t="s">
        <v>574</v>
      </c>
      <c r="C57" s="297">
        <f>'Business Case'!H79</f>
        <v>0</v>
      </c>
      <c r="D57" s="982"/>
      <c r="E57" s="983"/>
      <c r="F57" s="983"/>
      <c r="G57" s="983"/>
      <c r="H57" s="984"/>
      <c r="I57" s="312" t="s">
        <v>575</v>
      </c>
      <c r="J57" s="283"/>
      <c r="K57" s="810"/>
      <c r="L57" s="810"/>
      <c r="M57" s="283"/>
      <c r="N57" s="283"/>
    </row>
    <row r="58" spans="2:14" ht="18.75" x14ac:dyDescent="0.2">
      <c r="B58" s="256"/>
      <c r="C58" s="810"/>
      <c r="D58" s="810"/>
      <c r="E58" s="284"/>
      <c r="F58" s="284"/>
      <c r="G58" s="285"/>
      <c r="H58" s="286"/>
      <c r="I58" s="263"/>
      <c r="J58" s="283"/>
      <c r="K58" s="810"/>
      <c r="L58" s="810"/>
      <c r="M58" s="283"/>
      <c r="N58" s="283"/>
    </row>
    <row r="59" spans="2:14" x14ac:dyDescent="0.2">
      <c r="B59" s="258" t="s">
        <v>576</v>
      </c>
      <c r="C59" s="298"/>
      <c r="D59" s="298"/>
      <c r="E59" s="298"/>
      <c r="F59" s="298"/>
      <c r="G59" s="298"/>
      <c r="H59" s="299"/>
      <c r="I59" s="263"/>
      <c r="J59" s="810"/>
      <c r="K59" s="816"/>
      <c r="L59" s="810"/>
      <c r="M59" s="810"/>
      <c r="N59" s="810"/>
    </row>
    <row r="60" spans="2:14" x14ac:dyDescent="0.2">
      <c r="B60" s="259"/>
      <c r="C60" s="298"/>
      <c r="D60" s="298"/>
      <c r="E60" s="298"/>
      <c r="F60" s="298"/>
      <c r="G60" s="298"/>
      <c r="H60" s="299"/>
      <c r="I60" s="263"/>
      <c r="J60" s="810"/>
      <c r="K60" s="816"/>
      <c r="L60" s="810"/>
      <c r="M60" s="810"/>
      <c r="N60" s="810"/>
    </row>
    <row r="61" spans="2:14" ht="45" customHeight="1" x14ac:dyDescent="0.2">
      <c r="B61" s="264" t="s">
        <v>577</v>
      </c>
      <c r="C61" s="444" t="str">
        <f>IF(E91=0,"",IF(E88&gt;0,"Red",IF(E89&gt;0,"Amber","Green")))</f>
        <v/>
      </c>
      <c r="D61" s="969" t="s">
        <v>578</v>
      </c>
      <c r="E61" s="969"/>
      <c r="F61" s="969"/>
      <c r="G61" s="969"/>
      <c r="H61" s="970"/>
      <c r="I61" s="311"/>
      <c r="J61" s="816"/>
      <c r="K61" s="810"/>
      <c r="L61" s="810"/>
      <c r="M61" s="810"/>
      <c r="N61" s="810"/>
    </row>
    <row r="62" spans="2:14" x14ac:dyDescent="0.2">
      <c r="B62" s="300"/>
      <c r="C62" s="301"/>
      <c r="D62" s="302"/>
      <c r="E62" s="302"/>
      <c r="F62" s="298"/>
      <c r="G62" s="298"/>
      <c r="H62" s="299"/>
      <c r="I62" s="311"/>
      <c r="J62" s="816"/>
      <c r="K62" s="810"/>
      <c r="L62" s="810"/>
      <c r="M62" s="810"/>
      <c r="N62" s="810"/>
    </row>
    <row r="63" spans="2:14" x14ac:dyDescent="0.2">
      <c r="B63" s="259"/>
      <c r="C63" s="298"/>
      <c r="D63" s="298"/>
      <c r="E63" s="298"/>
      <c r="F63" s="298"/>
      <c r="G63" s="298"/>
      <c r="H63" s="299"/>
      <c r="I63" s="263"/>
      <c r="J63" s="810"/>
      <c r="K63" s="810"/>
      <c r="L63" s="810"/>
      <c r="M63" s="810"/>
      <c r="N63" s="810"/>
    </row>
    <row r="64" spans="2:14" x14ac:dyDescent="0.2">
      <c r="B64" s="258" t="s">
        <v>579</v>
      </c>
      <c r="C64" s="298"/>
      <c r="D64" s="298"/>
      <c r="E64" s="298"/>
      <c r="F64" s="298"/>
      <c r="G64" s="298"/>
      <c r="H64" s="299"/>
      <c r="I64" s="263"/>
      <c r="J64" s="810"/>
      <c r="K64" s="810"/>
      <c r="L64" s="810"/>
      <c r="M64" s="810"/>
      <c r="N64" s="810"/>
    </row>
    <row r="65" spans="2:9" ht="157.5" customHeight="1" x14ac:dyDescent="0.2">
      <c r="B65" s="971"/>
      <c r="C65" s="972"/>
      <c r="D65" s="972"/>
      <c r="E65" s="972"/>
      <c r="F65" s="972"/>
      <c r="G65" s="972"/>
      <c r="H65" s="973"/>
      <c r="I65" s="311" t="s">
        <v>580</v>
      </c>
    </row>
    <row r="66" spans="2:9" x14ac:dyDescent="0.2">
      <c r="B66" s="256"/>
      <c r="C66" s="810"/>
      <c r="D66" s="810"/>
      <c r="E66" s="810"/>
      <c r="F66" s="810"/>
      <c r="G66" s="810"/>
      <c r="H66" s="813"/>
      <c r="I66" s="263"/>
    </row>
    <row r="67" spans="2:9" x14ac:dyDescent="0.2">
      <c r="B67" s="258" t="s">
        <v>581</v>
      </c>
      <c r="C67" s="263"/>
      <c r="D67" s="263"/>
      <c r="E67" s="263"/>
      <c r="F67" s="263"/>
      <c r="G67" s="263"/>
      <c r="H67" s="271"/>
      <c r="I67" s="263"/>
    </row>
    <row r="68" spans="2:9" ht="157.5" customHeight="1" x14ac:dyDescent="0.2">
      <c r="B68" s="974"/>
      <c r="C68" s="975"/>
      <c r="D68" s="975"/>
      <c r="E68" s="975"/>
      <c r="F68" s="975"/>
      <c r="G68" s="975"/>
      <c r="H68" s="976"/>
      <c r="I68" s="311" t="s">
        <v>582</v>
      </c>
    </row>
    <row r="69" spans="2:9" x14ac:dyDescent="0.2">
      <c r="B69" s="262"/>
      <c r="C69" s="263"/>
      <c r="D69" s="263"/>
      <c r="E69" s="263"/>
      <c r="F69" s="263"/>
      <c r="G69" s="263"/>
      <c r="H69" s="271"/>
      <c r="I69" s="303"/>
    </row>
    <row r="70" spans="2:9" x14ac:dyDescent="0.2">
      <c r="B70" s="258" t="s">
        <v>583</v>
      </c>
      <c r="C70" s="263"/>
      <c r="D70" s="263"/>
      <c r="E70" s="263"/>
      <c r="F70" s="263"/>
      <c r="G70" s="263"/>
      <c r="H70" s="271"/>
      <c r="I70" s="303"/>
    </row>
    <row r="71" spans="2:9" ht="51" customHeight="1" x14ac:dyDescent="0.2">
      <c r="B71" s="977" t="s">
        <v>584</v>
      </c>
      <c r="C71" s="978"/>
      <c r="D71" s="978"/>
      <c r="E71" s="978"/>
      <c r="F71" s="978"/>
      <c r="G71" s="978"/>
      <c r="H71" s="979"/>
      <c r="I71" s="303"/>
    </row>
    <row r="72" spans="2:9" x14ac:dyDescent="0.2">
      <c r="B72" s="262"/>
      <c r="C72" s="263"/>
      <c r="D72" s="263"/>
      <c r="E72" s="263"/>
      <c r="F72" s="263"/>
      <c r="G72" s="263"/>
      <c r="H72" s="271"/>
      <c r="I72" s="304"/>
    </row>
    <row r="73" spans="2:9" x14ac:dyDescent="0.2">
      <c r="B73" s="258" t="s">
        <v>585</v>
      </c>
      <c r="C73" s="263"/>
      <c r="D73" s="263"/>
      <c r="E73" s="263"/>
      <c r="F73" s="263"/>
      <c r="G73" s="263"/>
      <c r="H73" s="271"/>
      <c r="I73" s="304"/>
    </row>
    <row r="74" spans="2:9" x14ac:dyDescent="0.2">
      <c r="B74" s="262"/>
      <c r="C74" s="263"/>
      <c r="D74" s="263"/>
      <c r="E74" s="263"/>
      <c r="F74" s="263"/>
      <c r="G74" s="263"/>
      <c r="H74" s="271"/>
      <c r="I74" s="304"/>
    </row>
    <row r="75" spans="2:9" x14ac:dyDescent="0.2">
      <c r="B75" s="262" t="s">
        <v>586</v>
      </c>
      <c r="C75" s="980"/>
      <c r="D75" s="981"/>
      <c r="E75" s="305"/>
      <c r="F75" s="305"/>
      <c r="G75" s="263"/>
      <c r="H75" s="271"/>
      <c r="I75" s="304"/>
    </row>
    <row r="76" spans="2:9" x14ac:dyDescent="0.2">
      <c r="B76" s="262" t="s">
        <v>587</v>
      </c>
      <c r="C76" s="985"/>
      <c r="D76" s="985"/>
      <c r="E76" s="306" t="s">
        <v>588</v>
      </c>
      <c r="F76" s="307"/>
      <c r="G76" s="263"/>
      <c r="H76" s="271"/>
      <c r="I76" s="304"/>
    </row>
    <row r="77" spans="2:9" x14ac:dyDescent="0.2">
      <c r="B77" s="262" t="s">
        <v>589</v>
      </c>
      <c r="C77" s="980"/>
      <c r="D77" s="986"/>
      <c r="E77" s="986"/>
      <c r="F77" s="981"/>
      <c r="G77" s="263"/>
      <c r="H77" s="271"/>
      <c r="I77" s="304"/>
    </row>
    <row r="78" spans="2:9" x14ac:dyDescent="0.2">
      <c r="B78" s="262"/>
      <c r="C78" s="263"/>
      <c r="D78" s="263"/>
      <c r="E78" s="263"/>
      <c r="F78" s="263"/>
      <c r="G78" s="263"/>
      <c r="H78" s="271"/>
      <c r="I78" s="304"/>
    </row>
    <row r="79" spans="2:9" x14ac:dyDescent="0.2">
      <c r="B79" s="262" t="s">
        <v>590</v>
      </c>
      <c r="C79" s="263"/>
      <c r="D79" s="263"/>
      <c r="E79" s="263"/>
      <c r="F79" s="263"/>
      <c r="G79" s="263"/>
      <c r="H79" s="271"/>
      <c r="I79" s="304"/>
    </row>
    <row r="80" spans="2:9" x14ac:dyDescent="0.2">
      <c r="B80" s="262"/>
      <c r="C80" s="263"/>
      <c r="D80" s="263"/>
      <c r="E80" s="263"/>
      <c r="F80" s="263"/>
      <c r="G80" s="263"/>
      <c r="H80" s="271"/>
      <c r="I80" s="304"/>
    </row>
    <row r="81" spans="2:9" x14ac:dyDescent="0.2">
      <c r="B81" s="262" t="s">
        <v>591</v>
      </c>
      <c r="C81" s="980"/>
      <c r="D81" s="986"/>
      <c r="E81" s="986"/>
      <c r="F81" s="981"/>
      <c r="G81" s="263"/>
      <c r="H81" s="271"/>
      <c r="I81" s="304"/>
    </row>
    <row r="82" spans="2:9" x14ac:dyDescent="0.2">
      <c r="B82" s="262" t="s">
        <v>220</v>
      </c>
      <c r="C82" s="967"/>
      <c r="D82" s="968"/>
      <c r="E82" s="263"/>
      <c r="F82" s="263"/>
      <c r="G82" s="263"/>
      <c r="H82" s="271"/>
      <c r="I82" s="304"/>
    </row>
    <row r="83" spans="2:9" ht="16.5" thickBot="1" x14ac:dyDescent="0.25">
      <c r="B83" s="256"/>
      <c r="C83" s="810"/>
      <c r="D83" s="810"/>
      <c r="E83" s="810"/>
      <c r="F83" s="810"/>
      <c r="G83" s="810"/>
      <c r="H83" s="308" t="str">
        <f ca="1">"© Salix "&amp;YEAR(NOW())</f>
        <v>© Salix 2024</v>
      </c>
    </row>
    <row r="84" spans="2:9" ht="16.5" thickBot="1" x14ac:dyDescent="0.25">
      <c r="B84" s="309"/>
      <c r="C84" s="822"/>
      <c r="D84" s="822"/>
      <c r="E84" s="822"/>
      <c r="F84" s="822"/>
      <c r="G84" s="822"/>
      <c r="H84" s="823"/>
    </row>
    <row r="86" spans="2:9" ht="16.5" hidden="1" thickBot="1" x14ac:dyDescent="0.25">
      <c r="C86" s="810"/>
      <c r="D86" s="810"/>
      <c r="E86" s="810"/>
      <c r="F86" s="810"/>
      <c r="G86" s="810"/>
      <c r="H86" s="810"/>
    </row>
    <row r="87" spans="2:9" ht="16.5" hidden="1" thickBot="1" x14ac:dyDescent="0.25">
      <c r="B87" s="438"/>
      <c r="C87" s="438" t="s">
        <v>592</v>
      </c>
      <c r="D87" s="438" t="s">
        <v>593</v>
      </c>
      <c r="E87" s="439" t="s">
        <v>594</v>
      </c>
      <c r="F87" s="810"/>
      <c r="G87" s="810"/>
      <c r="H87" s="810"/>
    </row>
    <row r="88" spans="2:9" hidden="1" x14ac:dyDescent="0.2">
      <c r="B88" s="440" t="s">
        <v>595</v>
      </c>
      <c r="C88" s="440">
        <v>1</v>
      </c>
      <c r="D88" s="440">
        <f>COUNTIF($B$14:$H$46,"Red")</f>
        <v>0</v>
      </c>
      <c r="E88" s="824">
        <f>C88*D88</f>
        <v>0</v>
      </c>
      <c r="F88" s="810"/>
      <c r="G88" s="810"/>
      <c r="H88" s="810"/>
    </row>
    <row r="89" spans="2:9" hidden="1" x14ac:dyDescent="0.2">
      <c r="B89" s="441" t="s">
        <v>596</v>
      </c>
      <c r="C89" s="441">
        <v>2</v>
      </c>
      <c r="D89" s="441">
        <f>COUNTIF($B$14:$H$46,"Amber")</f>
        <v>0</v>
      </c>
      <c r="E89" s="824">
        <f t="shared" ref="E89:E90" si="0">C89*D89</f>
        <v>0</v>
      </c>
      <c r="F89" s="810"/>
      <c r="G89" s="810"/>
      <c r="H89" s="810"/>
    </row>
    <row r="90" spans="2:9" hidden="1" x14ac:dyDescent="0.2">
      <c r="B90" s="440" t="s">
        <v>597</v>
      </c>
      <c r="C90" s="440">
        <v>3</v>
      </c>
      <c r="D90" s="440">
        <f>COUNTIF($B$14:$H$46,"Green")</f>
        <v>0</v>
      </c>
      <c r="E90" s="824">
        <f t="shared" si="0"/>
        <v>0</v>
      </c>
      <c r="F90" s="810"/>
      <c r="G90" s="810"/>
      <c r="H90" s="810"/>
    </row>
    <row r="91" spans="2:9" ht="16.5" hidden="1" thickBot="1" x14ac:dyDescent="0.25">
      <c r="B91" s="442"/>
      <c r="C91" s="442"/>
      <c r="D91" s="443" t="s">
        <v>598</v>
      </c>
      <c r="E91" s="825">
        <f>SUM(E88:E90)</f>
        <v>0</v>
      </c>
      <c r="F91" s="810"/>
      <c r="G91" s="810"/>
      <c r="H91" s="810"/>
    </row>
  </sheetData>
  <sheetProtection sheet="1" formatRows="0"/>
  <mergeCells count="51">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 ref="D30:H30"/>
    <mergeCell ref="B30:C30"/>
    <mergeCell ref="B31:H31"/>
    <mergeCell ref="D32:H32"/>
    <mergeCell ref="D40:H40"/>
    <mergeCell ref="B33:H33"/>
    <mergeCell ref="D34:H34"/>
    <mergeCell ref="B35:H35"/>
    <mergeCell ref="D36:H36"/>
    <mergeCell ref="D44:H44"/>
    <mergeCell ref="B39:H39"/>
    <mergeCell ref="B41:H41"/>
    <mergeCell ref="D42:H42"/>
    <mergeCell ref="B43:H43"/>
    <mergeCell ref="B52:B53"/>
    <mergeCell ref="C52:C53"/>
    <mergeCell ref="D52:H53"/>
    <mergeCell ref="I49:I50"/>
    <mergeCell ref="B45:H45"/>
    <mergeCell ref="D46:H46"/>
    <mergeCell ref="B49:B50"/>
    <mergeCell ref="C49:C50"/>
    <mergeCell ref="D49:H50"/>
    <mergeCell ref="I52:I53"/>
    <mergeCell ref="D55:H55"/>
    <mergeCell ref="C76:D76"/>
    <mergeCell ref="C77:F77"/>
    <mergeCell ref="C81:F81"/>
    <mergeCell ref="D57:H57"/>
    <mergeCell ref="C82:D82"/>
    <mergeCell ref="D61:H61"/>
    <mergeCell ref="B65:H65"/>
    <mergeCell ref="B68:H68"/>
    <mergeCell ref="B71:H71"/>
    <mergeCell ref="C75:D75"/>
  </mergeCells>
  <conditionalFormatting sqref="C14">
    <cfRule type="containsText" dxfId="41" priority="14" operator="containsText" text="Amber">
      <formula>NOT(ISERROR(SEARCH("Amber",C14)))</formula>
    </cfRule>
    <cfRule type="containsText" dxfId="40" priority="13" operator="containsText" text="Green">
      <formula>NOT(ISERROR(SEARCH("Green",C14)))</formula>
    </cfRule>
  </conditionalFormatting>
  <conditionalFormatting sqref="C16">
    <cfRule type="containsText" dxfId="38" priority="67" operator="containsText" text="Green">
      <formula>NOT(ISERROR(SEARCH("Green",C16)))</formula>
    </cfRule>
    <cfRule type="containsText" dxfId="36" priority="68" operator="containsText" text="Amber">
      <formula>NOT(ISERROR(SEARCH("Amber",C16)))</formula>
    </cfRule>
  </conditionalFormatting>
  <conditionalFormatting sqref="C18">
    <cfRule type="containsText" dxfId="35" priority="10" operator="containsText" text="Green">
      <formula>NOT(ISERROR(SEARCH("Green",C18)))</formula>
    </cfRule>
    <cfRule type="containsText" dxfId="34" priority="11" operator="containsText" text="Amber">
      <formula>NOT(ISERROR(SEARCH("Amber",C18)))</formula>
    </cfRule>
  </conditionalFormatting>
  <conditionalFormatting sqref="C20">
    <cfRule type="containsText" dxfId="32" priority="62" operator="containsText" text="Amber">
      <formula>NOT(ISERROR(SEARCH("Amber",C20)))</formula>
    </cfRule>
    <cfRule type="containsText" dxfId="31" priority="61" operator="containsText" text="Green">
      <formula>NOT(ISERROR(SEARCH("Green",C20)))</formula>
    </cfRule>
  </conditionalFormatting>
  <conditionalFormatting sqref="C22">
    <cfRule type="containsText" dxfId="29" priority="7" operator="containsText" text="Green">
      <formula>NOT(ISERROR(SEARCH("Green",C22)))</formula>
    </cfRule>
    <cfRule type="containsText" dxfId="28" priority="8" operator="containsText" text="Amber">
      <formula>NOT(ISERROR(SEARCH("Amber",C22)))</formula>
    </cfRule>
  </conditionalFormatting>
  <conditionalFormatting sqref="C26:C29">
    <cfRule type="containsText" dxfId="26" priority="2" operator="containsText" text="Amber">
      <formula>NOT(ISERROR(SEARCH("Amber",C26)))</formula>
    </cfRule>
    <cfRule type="containsText" dxfId="24" priority="1" operator="containsText" text="Green">
      <formula>NOT(ISERROR(SEARCH("Green",C26)))</formula>
    </cfRule>
  </conditionalFormatting>
  <conditionalFormatting sqref="C32">
    <cfRule type="containsText" dxfId="23" priority="44" operator="containsText" text="Amber">
      <formula>NOT(ISERROR(SEARCH("Amber",C32)))</formula>
    </cfRule>
    <cfRule type="containsText" dxfId="22" priority="43" operator="containsText" text="Green">
      <formula>NOT(ISERROR(SEARCH("Green",C32)))</formula>
    </cfRule>
  </conditionalFormatting>
  <conditionalFormatting sqref="C34">
    <cfRule type="containsText" dxfId="20" priority="40" operator="containsText" text="Green">
      <formula>NOT(ISERROR(SEARCH("Green",C34)))</formula>
    </cfRule>
    <cfRule type="containsText" dxfId="19" priority="41" operator="containsText" text="Amber">
      <formula>NOT(ISERROR(SEARCH("Amber",C34)))</formula>
    </cfRule>
  </conditionalFormatting>
  <conditionalFormatting sqref="C36">
    <cfRule type="containsText" dxfId="17" priority="37" operator="containsText" text="Green">
      <formula>NOT(ISERROR(SEARCH("Green",C36)))</formula>
    </cfRule>
    <cfRule type="containsText" dxfId="16" priority="38" operator="containsText" text="Amber">
      <formula>NOT(ISERROR(SEARCH("Amber",C36)))</formula>
    </cfRule>
  </conditionalFormatting>
  <conditionalFormatting sqref="C40">
    <cfRule type="containsText" dxfId="14" priority="35" operator="containsText" text="Amber">
      <formula>NOT(ISERROR(SEARCH("Amber",C40)))</formula>
    </cfRule>
    <cfRule type="containsText" dxfId="12" priority="34" operator="containsText" text="Green">
      <formula>NOT(ISERROR(SEARCH("Green",C40)))</formula>
    </cfRule>
  </conditionalFormatting>
  <conditionalFormatting sqref="C42">
    <cfRule type="containsText" dxfId="10" priority="32" operator="containsText" text="Amber">
      <formula>NOT(ISERROR(SEARCH("Amber",C42)))</formula>
    </cfRule>
    <cfRule type="containsText" dxfId="9" priority="31" operator="containsText" text="Green">
      <formula>NOT(ISERROR(SEARCH("Green",C42)))</formula>
    </cfRule>
  </conditionalFormatting>
  <conditionalFormatting sqref="C44">
    <cfRule type="containsText" dxfId="8" priority="29" operator="containsText" text="Amber">
      <formula>NOT(ISERROR(SEARCH("Amber",C44)))</formula>
    </cfRule>
    <cfRule type="containsText" dxfId="6" priority="28" operator="containsText" text="Green">
      <formula>NOT(ISERROR(SEARCH("Green",C44)))</formula>
    </cfRule>
  </conditionalFormatting>
  <conditionalFormatting sqref="C46">
    <cfRule type="containsText" dxfId="5" priority="25" operator="containsText" text="Green">
      <formula>NOT(ISERROR(SEARCH("Green",C46)))</formula>
    </cfRule>
    <cfRule type="containsText" dxfId="4" priority="26" operator="containsText" text="Amber">
      <formula>NOT(ISERROR(SEARCH("Amber",C46)))</formula>
    </cfRule>
  </conditionalFormatting>
  <conditionalFormatting sqref="C61:C62">
    <cfRule type="containsText" dxfId="2" priority="70" operator="containsText" text="Green">
      <formula>NOT(ISERROR(SEARCH("Green",C61)))</formula>
    </cfRule>
    <cfRule type="containsText" dxfId="1" priority="71" operator="containsText" text="Amber">
      <formula>NOT(ISERROR(SEARCH("Amber",C61)))</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customProperties>
    <customPr name="GUID" r:id="rId2"/>
  </customProperties>
  <drawing r:id="rId3"/>
  <extLst>
    <ext xmlns:x14="http://schemas.microsoft.com/office/spreadsheetml/2009/9/main" uri="{78C0D931-6437-407d-A8EE-F0AAD7539E65}">
      <x14:conditionalFormattings>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3" operator="containsText" id="{5FC3F83D-8357-4B2E-BBAD-123ED4732D39}">
            <xm:f>NOT(ISERROR(SEARCH("Red",C26)))</xm:f>
            <xm:f>"Red"</xm:f>
            <x14:dxf>
              <font>
                <color rgb="FFFF0000"/>
              </font>
              <fill>
                <patternFill>
                  <bgColor rgb="FFFF0000"/>
                </patternFill>
              </fill>
            </x14:dxf>
          </x14:cfRule>
          <xm:sqref>C26:C29</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A57CAA-3A4F-47BC-983E-3393C2670588}">
  <ds:schemaRefs>
    <ds:schemaRef ds:uri="http://schemas.microsoft.com/sharepoint/v3/contenttype/forms"/>
  </ds:schemaRefs>
</ds:datastoreItem>
</file>

<file path=customXml/itemProps2.xml><?xml version="1.0" encoding="utf-8"?>
<ds:datastoreItem xmlns:ds="http://schemas.openxmlformats.org/officeDocument/2006/customXml" ds:itemID="{51095DF9-7D38-434A-BE17-31AE48FEAC77}">
  <ds:schemaRefs>
    <ds:schemaRef ds:uri="http://schemas.microsoft.com/office/2006/documentManagement/types"/>
    <ds:schemaRef ds:uri="http://www.w3.org/XML/1998/namespace"/>
    <ds:schemaRef ds:uri="http://schemas.microsoft.com/office/2006/metadata/properties"/>
    <ds:schemaRef ds:uri="96adaec6-6188-43bf-aec5-291c802dcb1b"/>
    <ds:schemaRef ds:uri="http://purl.org/dc/elements/1.1/"/>
    <ds:schemaRef ds:uri="http://schemas.microsoft.com/office/infopath/2007/PartnerControls"/>
    <ds:schemaRef ds:uri="http://schemas.openxmlformats.org/package/2006/metadata/core-properties"/>
    <ds:schemaRef ds:uri="8db9bdd8-629b-441c-9eb6-e46a2e9dae03"/>
    <ds:schemaRef ds:uri="35b6a7de-9e1a-4b3d-8e58-e2a3da2946eb"/>
    <ds:schemaRef ds:uri="http://purl.org/dc/dcmitype/"/>
    <ds:schemaRef ds:uri="http://purl.org/dc/terms/"/>
  </ds:schemaRefs>
</ds:datastoreItem>
</file>

<file path=customXml/itemProps3.xml><?xml version="1.0" encoding="utf-8"?>
<ds:datastoreItem xmlns:ds="http://schemas.openxmlformats.org/officeDocument/2006/customXml" ds:itemID="{2DE9998D-E465-4B5F-B938-6FE8EA63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47</vt:i4>
      </vt:variant>
    </vt:vector>
  </HeadingPairs>
  <TitlesOfParts>
    <vt:vector size="59" baseType="lpstr">
      <vt:lpstr>Terms and Conditions</vt:lpstr>
      <vt:lpstr>Guidance Notes</vt:lpstr>
      <vt:lpstr>Project Compliance Tool</vt:lpstr>
      <vt:lpstr>Business Case</vt:lpstr>
      <vt:lpstr>Loan Amortisation</vt:lpstr>
      <vt:lpstr>Eligible Technologies</vt:lpstr>
      <vt:lpstr>Extra look-up</vt:lpstr>
      <vt:lpstr>Assessment Form</vt:lpstr>
      <vt:lpstr>Additionality Criteria</vt:lpstr>
      <vt:lpstr>Definitions</vt:lpstr>
      <vt:lpstr>PETREAD</vt:lpstr>
      <vt:lpstr>Revision History</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Oluwagbemiga (Gbenga) Adenaike</cp:lastModifiedBy>
  <cp:revision/>
  <dcterms:created xsi:type="dcterms:W3CDTF">2008-09-24T10:06:48Z</dcterms:created>
  <dcterms:modified xsi:type="dcterms:W3CDTF">2024-07-17T09:13:24Z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