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printerSettings/printerSettings1.bin" ContentType="application/vnd.openxmlformats-officedocument.spreadsheetml.printerSettings"/>
  <Override PartName="/xl/drawings/drawing1.xml" ContentType="application/vnd.openxmlformats-officedocument.drawing+xml"/>
  <Override PartName="/xl/printerSettings/printerSettings2.bin" ContentType="application/vnd.openxmlformats-officedocument.spreadsheetml.printerSettings"/>
  <Override PartName="/xl/drawings/drawing2.xml" ContentType="application/vnd.openxmlformats-officedocument.drawing+xml"/>
  <Override PartName="/xl/printerSettings/printerSettings3.bin" ContentType="application/vnd.openxmlformats-officedocument.spreadsheetml.printerSettings"/>
  <Override PartName="/xl/drawings/drawing3.xml" ContentType="application/vnd.openxmlformats-officedocument.drawing+xml"/>
  <Override PartName="/xl/printerSettings/printerSettings4.bin" ContentType="application/vnd.openxmlformats-officedocument.spreadsheetml.printerSettings"/>
  <Override PartName="/xl/drawings/drawing4.xml" ContentType="application/vnd.openxmlformats-officedocument.drawing+xml"/>
  <Override PartName="/xl/printerSettings/printerSettings5.bin" ContentType="application/vnd.openxmlformats-officedocument.spreadsheetml.printerSettings"/>
  <Override PartName="/xl/drawings/drawing5.xml" ContentType="application/vnd.openxmlformats-officedocument.drawing+xml"/>
  <Override PartName="/xl/tables/table1.xml" ContentType="application/vnd.openxmlformats-officedocument.spreadsheetml.table+xml"/>
  <Override PartName="/xl/printerSettings/printerSettings6.bin" ContentType="application/vnd.openxmlformats-officedocument.spreadsheetml.printerSettings"/>
  <Override PartName="/xl/drawings/drawing6.xml" ContentType="application/vnd.openxmlformats-officedocument.drawing+xml"/>
  <Override PartName="/xl/printerSettings/printerSettings7.bin" ContentType="application/vnd.openxmlformats-officedocument.spreadsheetml.printerSettings"/>
  <Override PartName="/xl/drawings/drawing7.xml" ContentType="application/vnd.openxmlformats-officedocument.drawing+xml"/>
  <Override PartName="/xl/printerSettings/printerSettings8.bin" ContentType="application/vnd.openxmlformats-officedocument.spreadsheetml.printerSettings"/>
  <Override PartName="/xl/comments1.xml" ContentType="application/vnd.openxmlformats-officedocument.spreadsheetml.comments+xml"/>
  <Override PartName="/xl/printerSettings/printerSettings9.bin" ContentType="application/vnd.openxmlformats-officedocument.spreadsheetml.printerSettings"/>
  <Override PartName="/xl/drawings/drawing8.xml" ContentType="application/vnd.openxmlformats-officedocument.drawing+xml"/>
  <Override PartName="/xl/printerSettings/printerSettings10.bin" ContentType="application/vnd.openxmlformats-officedocument.spreadsheetml.printerSettings"/>
  <Override PartName="/xl/drawings/drawing9.xml" ContentType="application/vnd.openxmlformats-officedocument.drawing+xml"/>
  <Override PartName="/xl/printerSettings/printerSettings11.bin" ContentType="application/vnd.openxmlformats-officedocument.spreadsheetml.printerSettings"/>
  <Override PartName="/xl/printerSettings/printerSettings12.bin" ContentType="application/vnd.openxmlformats-officedocument.spreadsheetml.printerSettings"/>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defaultThemeVersion="124226"/>
  <mc:AlternateContent xmlns:mc="http://schemas.openxmlformats.org/markup-compatibility/2006">
    <mc:Choice Requires="x15">
      <x15ac:absPath xmlns:x15ac="http://schemas.microsoft.com/office/spreadsheetml/2010/11/ac" url="https://salix365-my.sharepoint.com/personal/elan_parry-lowther_salixfinance_co_uk/Documents/"/>
    </mc:Choice>
  </mc:AlternateContent>
  <xr:revisionPtr revIDLastSave="0" documentId="8_{1BDEC0F0-EE87-443C-840B-02A2A6AF40FC}" xr6:coauthVersionLast="47" xr6:coauthVersionMax="47" xr10:uidLastSave="{00000000-0000-0000-0000-000000000000}"/>
  <workbookProtection workbookAlgorithmName="SHA-512" workbookHashValue="6w33Uua8bkOh69LExxWCXJ98ib8FjHSu5Z4bkFsMH1GxrdrEMjkIYRcQGhQGTVNEpmf6rJA6SBDK23Z33cz4Cg==" workbookSaltValue="gJLEgyhYynG9nSpv53mHsA==" workbookSpinCount="100000" lockStructure="1"/>
  <bookViews>
    <workbookView xWindow="-120" yWindow="-120" windowWidth="29040" windowHeight="15720" tabRatio="746" firstSheet="5" activeTab="5" xr2:uid="{00000000-000D-0000-FFFF-FFFF00000000}"/>
  </bookViews>
  <sheets>
    <sheet name="CRYSTAL_PERSIST" sheetId="4" state="veryHidden" r:id="rId1"/>
    <sheet name="Terms and Conditions" sheetId="28" r:id="rId2"/>
    <sheet name="Guidance Notes" sheetId="22" r:id="rId3"/>
    <sheet name="Project Compliance Tool" sheetId="2" r:id="rId4"/>
    <sheet name="Business Case" sheetId="26" r:id="rId5"/>
    <sheet name="Loan Amortisation" sheetId="36" r:id="rId6"/>
    <sheet name="Additionality Criteria" sheetId="19" r:id="rId7"/>
    <sheet name="Eligible Technologies" sheetId="35" r:id="rId8"/>
    <sheet name="Extra look-up" sheetId="11" state="hidden" r:id="rId9"/>
    <sheet name="Assessment Form" sheetId="32" state="hidden" r:id="rId10"/>
    <sheet name="Definitions" sheetId="21" r:id="rId11"/>
    <sheet name="PETREAD" sheetId="23" state="hidden" r:id="rId12"/>
    <sheet name="PETREAD 2" sheetId="37" state="hidden" r:id="rId13"/>
    <sheet name="Revision History" sheetId="7" r:id="rId14"/>
  </sheets>
  <externalReferences>
    <externalReference r:id="rId15"/>
    <externalReference r:id="rId16"/>
    <externalReference r:id="rId17"/>
    <externalReference r:id="rId18"/>
    <externalReference r:id="rId19"/>
    <externalReference r:id="rId20"/>
    <externalReference r:id="rId21"/>
    <externalReference r:id="rId22"/>
  </externalReferences>
  <definedNames>
    <definedName name="_xlnm._FilterDatabase" localSheetId="7" hidden="1">'Eligible Technologies'!$C$6:$G$69</definedName>
    <definedName name="_xlnm._FilterDatabase" localSheetId="11" hidden="1">PETREAD!$T$12:$U$22</definedName>
    <definedName name="Blank">'Extra look-up'!$A$26:$B$29</definedName>
    <definedName name="BMS" localSheetId="7">'Eligible Technologies'!$D$17:$D$18</definedName>
    <definedName name="BMS">'Eligible Technologies'!$D$17:$D$18</definedName>
    <definedName name="Boilers">#REF!</definedName>
    <definedName name="Building_Names" localSheetId="5">'Loan Amortisation'!#REF!:INDEX('Loan Amortisation'!#REF!,COUNTIF('Loan Amortisation'!#REF!,"?*"))</definedName>
    <definedName name="Building_Names">'[1]Backing Sheet - Buildings'!$E$2:INDEX('[1]Backing Sheet - Buildings'!$E$2:$E$101,COUNTIF('[1]Backing Sheet - Buildings'!$E$2:$E$101,"?*"))</definedName>
    <definedName name="Buildings" localSheetId="5">OFFSET('Loan Amortisation'!#REF!,0,0,COUNTA('Loan Amortisation'!#REF!),1)</definedName>
    <definedName name="Buildings">OFFSET('[1]Backing Sheet - Buildings'!A1,0,0,COUNTA('[1]Backing Sheet - Buildings'!$E$2:$E$101),1)</definedName>
    <definedName name="ChartXVals">OFFSET(INDEX(#REF!,MATCH("1",#REF!,0),1),0,0,COUNTIF(#REF!,"1"),1)</definedName>
    <definedName name="ChartYVals">OFFSET(INDEX(#REF!,MATCH("1",#REF!,0),3),0,0,COUNTIF(#REF!,"1"),1)</definedName>
    <definedName name="CHP">#REF!</definedName>
    <definedName name="CO2_factors">'Eligible Technologies'!$J$17:$K$26</definedName>
    <definedName name="Compressor">#REF!</definedName>
    <definedName name="Cooling">'Eligible Technologies'!$D$19:$D$23</definedName>
    <definedName name="Custom">#REF!</definedName>
    <definedName name="Data_Sheets">#REF!</definedName>
    <definedName name="DRange" localSheetId="7">'[2]Backing Sheet Buildings'!$D$2:INDEX('[2]Backing Sheet Buildings'!$D$2:$D$101,COUNTIF('[2]Backing Sheet Buildings'!$D$2:$D$101,"?*"))</definedName>
    <definedName name="DRange" localSheetId="5">'Loan Amortisation'!#REF!:INDEX('Loan Amortisation'!#REF!,COUNTIF('Loan Amortisation'!#REF!,"?*"))</definedName>
    <definedName name="DRange">'[1]Backing Sheet - Buildings'!$E$2:INDEX('[1]Backing Sheet - Buildings'!$E$2:$E$101,COUNTIF('[1]Backing Sheet - Buildings'!$E$2:$E$101,"?*"))</definedName>
    <definedName name="DRangeSystems" localSheetId="7">'[2]Backing Sheet Buildings'!$L$2:INDEX('[2]Backing Sheet Buildings'!$L$2:$L$101,COUNTIF('[2]Backing Sheet Buildings'!$L$2:$L$101,"?*"))</definedName>
    <definedName name="DRangeSystems" localSheetId="5">'Loan Amortisation'!#REF!:INDEX('Loan Amortisation'!#REF!,COUNTIF('Loan Amortisation'!#REF!,"?*"))</definedName>
    <definedName name="DRangeSystems">'[1]Backing Sheet - Buildings'!$M$2:INDEX('[1]Backing Sheet - Buildings'!$M$2:$M$101,COUNTIF('[1]Backing Sheet - Buildings'!$M$2:$M$101,"?*"))</definedName>
    <definedName name="Drawdown_1">'Loan Amortisation'!$P$31</definedName>
    <definedName name="Drawdown_1_Date">'Loan Amortisation'!$O$31</definedName>
    <definedName name="Drawdown_1_Financial_Year">'Extra look-up'!$R$3</definedName>
    <definedName name="Drawdown_2">'Loan Amortisation'!$P$32</definedName>
    <definedName name="Drawdown_2_Date">'Loan Amortisation'!$O$32</definedName>
    <definedName name="Drawdown_2_Financial_Year">'Extra look-up'!$S$3</definedName>
    <definedName name="Drawdown_3">'Loan Amortisation'!$P$33</definedName>
    <definedName name="Drawdown_3_Date">'Loan Amortisation'!$O$33</definedName>
    <definedName name="Drawdown_3_Financial_Year">'Extra look-up'!$T$3</definedName>
    <definedName name="EfW">'Eligible Technologies'!$D$24:$D$25</definedName>
    <definedName name="Emergency_Services">'Project Compliance Tool'!$AG$20:$AG$30</definedName>
    <definedName name="End_of_Life">#REF!</definedName>
    <definedName name="Energy_monitoring_and_management_platform">'Project Compliance Tool'!$C$72:$D$72</definedName>
    <definedName name="Energy_Savings_Calculations">#REF!</definedName>
    <definedName name="Energy_Types" localSheetId="5">#REF!</definedName>
    <definedName name="Energy_Types">'Eligible Technologies'!$J$17:$J$26</definedName>
    <definedName name="Final_Payment_Year">'Extra look-up'!$Q$3</definedName>
    <definedName name="First_Drawdown_Date">'Loan Amortisation'!$D$51</definedName>
    <definedName name="FPrice">'[3]Lookup Table'!$G$15:$G$87</definedName>
    <definedName name="FRange" localSheetId="7">'[2]Backing Sheet Buildings'!$K$2:INDEX('[2]Backing Sheet Buildings'!XFC1:XFC50,COUNTIF('[2]Backing Sheet Buildings'!$K$2:$K$51,"*?"))</definedName>
    <definedName name="FRange" localSheetId="5">'Loan Amortisation'!#REF!:INDEX('Loan Amortisation'!#REF!,COUNTIF('Loan Amortisation'!#REF!,"?*"))</definedName>
    <definedName name="FRange">'[1]Backing Sheet - Buildings'!$M$2:INDEX('[1]Backing Sheet - Buildings'!$M$2:$M$101,COUNTIF('[1]Backing Sheet - Buildings'!$M$2:$M$101,"?*"))</definedName>
    <definedName name="Fuel_type">'[4]Technology List &amp; Con. Factors'!$F$5:$F$14</definedName>
    <definedName name="Further_Education_Institute">'Project Compliance Tool'!$AH$20:$AH$37</definedName>
    <definedName name="Hand_dryers">#REF!</definedName>
    <definedName name="Heating">'Eligible Technologies'!$D$26:$D$32</definedName>
    <definedName name="Higher_Education_Institute">'Project Compliance Tool'!$AI$20:$AI$37</definedName>
    <definedName name="Hot_water">'Eligible Technologies'!$D$33:$D$35</definedName>
    <definedName name="Insulation_building_fabric">'Eligible Technologies'!$D$36:$D$43</definedName>
    <definedName name="Insulation_draught_proofing">'Eligible Technologies'!$D$44</definedName>
    <definedName name="Insulation_other">'Eligible Technologies'!$D$45:$D$49</definedName>
    <definedName name="Insulation_pipework">'Eligible Technologies'!$D$50:$D$51</definedName>
    <definedName name="Interest_Rate">'Loan Amortisation'!$D$50</definedName>
    <definedName name="IT">#REF!</definedName>
    <definedName name="Kitchen">#REF!</definedName>
    <definedName name="Lab">#REF!</definedName>
    <definedName name="LCH">'Eligible Technologies'!$D$7:$D$15</definedName>
    <definedName name="LEDs">'Eligible Technologies'!$D$52:$D$53</definedName>
    <definedName name="Lighting_controls">'Eligible Technologies'!$D$54:$D$55</definedName>
    <definedName name="Lighting_upgrades">'[5]Technology List &amp; Con. Factors'!#REF!</definedName>
    <definedName name="Local_Authority">'Project Compliance Tool'!$AJ$20:$AJ$33</definedName>
    <definedName name="Metering">'Extra look-up'!$A$27:$A$28</definedName>
    <definedName name="Minimum_Required_Repayment">'Loan Amortisation'!$P$18</definedName>
    <definedName name="Monitoring">'Extra look-up'!$A$31:$A$32</definedName>
    <definedName name="Motor_controls">'Eligible Technologies'!$D$56:$D$58</definedName>
    <definedName name="Motor_replacement">'Eligible Technologies'!$D$59</definedName>
    <definedName name="NHS">'Project Compliance Tool'!$AK$20:$AK$29</definedName>
    <definedName name="Office">#REF!</definedName>
    <definedName name="Operation_hours">[6]Dashboard!$D$28</definedName>
    <definedName name="Payback_Period_In_Years">'Loan Amortisation'!$P$15</definedName>
    <definedName name="Primary_School">'Project Compliance Tool'!$AL$20:$AL$30</definedName>
    <definedName name="_xlnm.Print_Area" localSheetId="6">'Additionality Criteria'!$A$2:$M$8</definedName>
    <definedName name="_xlnm.Print_Area" localSheetId="9">'Assessment Form'!$B$4:$H$86</definedName>
    <definedName name="_xlnm.Print_Area" localSheetId="4">'Business Case'!$C$2:$I$104</definedName>
    <definedName name="_xlnm.Print_Area" localSheetId="10">Definitions!$A$2:$M$8</definedName>
    <definedName name="_xlnm.Print_Area" localSheetId="7">'Eligible Technologies'!$C$3:$G$69</definedName>
    <definedName name="_xlnm.Print_Area" localSheetId="2">'Guidance Notes'!$A$1:$S$50</definedName>
    <definedName name="_xlnm.Print_Area" localSheetId="5">#REF!</definedName>
    <definedName name="_xlnm.Print_Area" localSheetId="13">'Revision History'!$B$1:$E$32</definedName>
    <definedName name="_xlnm.Print_Area" localSheetId="1">'Terms and Conditions'!$B$1:$B$12</definedName>
    <definedName name="_xlnm.Print_Area">#REF!</definedName>
    <definedName name="Project_Completion_Date">'Project Compliance Tool'!$D$9</definedName>
    <definedName name="Project_Completion_Financial_Year">'Extra look-up'!$P$3</definedName>
    <definedName name="Project_Programme">#REF!</definedName>
    <definedName name="Project_Start_Date">'Project Compliance Tool'!$C$9</definedName>
    <definedName name="Project_type" localSheetId="7">'[2]Extra look-up'!$A$3:$A$19</definedName>
    <definedName name="Project_type">'Extra look-up'!$A$3:$A$20</definedName>
    <definedName name="Project_Type_2">'Extra look-up'!$A$23:$A$24</definedName>
    <definedName name="Project_typee">#REF!</definedName>
    <definedName name="Recycling_Fund_England">'Extra look-up'!$G$81:$G$86</definedName>
    <definedName name="Recycling_Fund_England_HEI">'Extra look-up'!$G$80</definedName>
    <definedName name="Recycling_Fund_Scotland">'Extra look-up'!$G$94:$G$97</definedName>
    <definedName name="Recycling_Fund_Wales">'Extra look-up'!$G$103:$G$106</definedName>
    <definedName name="Renewables">'Eligible Technologies'!$D$60:$D$62</definedName>
    <definedName name="Risk_Register">#REF!</definedName>
    <definedName name="Salix_Decarbonisation_Fund">'Extra look-up'!$G$114:$G$119</definedName>
    <definedName name="Secondary_School">'Project Compliance Tool'!$AM$20:$AM$30</definedName>
    <definedName name="SEELS_England">'Extra look-up'!$G$87:$G$91</definedName>
    <definedName name="SEELS_Schools">'Extra look-up'!$G$92:$G$93</definedName>
    <definedName name="SEELS_Scotland">'Extra look-up'!$G$98:$G$102</definedName>
    <definedName name="Site_consumption">[7]Example!$C$19</definedName>
    <definedName name="Street_lighting">#REF!</definedName>
    <definedName name="Submission_Date">'Business Case'!$D$13</definedName>
    <definedName name="Support_Tool_Building_List" localSheetId="5">'Loan Amortisation'!#REF!:INDEX('Loan Amortisation'!#REF!,COUNTIF('Loan Amortisation'!#REF!,"?*"))</definedName>
    <definedName name="Support_Tool_Building_List">'[1]Backing Sheet - Buildings'!$Y$2:INDEX('[1]Backing Sheet - Buildings'!$Y$2:$Y$101,COUNTIF('[1]Backing Sheet - Buildings'!$Y$2:$Y$101,"?*"))</definedName>
    <definedName name="Swimming">#REF!</definedName>
    <definedName name="Time_switches">'Eligible Technologies'!$D$63</definedName>
    <definedName name="Total_ECM">'Project Compliance Tool'!$N$65</definedName>
    <definedName name="Total_Funding_Requested">'Project Compliance Tool'!$N$67</definedName>
    <definedName name="Total_MMM">'Project Compliance Tool'!$N$66</definedName>
    <definedName name="Traffic_lights">#REF!</definedName>
    <definedName name="Transformers">'Eligible Technologies'!#REF!</definedName>
    <definedName name="Unit_cost">[6]Dashboard!$D$27</definedName>
    <definedName name="Ventilation">'Eligible Technologies'!$D$64:$D$69</definedName>
    <definedName name="Voltage_reduction">'[8]Lookup Table'!#REF!</definedName>
    <definedName name="Wales_Funding_Programme">'Extra look-up'!$G$107:$G$113</definedName>
    <definedName name="Work_types">'Eligible Technologies'!$D$7:$D$15,'Eligible Technologies'!$D$7:$D$15,'Eligible Technologies'!$D$17:$D$69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3" i="2" l="1"/>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2" i="2"/>
  <c r="AD53" i="2"/>
  <c r="AD54" i="2"/>
  <c r="AD55" i="2"/>
  <c r="AD56" i="2"/>
  <c r="AD57" i="2"/>
  <c r="AD58" i="2"/>
  <c r="AD59" i="2"/>
  <c r="AD60" i="2"/>
  <c r="AD61" i="2"/>
  <c r="AD12" i="2"/>
  <c r="K17" i="35"/>
  <c r="AH116" i="2" l="1"/>
  <c r="AH117" i="2"/>
  <c r="AH118" i="2"/>
  <c r="AH119" i="2"/>
  <c r="AH120" i="2"/>
  <c r="AH121" i="2"/>
  <c r="AH122" i="2"/>
  <c r="AH123" i="2"/>
  <c r="AH124" i="2"/>
  <c r="AH125" i="2"/>
  <c r="AH126" i="2"/>
  <c r="AH127" i="2"/>
  <c r="AH128" i="2"/>
  <c r="AH129" i="2"/>
  <c r="AH130" i="2"/>
  <c r="AH131" i="2"/>
  <c r="AH132" i="2"/>
  <c r="AH133" i="2"/>
  <c r="AH134" i="2"/>
  <c r="AH135" i="2"/>
  <c r="AH136" i="2"/>
  <c r="AH137" i="2"/>
  <c r="AH138" i="2"/>
  <c r="AH139" i="2"/>
  <c r="AH140" i="2"/>
  <c r="AH141" i="2"/>
  <c r="AH142" i="2"/>
  <c r="AH143" i="2"/>
  <c r="AH144" i="2"/>
  <c r="AH145" i="2"/>
  <c r="AH146" i="2"/>
  <c r="AH147" i="2"/>
  <c r="AH148" i="2"/>
  <c r="AH149" i="2"/>
  <c r="AH150" i="2"/>
  <c r="AH151" i="2"/>
  <c r="AH152" i="2"/>
  <c r="AH153" i="2"/>
  <c r="D54" i="36"/>
  <c r="C70" i="36"/>
  <c r="Q31" i="36" l="1"/>
  <c r="U3" i="11"/>
  <c r="U5" i="11" s="1"/>
  <c r="U6" i="11" s="1"/>
  <c r="U7" i="11" s="1"/>
  <c r="U8" i="11" s="1"/>
  <c r="U9" i="11" s="1"/>
  <c r="U10" i="11" s="1"/>
  <c r="U11" i="11" s="1"/>
  <c r="U12" i="11" s="1"/>
  <c r="U13" i="11" s="1"/>
  <c r="U14" i="11" s="1"/>
  <c r="U15" i="11" s="1"/>
  <c r="U16" i="11" s="1"/>
  <c r="U17" i="11" s="1"/>
  <c r="U18" i="11" s="1"/>
  <c r="U19" i="11" s="1"/>
  <c r="U20" i="11" s="1"/>
  <c r="L70" i="36"/>
  <c r="D53" i="36"/>
  <c r="D52" i="36"/>
  <c r="D51" i="36"/>
  <c r="Q33" i="36"/>
  <c r="Q32" i="36"/>
  <c r="G53" i="36"/>
  <c r="Q70" i="36" l="1"/>
  <c r="P3" i="11"/>
  <c r="T3" i="11"/>
  <c r="S3" i="11"/>
  <c r="D70" i="36" l="1"/>
  <c r="D71" i="36" s="1"/>
  <c r="D72" i="36" s="1"/>
  <c r="D73" i="36" s="1"/>
  <c r="D74" i="36" s="1"/>
  <c r="D75" i="36" s="1"/>
  <c r="D76" i="36" s="1"/>
  <c r="D77" i="36" s="1"/>
  <c r="D78" i="36" s="1"/>
  <c r="D79" i="36" s="1"/>
  <c r="D80" i="36" s="1"/>
  <c r="D81" i="36" s="1"/>
  <c r="D82" i="36" s="1"/>
  <c r="D83" i="36" s="1"/>
  <c r="D84" i="36" s="1"/>
  <c r="D85" i="36" s="1"/>
  <c r="D86" i="36" s="1"/>
  <c r="D87" i="36" s="1"/>
  <c r="D88" i="36" s="1"/>
  <c r="D89" i="36" s="1"/>
  <c r="D90" i="36" s="1"/>
  <c r="D91" i="36" s="1"/>
  <c r="D92" i="36" s="1"/>
  <c r="D93" i="36" s="1"/>
  <c r="G52" i="36"/>
  <c r="O66" i="2" l="1"/>
  <c r="AE7" i="37" a="1"/>
  <c r="AE7" i="37" s="1"/>
  <c r="O7" i="37" a="1"/>
  <c r="O7" i="37" s="1"/>
  <c r="L7" i="37" a="1"/>
  <c r="L7" i="37" s="1"/>
  <c r="K7" i="37" a="1"/>
  <c r="K7" i="37" s="1"/>
  <c r="J7" i="37" a="1"/>
  <c r="J7" i="37" s="1"/>
  <c r="M71" i="2"/>
  <c r="M72" i="2"/>
  <c r="M73" i="2"/>
  <c r="M74" i="2"/>
  <c r="M75" i="2"/>
  <c r="M76" i="2"/>
  <c r="M77" i="2"/>
  <c r="M78" i="2"/>
  <c r="M79" i="2"/>
  <c r="M70" i="2"/>
  <c r="AH7" i="37"/>
  <c r="AG7" i="37"/>
  <c r="D38" i="37"/>
  <c r="D37" i="37"/>
  <c r="D36" i="37"/>
  <c r="D35" i="37"/>
  <c r="D34" i="37"/>
  <c r="D33" i="37"/>
  <c r="D32" i="37"/>
  <c r="D31" i="37"/>
  <c r="D30" i="37"/>
  <c r="D29" i="37"/>
  <c r="C30" i="37"/>
  <c r="C31" i="37"/>
  <c r="C32" i="37"/>
  <c r="C33" i="37"/>
  <c r="C34" i="37"/>
  <c r="C35" i="37"/>
  <c r="C36" i="37"/>
  <c r="C37" i="37"/>
  <c r="C38" i="37"/>
  <c r="C29" i="37"/>
  <c r="F30" i="37"/>
  <c r="F31" i="37"/>
  <c r="F32" i="37"/>
  <c r="F33" i="37"/>
  <c r="F34" i="37"/>
  <c r="F35" i="37"/>
  <c r="F36" i="37"/>
  <c r="F37" i="37"/>
  <c r="F38" i="37"/>
  <c r="F29" i="37"/>
  <c r="E30" i="37"/>
  <c r="E31" i="37"/>
  <c r="E32" i="37"/>
  <c r="E33" i="37"/>
  <c r="E34" i="37"/>
  <c r="E35" i="37"/>
  <c r="E36" i="37"/>
  <c r="E37" i="37"/>
  <c r="E38" i="37"/>
  <c r="E29" i="37"/>
  <c r="I30" i="37"/>
  <c r="I31" i="37"/>
  <c r="I32" i="37"/>
  <c r="J32" i="37" s="1"/>
  <c r="B32" i="37" s="1"/>
  <c r="I33" i="37"/>
  <c r="J33" i="37" s="1"/>
  <c r="B33" i="37" s="1"/>
  <c r="I34" i="37"/>
  <c r="J34" i="37" s="1"/>
  <c r="B34" i="37" s="1"/>
  <c r="I35" i="37"/>
  <c r="J35" i="37" s="1"/>
  <c r="B35" i="37" s="1"/>
  <c r="I36" i="37"/>
  <c r="J36" i="37" s="1"/>
  <c r="B36" i="37" s="1"/>
  <c r="I37" i="37"/>
  <c r="J37" i="37" s="1"/>
  <c r="B37" i="37" s="1"/>
  <c r="I38" i="37"/>
  <c r="J38" i="37" s="1"/>
  <c r="B38" i="37" s="1"/>
  <c r="I29" i="37"/>
  <c r="J29" i="37" s="1"/>
  <c r="B29" i="37" s="1"/>
  <c r="U17" i="37"/>
  <c r="U18" i="37"/>
  <c r="U19" i="37"/>
  <c r="T19" i="37" s="1"/>
  <c r="U20" i="37"/>
  <c r="T20" i="37" s="1"/>
  <c r="U21" i="37"/>
  <c r="T21" i="37" s="1"/>
  <c r="U22" i="37"/>
  <c r="T22" i="37" s="1"/>
  <c r="U23" i="37"/>
  <c r="T23" i="37" s="1"/>
  <c r="U15" i="37"/>
  <c r="U16" i="37"/>
  <c r="U14" i="37"/>
  <c r="T14" i="37" s="1"/>
  <c r="B14" i="37" s="1"/>
  <c r="R16" i="37"/>
  <c r="R17" i="37"/>
  <c r="R18" i="37"/>
  <c r="R19" i="37"/>
  <c r="R20" i="37"/>
  <c r="R21" i="37"/>
  <c r="R22" i="37"/>
  <c r="R23" i="37"/>
  <c r="C16" i="37"/>
  <c r="D16" i="37"/>
  <c r="E16" i="37"/>
  <c r="G16" i="37"/>
  <c r="H16" i="37"/>
  <c r="I16" i="37"/>
  <c r="J16" i="37"/>
  <c r="C17" i="37"/>
  <c r="D17" i="37"/>
  <c r="E17" i="37"/>
  <c r="G17" i="37"/>
  <c r="H17" i="37"/>
  <c r="I17" i="37"/>
  <c r="J17" i="37"/>
  <c r="C18" i="37"/>
  <c r="D18" i="37"/>
  <c r="E18" i="37"/>
  <c r="G18" i="37"/>
  <c r="H18" i="37"/>
  <c r="I18" i="37"/>
  <c r="J18" i="37"/>
  <c r="C19" i="37"/>
  <c r="D19" i="37"/>
  <c r="E19" i="37"/>
  <c r="G19" i="37"/>
  <c r="H19" i="37"/>
  <c r="I19" i="37"/>
  <c r="J19" i="37"/>
  <c r="C20" i="37"/>
  <c r="D20" i="37"/>
  <c r="E20" i="37"/>
  <c r="G20" i="37"/>
  <c r="H20" i="37"/>
  <c r="I20" i="37"/>
  <c r="J20" i="37"/>
  <c r="C21" i="37"/>
  <c r="D21" i="37"/>
  <c r="E21" i="37"/>
  <c r="G21" i="37"/>
  <c r="H21" i="37"/>
  <c r="I21" i="37"/>
  <c r="J21" i="37"/>
  <c r="C22" i="37"/>
  <c r="D22" i="37"/>
  <c r="E22" i="37"/>
  <c r="G22" i="37"/>
  <c r="H22" i="37"/>
  <c r="I22" i="37"/>
  <c r="J22" i="37"/>
  <c r="C23" i="37"/>
  <c r="D23" i="37"/>
  <c r="E23" i="37"/>
  <c r="G23" i="37"/>
  <c r="H23" i="37"/>
  <c r="I23" i="37"/>
  <c r="J23" i="37"/>
  <c r="R15" i="37"/>
  <c r="J15" i="37"/>
  <c r="I15" i="37"/>
  <c r="H15" i="37"/>
  <c r="G15" i="37"/>
  <c r="E15" i="37"/>
  <c r="D15" i="37"/>
  <c r="C15" i="37"/>
  <c r="R14" i="37"/>
  <c r="J14" i="37"/>
  <c r="I14" i="37"/>
  <c r="H14" i="37"/>
  <c r="G14" i="37"/>
  <c r="E14" i="37"/>
  <c r="D14" i="37"/>
  <c r="C14" i="37"/>
  <c r="C72" i="36" l="1"/>
  <c r="H70" i="36"/>
  <c r="F39" i="37"/>
  <c r="J30" i="37"/>
  <c r="B30" i="37" s="1"/>
  <c r="J31" i="37"/>
  <c r="B31" i="37" s="1"/>
  <c r="T16" i="37"/>
  <c r="B16" i="37" s="1"/>
  <c r="T18" i="37"/>
  <c r="B18" i="37" s="1"/>
  <c r="R24" i="37"/>
  <c r="T17" i="37"/>
  <c r="B17" i="37" s="1"/>
  <c r="B23" i="37"/>
  <c r="B21" i="37"/>
  <c r="B20" i="37"/>
  <c r="B22" i="37"/>
  <c r="B19" i="37"/>
  <c r="T15" i="37"/>
  <c r="B15" i="37" s="1"/>
  <c r="AJ7" i="37"/>
  <c r="AF7" i="37"/>
  <c r="AD7" i="37" a="1"/>
  <c r="AD7" i="37" s="1"/>
  <c r="Q7" i="37"/>
  <c r="P7" i="37"/>
  <c r="N7" i="37" a="1"/>
  <c r="N7" i="37" s="1"/>
  <c r="N67" i="2"/>
  <c r="D49" i="36" s="1"/>
  <c r="F7" i="37"/>
  <c r="E7" i="37"/>
  <c r="D7" i="37"/>
  <c r="C7" i="37"/>
  <c r="B7" i="37"/>
  <c r="H7" i="37" l="1"/>
  <c r="P34" i="36"/>
  <c r="P18" i="36"/>
  <c r="H72" i="36"/>
  <c r="G70" i="36"/>
  <c r="J70" i="36"/>
  <c r="K70" i="36"/>
  <c r="C73" i="36"/>
  <c r="M72" i="36" l="1"/>
  <c r="M70" i="36"/>
  <c r="S70" i="36" s="1"/>
  <c r="G72" i="36"/>
  <c r="J72" i="36"/>
  <c r="K72" i="36"/>
  <c r="C74" i="36"/>
  <c r="H73" i="36"/>
  <c r="M73" i="36" s="1"/>
  <c r="C71" i="36"/>
  <c r="H71" i="36" s="1"/>
  <c r="M71" i="36" s="1"/>
  <c r="G73" i="36" l="1"/>
  <c r="J73" i="36"/>
  <c r="K73" i="36"/>
  <c r="G71" i="36"/>
  <c r="J71" i="36"/>
  <c r="K71" i="36"/>
  <c r="C75" i="36"/>
  <c r="H74" i="36"/>
  <c r="M74" i="36" s="1"/>
  <c r="H75" i="36" l="1"/>
  <c r="M75" i="36" s="1"/>
  <c r="C76" i="36"/>
  <c r="G74" i="36"/>
  <c r="K74" i="36"/>
  <c r="J74" i="36"/>
  <c r="R3" i="11"/>
  <c r="H76" i="36" l="1"/>
  <c r="M76" i="36" s="1"/>
  <c r="C77" i="36"/>
  <c r="K75" i="36"/>
  <c r="J75" i="36"/>
  <c r="G75" i="36"/>
  <c r="G76" i="36" l="1"/>
  <c r="J76" i="36"/>
  <c r="K76" i="36"/>
  <c r="I72" i="36"/>
  <c r="I75" i="36"/>
  <c r="I70" i="36"/>
  <c r="N70" i="36" s="1"/>
  <c r="I73" i="36"/>
  <c r="I76" i="36"/>
  <c r="I71" i="36"/>
  <c r="I74" i="36"/>
  <c r="C78" i="36"/>
  <c r="H77" i="36"/>
  <c r="M77" i="36" s="1"/>
  <c r="P74" i="36" l="1"/>
  <c r="P73" i="36"/>
  <c r="P75" i="36"/>
  <c r="P71" i="36"/>
  <c r="P72" i="36"/>
  <c r="P76" i="36"/>
  <c r="P70" i="36"/>
  <c r="R70" i="36" s="1"/>
  <c r="C79" i="36"/>
  <c r="H79" i="36" s="1"/>
  <c r="M79" i="36" s="1"/>
  <c r="H78" i="36"/>
  <c r="M78" i="36" s="1"/>
  <c r="J77" i="36"/>
  <c r="K77" i="36"/>
  <c r="G77" i="36"/>
  <c r="I77" i="36"/>
  <c r="AJ12" i="2"/>
  <c r="F122" i="11"/>
  <c r="G122" i="11" s="1"/>
  <c r="F80" i="11"/>
  <c r="E6" i="11"/>
  <c r="F6" i="11" s="1"/>
  <c r="F76" i="11"/>
  <c r="O4" i="2" s="1"/>
  <c r="D11" i="26"/>
  <c r="I28" i="26"/>
  <c r="L9" i="2"/>
  <c r="O65" i="2" s="1"/>
  <c r="P77" i="36" l="1"/>
  <c r="K78" i="36"/>
  <c r="J78" i="36"/>
  <c r="G78" i="36"/>
  <c r="I78" i="36"/>
  <c r="K79" i="36"/>
  <c r="J79" i="36"/>
  <c r="G79" i="36"/>
  <c r="I79" i="36"/>
  <c r="C80" i="36"/>
  <c r="AI7" i="37"/>
  <c r="O67" i="2"/>
  <c r="G7" i="37" s="1"/>
  <c r="I7" i="37" s="1"/>
  <c r="D48" i="36"/>
  <c r="Q34" i="36"/>
  <c r="P66" i="36"/>
  <c r="A7" i="23"/>
  <c r="W14" i="2"/>
  <c r="P78" i="36" l="1"/>
  <c r="C81" i="36"/>
  <c r="H80" i="36"/>
  <c r="M80" i="36" s="1"/>
  <c r="P79" i="36"/>
  <c r="AC14" i="2"/>
  <c r="M16" i="37"/>
  <c r="G76" i="11"/>
  <c r="H81" i="36" l="1"/>
  <c r="M81" i="36" s="1"/>
  <c r="J80" i="36"/>
  <c r="K80" i="36"/>
  <c r="G80" i="36"/>
  <c r="I80" i="36"/>
  <c r="C82" i="36"/>
  <c r="G15" i="11"/>
  <c r="G16" i="1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G48" i="11"/>
  <c r="G49" i="11"/>
  <c r="G50" i="11"/>
  <c r="G51" i="11"/>
  <c r="G52" i="11"/>
  <c r="G53" i="11"/>
  <c r="G54" i="11"/>
  <c r="G55" i="11"/>
  <c r="E15" i="11"/>
  <c r="F15" i="11" s="1"/>
  <c r="E16" i="11"/>
  <c r="F16" i="11" s="1"/>
  <c r="E17" i="11"/>
  <c r="F17" i="11" s="1"/>
  <c r="Z23" i="2" s="1"/>
  <c r="E18" i="11"/>
  <c r="F18" i="11" s="1"/>
  <c r="E19" i="11"/>
  <c r="F19" i="11" s="1"/>
  <c r="Z25" i="2" s="1"/>
  <c r="E20" i="11"/>
  <c r="F20" i="11" s="1"/>
  <c r="E21" i="11"/>
  <c r="F21" i="11" s="1"/>
  <c r="E22" i="11"/>
  <c r="F22" i="11" s="1"/>
  <c r="E23" i="11"/>
  <c r="F23" i="11" s="1"/>
  <c r="E24" i="11"/>
  <c r="F24" i="11" s="1"/>
  <c r="E25" i="11"/>
  <c r="F25" i="11" s="1"/>
  <c r="Z31" i="2" s="1"/>
  <c r="E26" i="11"/>
  <c r="F26" i="11" s="1"/>
  <c r="E27" i="11"/>
  <c r="F27" i="11" s="1"/>
  <c r="Z33" i="2" s="1"/>
  <c r="E28" i="11"/>
  <c r="F28" i="11" s="1"/>
  <c r="E29" i="11"/>
  <c r="F29" i="11" s="1"/>
  <c r="Z35" i="2" s="1"/>
  <c r="E30" i="11"/>
  <c r="F30" i="11" s="1"/>
  <c r="E31" i="11"/>
  <c r="F31" i="11" s="1"/>
  <c r="E32" i="11"/>
  <c r="F32" i="11" s="1"/>
  <c r="E33" i="11"/>
  <c r="F33" i="11" s="1"/>
  <c r="Z39" i="2" s="1"/>
  <c r="E34" i="11"/>
  <c r="F34" i="11" s="1"/>
  <c r="E35" i="11"/>
  <c r="F35" i="11" s="1"/>
  <c r="Z41" i="2" s="1"/>
  <c r="E36" i="11"/>
  <c r="F36" i="11" s="1"/>
  <c r="E37" i="11"/>
  <c r="F37" i="11" s="1"/>
  <c r="Z43" i="2" s="1"/>
  <c r="E38" i="11"/>
  <c r="F38" i="11" s="1"/>
  <c r="E39" i="11"/>
  <c r="F39" i="11" s="1"/>
  <c r="E40" i="11"/>
  <c r="F40" i="11" s="1"/>
  <c r="E41" i="11"/>
  <c r="F41" i="11" s="1"/>
  <c r="Z47" i="2" s="1"/>
  <c r="E42" i="11"/>
  <c r="F42" i="11" s="1"/>
  <c r="E43" i="11"/>
  <c r="F43" i="11" s="1"/>
  <c r="Z49" i="2" s="1"/>
  <c r="E44" i="11"/>
  <c r="F44" i="11" s="1"/>
  <c r="E45" i="11"/>
  <c r="F45" i="11" s="1"/>
  <c r="E46" i="11"/>
  <c r="F46" i="11" s="1"/>
  <c r="E47" i="11"/>
  <c r="F47" i="11" s="1"/>
  <c r="E48" i="11"/>
  <c r="F48" i="11" s="1"/>
  <c r="E49" i="11"/>
  <c r="F49" i="11" s="1"/>
  <c r="Z55" i="2" s="1"/>
  <c r="E50" i="11"/>
  <c r="F50" i="11" s="1"/>
  <c r="E51" i="11"/>
  <c r="F51" i="11" s="1"/>
  <c r="Z57" i="2" s="1"/>
  <c r="E52" i="11"/>
  <c r="F52" i="11" s="1"/>
  <c r="E53" i="11"/>
  <c r="F53" i="11" s="1"/>
  <c r="E54" i="11"/>
  <c r="F54" i="11" s="1"/>
  <c r="E55" i="11"/>
  <c r="F55" i="11" s="1"/>
  <c r="D50" i="11"/>
  <c r="D51" i="11"/>
  <c r="D52" i="11"/>
  <c r="D53" i="11"/>
  <c r="D54" i="11"/>
  <c r="D55" i="11"/>
  <c r="D28" i="11"/>
  <c r="D29" i="11"/>
  <c r="D30" i="11"/>
  <c r="D31" i="11"/>
  <c r="D32" i="11"/>
  <c r="D33" i="11"/>
  <c r="D34" i="11"/>
  <c r="D35" i="11"/>
  <c r="D36" i="11"/>
  <c r="D37" i="11"/>
  <c r="D38" i="11"/>
  <c r="D39" i="11"/>
  <c r="D40" i="11"/>
  <c r="D41" i="11"/>
  <c r="D42" i="11"/>
  <c r="D43" i="11"/>
  <c r="D44" i="11"/>
  <c r="D45" i="11"/>
  <c r="D46" i="11"/>
  <c r="D47" i="11"/>
  <c r="D48" i="11"/>
  <c r="D49" i="11"/>
  <c r="D15" i="11"/>
  <c r="D16" i="11"/>
  <c r="D17" i="11"/>
  <c r="D18" i="11"/>
  <c r="D19" i="11"/>
  <c r="D20" i="11"/>
  <c r="D21" i="11"/>
  <c r="D22" i="11"/>
  <c r="D23" i="11"/>
  <c r="D24" i="11"/>
  <c r="D25" i="11"/>
  <c r="D26" i="11"/>
  <c r="D27" i="11"/>
  <c r="W21" i="2"/>
  <c r="W22" i="2"/>
  <c r="AC22" i="2" s="1"/>
  <c r="W23" i="2"/>
  <c r="AC23" i="2" s="1"/>
  <c r="W24" i="2"/>
  <c r="AC24" i="2" s="1"/>
  <c r="W25" i="2"/>
  <c r="AC25" i="2" s="1"/>
  <c r="W26" i="2"/>
  <c r="AC26" i="2" s="1"/>
  <c r="W27" i="2"/>
  <c r="AC27" i="2" s="1"/>
  <c r="W28" i="2"/>
  <c r="AC28" i="2" s="1"/>
  <c r="W29" i="2"/>
  <c r="AC29" i="2" s="1"/>
  <c r="W30" i="2"/>
  <c r="AC30" i="2" s="1"/>
  <c r="W31" i="2"/>
  <c r="AC31" i="2" s="1"/>
  <c r="W32" i="2"/>
  <c r="AC32" i="2" s="1"/>
  <c r="W33" i="2"/>
  <c r="AC33" i="2" s="1"/>
  <c r="W34" i="2"/>
  <c r="AC34" i="2" s="1"/>
  <c r="W35" i="2"/>
  <c r="AC35" i="2" s="1"/>
  <c r="W36" i="2"/>
  <c r="AC36" i="2" s="1"/>
  <c r="W37" i="2"/>
  <c r="AC37" i="2" s="1"/>
  <c r="W38" i="2"/>
  <c r="AC38" i="2" s="1"/>
  <c r="W39" i="2"/>
  <c r="AC39" i="2" s="1"/>
  <c r="W40" i="2"/>
  <c r="AC40" i="2" s="1"/>
  <c r="W41" i="2"/>
  <c r="AC41" i="2" s="1"/>
  <c r="W42" i="2"/>
  <c r="AC42" i="2" s="1"/>
  <c r="W43" i="2"/>
  <c r="AC43" i="2" s="1"/>
  <c r="W44" i="2"/>
  <c r="AC44" i="2" s="1"/>
  <c r="W45" i="2"/>
  <c r="AC45" i="2" s="1"/>
  <c r="W46" i="2"/>
  <c r="AC46" i="2" s="1"/>
  <c r="W47" i="2"/>
  <c r="AC47" i="2" s="1"/>
  <c r="W48" i="2"/>
  <c r="AC48" i="2" s="1"/>
  <c r="W49" i="2"/>
  <c r="AC49" i="2" s="1"/>
  <c r="W50" i="2"/>
  <c r="AC50" i="2" s="1"/>
  <c r="W51" i="2"/>
  <c r="AC51" i="2" s="1"/>
  <c r="W52" i="2"/>
  <c r="AC52" i="2" s="1"/>
  <c r="W53" i="2"/>
  <c r="AC53" i="2" s="1"/>
  <c r="W54" i="2"/>
  <c r="AC54" i="2" s="1"/>
  <c r="W55" i="2"/>
  <c r="AC55" i="2" s="1"/>
  <c r="W56" i="2"/>
  <c r="AC56" i="2" s="1"/>
  <c r="W57" i="2"/>
  <c r="AC57" i="2" s="1"/>
  <c r="W58" i="2"/>
  <c r="AC58" i="2" s="1"/>
  <c r="W59" i="2"/>
  <c r="AC59" i="2" s="1"/>
  <c r="W60" i="2"/>
  <c r="AC60" i="2" s="1"/>
  <c r="W61" i="2"/>
  <c r="AC61" i="2" s="1"/>
  <c r="M21" i="2"/>
  <c r="M22" i="2"/>
  <c r="P22" i="2" s="1"/>
  <c r="Q22" i="2" s="1"/>
  <c r="X22" i="2" s="1"/>
  <c r="G22" i="2" s="1"/>
  <c r="M23" i="2"/>
  <c r="P23" i="2" s="1"/>
  <c r="Q23" i="2" s="1"/>
  <c r="X23" i="2" s="1"/>
  <c r="G23" i="2" s="1"/>
  <c r="M24" i="2"/>
  <c r="M25" i="2"/>
  <c r="M26" i="2"/>
  <c r="M27" i="2"/>
  <c r="N27" i="2" s="1"/>
  <c r="M28" i="2"/>
  <c r="N28" i="2" s="1"/>
  <c r="M29" i="2"/>
  <c r="P29" i="2" s="1"/>
  <c r="Q29" i="2" s="1"/>
  <c r="X29" i="2" s="1"/>
  <c r="G29" i="2" s="1"/>
  <c r="M30" i="2"/>
  <c r="P30" i="2" s="1"/>
  <c r="Q30" i="2" s="1"/>
  <c r="X30" i="2" s="1"/>
  <c r="G30" i="2" s="1"/>
  <c r="M31" i="2"/>
  <c r="P31" i="2" s="1"/>
  <c r="Q31" i="2" s="1"/>
  <c r="X31" i="2" s="1"/>
  <c r="G31" i="2" s="1"/>
  <c r="M32" i="2"/>
  <c r="M33" i="2"/>
  <c r="M34" i="2"/>
  <c r="M35" i="2"/>
  <c r="M36" i="2"/>
  <c r="N36" i="2" s="1"/>
  <c r="M37" i="2"/>
  <c r="P37" i="2" s="1"/>
  <c r="Q37" i="2" s="1"/>
  <c r="X37" i="2" s="1"/>
  <c r="G37" i="2" s="1"/>
  <c r="M38" i="2"/>
  <c r="P38" i="2" s="1"/>
  <c r="Q38" i="2" s="1"/>
  <c r="X38" i="2" s="1"/>
  <c r="G38" i="2" s="1"/>
  <c r="M39" i="2"/>
  <c r="P39" i="2" s="1"/>
  <c r="Q39" i="2" s="1"/>
  <c r="X39" i="2" s="1"/>
  <c r="G39" i="2" s="1"/>
  <c r="M40" i="2"/>
  <c r="M41" i="2"/>
  <c r="M42" i="2"/>
  <c r="M43" i="2"/>
  <c r="M44" i="2"/>
  <c r="N44" i="2" s="1"/>
  <c r="M45" i="2"/>
  <c r="P45" i="2" s="1"/>
  <c r="Q45" i="2" s="1"/>
  <c r="X45" i="2" s="1"/>
  <c r="G45" i="2" s="1"/>
  <c r="M46" i="2"/>
  <c r="P46" i="2" s="1"/>
  <c r="Q46" i="2" s="1"/>
  <c r="X46" i="2" s="1"/>
  <c r="G46" i="2" s="1"/>
  <c r="M47" i="2"/>
  <c r="P47" i="2" s="1"/>
  <c r="Q47" i="2" s="1"/>
  <c r="X47" i="2" s="1"/>
  <c r="G47" i="2" s="1"/>
  <c r="M48" i="2"/>
  <c r="M49" i="2"/>
  <c r="M50" i="2"/>
  <c r="M51" i="2"/>
  <c r="M52" i="2"/>
  <c r="N52" i="2" s="1"/>
  <c r="M53" i="2"/>
  <c r="P53" i="2" s="1"/>
  <c r="Q53" i="2" s="1"/>
  <c r="X53" i="2" s="1"/>
  <c r="G53" i="2" s="1"/>
  <c r="M54" i="2"/>
  <c r="P54" i="2" s="1"/>
  <c r="Q54" i="2" s="1"/>
  <c r="X54" i="2" s="1"/>
  <c r="G54" i="2" s="1"/>
  <c r="M55" i="2"/>
  <c r="P55" i="2" s="1"/>
  <c r="Q55" i="2" s="1"/>
  <c r="X55" i="2" s="1"/>
  <c r="G55" i="2" s="1"/>
  <c r="M56" i="2"/>
  <c r="M57" i="2"/>
  <c r="M58" i="2"/>
  <c r="M59" i="2"/>
  <c r="M60" i="2"/>
  <c r="N60" i="2" s="1"/>
  <c r="M61" i="2"/>
  <c r="P61" i="2" s="1"/>
  <c r="Q61" i="2" s="1"/>
  <c r="X61" i="2" s="1"/>
  <c r="G61" i="2" s="1"/>
  <c r="W12" i="2"/>
  <c r="AO116" i="2"/>
  <c r="AO117" i="2"/>
  <c r="AO118" i="2"/>
  <c r="AO119" i="2"/>
  <c r="AO120" i="2"/>
  <c r="AO121" i="2"/>
  <c r="AO122" i="2"/>
  <c r="AO123" i="2"/>
  <c r="AO124" i="2"/>
  <c r="AO125" i="2"/>
  <c r="AO126" i="2"/>
  <c r="AO127" i="2"/>
  <c r="AO128" i="2"/>
  <c r="AO129" i="2"/>
  <c r="AO130" i="2"/>
  <c r="AO131" i="2"/>
  <c r="AO132" i="2"/>
  <c r="AO133" i="2"/>
  <c r="AO134" i="2"/>
  <c r="AO135" i="2"/>
  <c r="AO136" i="2"/>
  <c r="AO137" i="2"/>
  <c r="AO138" i="2"/>
  <c r="AO139" i="2"/>
  <c r="AO140" i="2"/>
  <c r="AO141" i="2"/>
  <c r="AO142" i="2"/>
  <c r="AO143" i="2"/>
  <c r="AO144" i="2"/>
  <c r="AO145" i="2"/>
  <c r="AO146" i="2"/>
  <c r="AO147" i="2"/>
  <c r="AO148" i="2"/>
  <c r="AO149" i="2"/>
  <c r="AO150" i="2"/>
  <c r="AO151" i="2"/>
  <c r="AO152" i="2"/>
  <c r="AO153" i="2"/>
  <c r="P21" i="2" l="1"/>
  <c r="Q21" i="2" s="1"/>
  <c r="X21" i="2" s="1"/>
  <c r="G21" i="2" s="1"/>
  <c r="K23" i="37"/>
  <c r="AC21" i="2"/>
  <c r="M23" i="37"/>
  <c r="I81" i="36"/>
  <c r="G81" i="36"/>
  <c r="K81" i="36"/>
  <c r="J81" i="36"/>
  <c r="H82" i="36"/>
  <c r="M82" i="36" s="1"/>
  <c r="P80" i="36"/>
  <c r="C83" i="36"/>
  <c r="AC12" i="2"/>
  <c r="M14" i="37"/>
  <c r="H15" i="11"/>
  <c r="AA21" i="2" s="1"/>
  <c r="H55" i="11"/>
  <c r="I55" i="11" s="1"/>
  <c r="H31" i="11"/>
  <c r="H47" i="11"/>
  <c r="V53" i="2" s="1"/>
  <c r="H23" i="11"/>
  <c r="V29" i="2" s="1"/>
  <c r="H39" i="11"/>
  <c r="V45" i="2" s="1"/>
  <c r="R32" i="2"/>
  <c r="S32" i="2" s="1"/>
  <c r="T32" i="2" s="1"/>
  <c r="U32" i="2" s="1"/>
  <c r="R38" i="2"/>
  <c r="S38" i="2" s="1"/>
  <c r="T38" i="2" s="1"/>
  <c r="U38" i="2" s="1"/>
  <c r="R22" i="2"/>
  <c r="S22" i="2" s="1"/>
  <c r="T22" i="2" s="1"/>
  <c r="U22" i="2" s="1"/>
  <c r="R30" i="2"/>
  <c r="S30" i="2" s="1"/>
  <c r="T30" i="2" s="1"/>
  <c r="U30" i="2" s="1"/>
  <c r="R52" i="2"/>
  <c r="S52" i="2" s="1"/>
  <c r="T52" i="2" s="1"/>
  <c r="U52" i="2" s="1"/>
  <c r="R25" i="2"/>
  <c r="S25" i="2" s="1"/>
  <c r="T25" i="2" s="1"/>
  <c r="U25" i="2" s="1"/>
  <c r="R60" i="2"/>
  <c r="S60" i="2" s="1"/>
  <c r="T60" i="2" s="1"/>
  <c r="U60" i="2" s="1"/>
  <c r="R21" i="2"/>
  <c r="S21" i="2" s="1"/>
  <c r="R40" i="2"/>
  <c r="S40" i="2" s="1"/>
  <c r="T40" i="2" s="1"/>
  <c r="U40" i="2" s="1"/>
  <c r="R28" i="2"/>
  <c r="S28" i="2" s="1"/>
  <c r="T28" i="2" s="1"/>
  <c r="U28" i="2" s="1"/>
  <c r="R27" i="2"/>
  <c r="S27" i="2" s="1"/>
  <c r="T27" i="2" s="1"/>
  <c r="U27" i="2" s="1"/>
  <c r="R29" i="2"/>
  <c r="S29" i="2" s="1"/>
  <c r="T29" i="2" s="1"/>
  <c r="U29" i="2" s="1"/>
  <c r="R34" i="2"/>
  <c r="S34" i="2" s="1"/>
  <c r="T34" i="2" s="1"/>
  <c r="U34" i="2" s="1"/>
  <c r="R31" i="2"/>
  <c r="S31" i="2" s="1"/>
  <c r="T31" i="2" s="1"/>
  <c r="U31" i="2" s="1"/>
  <c r="R41" i="2"/>
  <c r="S41" i="2" s="1"/>
  <c r="T41" i="2" s="1"/>
  <c r="U41" i="2" s="1"/>
  <c r="R58" i="2"/>
  <c r="S58" i="2" s="1"/>
  <c r="T58" i="2" s="1"/>
  <c r="U58" i="2" s="1"/>
  <c r="R55" i="2"/>
  <c r="S55" i="2" s="1"/>
  <c r="T55" i="2" s="1"/>
  <c r="U55" i="2" s="1"/>
  <c r="R43" i="2"/>
  <c r="S43" i="2" s="1"/>
  <c r="T43" i="2" s="1"/>
  <c r="U43" i="2" s="1"/>
  <c r="R35" i="2"/>
  <c r="S35" i="2" s="1"/>
  <c r="T35" i="2" s="1"/>
  <c r="U35" i="2" s="1"/>
  <c r="R54" i="2"/>
  <c r="S54" i="2" s="1"/>
  <c r="T54" i="2" s="1"/>
  <c r="U54" i="2" s="1"/>
  <c r="R50" i="2"/>
  <c r="S50" i="2" s="1"/>
  <c r="T50" i="2" s="1"/>
  <c r="U50" i="2" s="1"/>
  <c r="R46" i="2"/>
  <c r="S46" i="2" s="1"/>
  <c r="T46" i="2" s="1"/>
  <c r="U46" i="2" s="1"/>
  <c r="R33" i="2"/>
  <c r="S33" i="2" s="1"/>
  <c r="T33" i="2" s="1"/>
  <c r="U33" i="2" s="1"/>
  <c r="R24" i="2"/>
  <c r="S24" i="2" s="1"/>
  <c r="T24" i="2" s="1"/>
  <c r="U24" i="2" s="1"/>
  <c r="R37" i="2"/>
  <c r="S37" i="2" s="1"/>
  <c r="T37" i="2" s="1"/>
  <c r="U37" i="2" s="1"/>
  <c r="R48" i="2"/>
  <c r="S48" i="2" s="1"/>
  <c r="T48" i="2" s="1"/>
  <c r="U48" i="2" s="1"/>
  <c r="R26" i="2"/>
  <c r="S26" i="2" s="1"/>
  <c r="T26" i="2" s="1"/>
  <c r="U26" i="2" s="1"/>
  <c r="R47" i="2"/>
  <c r="S47" i="2" s="1"/>
  <c r="T47" i="2" s="1"/>
  <c r="U47" i="2" s="1"/>
  <c r="R57" i="2"/>
  <c r="S57" i="2" s="1"/>
  <c r="T57" i="2" s="1"/>
  <c r="U57" i="2" s="1"/>
  <c r="R53" i="2"/>
  <c r="S53" i="2" s="1"/>
  <c r="T53" i="2" s="1"/>
  <c r="U53" i="2" s="1"/>
  <c r="R51" i="2"/>
  <c r="S51" i="2" s="1"/>
  <c r="T51" i="2" s="1"/>
  <c r="U51" i="2" s="1"/>
  <c r="R56" i="2"/>
  <c r="S56" i="2" s="1"/>
  <c r="T56" i="2" s="1"/>
  <c r="U56" i="2" s="1"/>
  <c r="R36" i="2"/>
  <c r="S36" i="2" s="1"/>
  <c r="T36" i="2" s="1"/>
  <c r="U36" i="2" s="1"/>
  <c r="R44" i="2"/>
  <c r="S44" i="2" s="1"/>
  <c r="T44" i="2" s="1"/>
  <c r="U44" i="2" s="1"/>
  <c r="R39" i="2"/>
  <c r="S39" i="2" s="1"/>
  <c r="T39" i="2" s="1"/>
  <c r="U39" i="2" s="1"/>
  <c r="R42" i="2"/>
  <c r="S42" i="2" s="1"/>
  <c r="T42" i="2" s="1"/>
  <c r="U42" i="2" s="1"/>
  <c r="R49" i="2"/>
  <c r="S49" i="2" s="1"/>
  <c r="T49" i="2" s="1"/>
  <c r="U49" i="2" s="1"/>
  <c r="R59" i="2"/>
  <c r="S59" i="2" s="1"/>
  <c r="T59" i="2" s="1"/>
  <c r="U59" i="2" s="1"/>
  <c r="R23" i="2"/>
  <c r="S23" i="2" s="1"/>
  <c r="T23" i="2" s="1"/>
  <c r="U23" i="2" s="1"/>
  <c r="R45" i="2"/>
  <c r="S45" i="2" s="1"/>
  <c r="T45" i="2" s="1"/>
  <c r="U45" i="2" s="1"/>
  <c r="R61" i="2"/>
  <c r="S61" i="2" s="1"/>
  <c r="T61" i="2" s="1"/>
  <c r="U61" i="2" s="1"/>
  <c r="N43" i="2"/>
  <c r="P44" i="2"/>
  <c r="Q44" i="2" s="1"/>
  <c r="X44" i="2" s="1"/>
  <c r="G44" i="2" s="1"/>
  <c r="Z50" i="2"/>
  <c r="P60" i="2"/>
  <c r="Q60" i="2" s="1"/>
  <c r="X60" i="2" s="1"/>
  <c r="G60" i="2" s="1"/>
  <c r="P52" i="2"/>
  <c r="Q52" i="2" s="1"/>
  <c r="X52" i="2" s="1"/>
  <c r="G52" i="2" s="1"/>
  <c r="Z42" i="2"/>
  <c r="N59" i="2"/>
  <c r="P36" i="2"/>
  <c r="Q36" i="2" s="1"/>
  <c r="X36" i="2" s="1"/>
  <c r="G36" i="2" s="1"/>
  <c r="Z34" i="2"/>
  <c r="N51" i="2"/>
  <c r="P28" i="2"/>
  <c r="Q28" i="2" s="1"/>
  <c r="X28" i="2" s="1"/>
  <c r="G28" i="2" s="1"/>
  <c r="Z59" i="2"/>
  <c r="Z27" i="2"/>
  <c r="Z58" i="2"/>
  <c r="Z26" i="2"/>
  <c r="N35" i="2"/>
  <c r="Z51" i="2"/>
  <c r="Z61" i="2"/>
  <c r="Z53" i="2"/>
  <c r="Z45" i="2"/>
  <c r="Z37" i="2"/>
  <c r="Z29" i="2"/>
  <c r="Z21" i="2"/>
  <c r="Z60" i="2"/>
  <c r="Z52" i="2"/>
  <c r="Z44" i="2"/>
  <c r="Z36" i="2"/>
  <c r="Z28" i="2"/>
  <c r="Z56" i="2"/>
  <c r="Z48" i="2"/>
  <c r="Z40" i="2"/>
  <c r="Z32" i="2"/>
  <c r="Z24" i="2"/>
  <c r="Z54" i="2"/>
  <c r="Z46" i="2"/>
  <c r="Z38" i="2"/>
  <c r="Z30" i="2"/>
  <c r="Z22" i="2"/>
  <c r="N58" i="2"/>
  <c r="N50" i="2"/>
  <c r="N42" i="2"/>
  <c r="N34" i="2"/>
  <c r="N26" i="2"/>
  <c r="P59" i="2"/>
  <c r="Q59" i="2" s="1"/>
  <c r="X59" i="2" s="1"/>
  <c r="G59" i="2" s="1"/>
  <c r="P51" i="2"/>
  <c r="Q51" i="2" s="1"/>
  <c r="X51" i="2" s="1"/>
  <c r="G51" i="2" s="1"/>
  <c r="P43" i="2"/>
  <c r="Q43" i="2" s="1"/>
  <c r="X43" i="2" s="1"/>
  <c r="G43" i="2" s="1"/>
  <c r="P35" i="2"/>
  <c r="Q35" i="2" s="1"/>
  <c r="X35" i="2" s="1"/>
  <c r="G35" i="2" s="1"/>
  <c r="P27" i="2"/>
  <c r="Q27" i="2" s="1"/>
  <c r="X27" i="2" s="1"/>
  <c r="G27" i="2" s="1"/>
  <c r="N57" i="2"/>
  <c r="N49" i="2"/>
  <c r="N41" i="2"/>
  <c r="N33" i="2"/>
  <c r="N25" i="2"/>
  <c r="P58" i="2"/>
  <c r="Q58" i="2" s="1"/>
  <c r="X58" i="2" s="1"/>
  <c r="G58" i="2" s="1"/>
  <c r="P50" i="2"/>
  <c r="Q50" i="2" s="1"/>
  <c r="X50" i="2" s="1"/>
  <c r="G50" i="2" s="1"/>
  <c r="P42" i="2"/>
  <c r="Q42" i="2" s="1"/>
  <c r="X42" i="2" s="1"/>
  <c r="G42" i="2" s="1"/>
  <c r="P34" i="2"/>
  <c r="Q34" i="2" s="1"/>
  <c r="X34" i="2" s="1"/>
  <c r="G34" i="2" s="1"/>
  <c r="P26" i="2"/>
  <c r="Q26" i="2" s="1"/>
  <c r="X26" i="2" s="1"/>
  <c r="G26" i="2" s="1"/>
  <c r="N56" i="2"/>
  <c r="N48" i="2"/>
  <c r="N40" i="2"/>
  <c r="N32" i="2"/>
  <c r="N24" i="2"/>
  <c r="P57" i="2"/>
  <c r="Q57" i="2" s="1"/>
  <c r="X57" i="2" s="1"/>
  <c r="G57" i="2" s="1"/>
  <c r="P49" i="2"/>
  <c r="Q49" i="2" s="1"/>
  <c r="X49" i="2" s="1"/>
  <c r="G49" i="2" s="1"/>
  <c r="P41" i="2"/>
  <c r="Q41" i="2" s="1"/>
  <c r="X41" i="2" s="1"/>
  <c r="G41" i="2" s="1"/>
  <c r="P33" i="2"/>
  <c r="Q33" i="2" s="1"/>
  <c r="X33" i="2" s="1"/>
  <c r="G33" i="2" s="1"/>
  <c r="P25" i="2"/>
  <c r="Q25" i="2" s="1"/>
  <c r="X25" i="2" s="1"/>
  <c r="G25" i="2" s="1"/>
  <c r="V61" i="2"/>
  <c r="N55" i="2"/>
  <c r="N47" i="2"/>
  <c r="N39" i="2"/>
  <c r="N31" i="2"/>
  <c r="N23" i="2"/>
  <c r="P56" i="2"/>
  <c r="Q56" i="2" s="1"/>
  <c r="X56" i="2" s="1"/>
  <c r="G56" i="2" s="1"/>
  <c r="P48" i="2"/>
  <c r="Q48" i="2" s="1"/>
  <c r="X48" i="2" s="1"/>
  <c r="G48" i="2" s="1"/>
  <c r="P40" i="2"/>
  <c r="Q40" i="2" s="1"/>
  <c r="X40" i="2" s="1"/>
  <c r="G40" i="2" s="1"/>
  <c r="P32" i="2"/>
  <c r="Q32" i="2" s="1"/>
  <c r="X32" i="2" s="1"/>
  <c r="G32" i="2" s="1"/>
  <c r="P24" i="2"/>
  <c r="Q24" i="2" s="1"/>
  <c r="X24" i="2" s="1"/>
  <c r="G24" i="2" s="1"/>
  <c r="N54" i="2"/>
  <c r="N46" i="2"/>
  <c r="N38" i="2"/>
  <c r="N30" i="2"/>
  <c r="N22" i="2"/>
  <c r="N61" i="2"/>
  <c r="N53" i="2"/>
  <c r="N45" i="2"/>
  <c r="N37" i="2"/>
  <c r="N29" i="2"/>
  <c r="N21" i="2"/>
  <c r="L23" i="37" s="1"/>
  <c r="H38" i="11"/>
  <c r="V44" i="2" s="1"/>
  <c r="H29" i="11"/>
  <c r="V35" i="2" s="1"/>
  <c r="H50" i="11"/>
  <c r="H16" i="11"/>
  <c r="V22" i="2" s="1"/>
  <c r="H49" i="11"/>
  <c r="V55" i="2" s="1"/>
  <c r="H30" i="11"/>
  <c r="V36" i="2" s="1"/>
  <c r="H21" i="11"/>
  <c r="V27" i="2" s="1"/>
  <c r="H42" i="11"/>
  <c r="H41" i="11"/>
  <c r="V47" i="2" s="1"/>
  <c r="H46" i="11"/>
  <c r="V52" i="2" s="1"/>
  <c r="H20" i="11"/>
  <c r="V26" i="2" s="1"/>
  <c r="H37" i="11"/>
  <c r="H22" i="11"/>
  <c r="V28" i="2" s="1"/>
  <c r="H34" i="11"/>
  <c r="V40" i="2" s="1"/>
  <c r="H51" i="11"/>
  <c r="V57" i="2" s="1"/>
  <c r="Y57" i="2" s="1"/>
  <c r="H33" i="11"/>
  <c r="V39" i="2" s="1"/>
  <c r="H25" i="11"/>
  <c r="V31" i="2" s="1"/>
  <c r="H52" i="11"/>
  <c r="V58" i="2" s="1"/>
  <c r="H26" i="11"/>
  <c r="V32" i="2" s="1"/>
  <c r="H43" i="11"/>
  <c r="H44" i="11"/>
  <c r="H18" i="11"/>
  <c r="V24" i="2" s="1"/>
  <c r="H48" i="11"/>
  <c r="V54" i="2" s="1"/>
  <c r="H35" i="11"/>
  <c r="V41" i="2" s="1"/>
  <c r="H17" i="11"/>
  <c r="V23" i="2" s="1"/>
  <c r="H24" i="11"/>
  <c r="V30" i="2" s="1"/>
  <c r="H36" i="11"/>
  <c r="V42" i="2" s="1"/>
  <c r="H53" i="11"/>
  <c r="H40" i="11"/>
  <c r="V46" i="2" s="1"/>
  <c r="H27" i="11"/>
  <c r="V33" i="2" s="1"/>
  <c r="H54" i="11"/>
  <c r="V60" i="2" s="1"/>
  <c r="H28" i="11"/>
  <c r="V34" i="2" s="1"/>
  <c r="H45" i="11"/>
  <c r="H32" i="11"/>
  <c r="V38" i="2" s="1"/>
  <c r="H19" i="11"/>
  <c r="V25" i="2" s="1"/>
  <c r="N23" i="37" l="1"/>
  <c r="Q23" i="37" s="1"/>
  <c r="P81" i="36"/>
  <c r="I82" i="36"/>
  <c r="G82" i="36"/>
  <c r="K82" i="36"/>
  <c r="J82" i="36"/>
  <c r="H83" i="36"/>
  <c r="M83" i="36" s="1"/>
  <c r="C84" i="36"/>
  <c r="T21" i="2"/>
  <c r="O23" i="37"/>
  <c r="R12" i="2"/>
  <c r="I15" i="11"/>
  <c r="V21" i="2"/>
  <c r="AA61" i="2"/>
  <c r="V37" i="2"/>
  <c r="AB37" i="2" s="1"/>
  <c r="V59" i="2"/>
  <c r="Y59" i="2" s="1"/>
  <c r="V56" i="2"/>
  <c r="Y56" i="2" s="1"/>
  <c r="V43" i="2"/>
  <c r="Y43" i="2" s="1"/>
  <c r="V51" i="2"/>
  <c r="Y51" i="2" s="1"/>
  <c r="V50" i="2"/>
  <c r="Y50" i="2" s="1"/>
  <c r="V49" i="2"/>
  <c r="AB49" i="2" s="1"/>
  <c r="V48" i="2"/>
  <c r="Y48" i="2" s="1"/>
  <c r="I31" i="11"/>
  <c r="AA53" i="2"/>
  <c r="AB53" i="2"/>
  <c r="AA37" i="2"/>
  <c r="Y29" i="2"/>
  <c r="I39" i="11"/>
  <c r="AB45" i="2"/>
  <c r="I47" i="11"/>
  <c r="AA29" i="2"/>
  <c r="I23" i="11"/>
  <c r="AA45" i="2"/>
  <c r="AB57" i="2"/>
  <c r="AA25" i="2"/>
  <c r="I32" i="11"/>
  <c r="I45" i="11"/>
  <c r="AA34" i="2"/>
  <c r="I54" i="11"/>
  <c r="AA33" i="2"/>
  <c r="I40" i="11"/>
  <c r="I53" i="11"/>
  <c r="I36" i="11"/>
  <c r="AA30" i="2"/>
  <c r="AA23" i="2"/>
  <c r="AA41" i="2"/>
  <c r="I48" i="11"/>
  <c r="AA24" i="2"/>
  <c r="I44" i="11"/>
  <c r="I43" i="11"/>
  <c r="AA32" i="2"/>
  <c r="I52" i="11"/>
  <c r="AA31" i="2"/>
  <c r="AA39" i="2"/>
  <c r="I51" i="11"/>
  <c r="AA40" i="2"/>
  <c r="AA28" i="2"/>
  <c r="I37" i="11"/>
  <c r="AA26" i="2"/>
  <c r="I46" i="11"/>
  <c r="I42" i="11"/>
  <c r="Y27" i="2"/>
  <c r="AA36" i="2"/>
  <c r="I16" i="11"/>
  <c r="I50" i="11"/>
  <c r="Y35" i="2"/>
  <c r="I38" i="11"/>
  <c r="AB28" i="2"/>
  <c r="I30" i="11"/>
  <c r="AB36" i="2"/>
  <c r="AA52" i="2"/>
  <c r="AB42" i="2"/>
  <c r="I22" i="11"/>
  <c r="AA60" i="2"/>
  <c r="AA44" i="2"/>
  <c r="AA42" i="2"/>
  <c r="I28" i="11"/>
  <c r="AB26" i="2"/>
  <c r="I20" i="11"/>
  <c r="AA50" i="2"/>
  <c r="AB34" i="2"/>
  <c r="AA58" i="2"/>
  <c r="I34" i="11"/>
  <c r="AB38" i="2"/>
  <c r="AA27" i="2"/>
  <c r="I26" i="11"/>
  <c r="AB41" i="2"/>
  <c r="AA59" i="2"/>
  <c r="I35" i="11"/>
  <c r="AA43" i="2"/>
  <c r="AA51" i="2"/>
  <c r="AB24" i="2"/>
  <c r="I18" i="11"/>
  <c r="AB32" i="2"/>
  <c r="AA54" i="2"/>
  <c r="AA22" i="2"/>
  <c r="AB22" i="2"/>
  <c r="I24" i="11"/>
  <c r="I21" i="11"/>
  <c r="AA38" i="2"/>
  <c r="AB40" i="2"/>
  <c r="AA48" i="2"/>
  <c r="AA56" i="2"/>
  <c r="AB30" i="2"/>
  <c r="I29" i="11"/>
  <c r="Y44" i="2"/>
  <c r="AB44" i="2"/>
  <c r="Y54" i="2"/>
  <c r="AB54" i="2"/>
  <c r="Y52" i="2"/>
  <c r="AB52" i="2"/>
  <c r="Y60" i="2"/>
  <c r="AB60" i="2"/>
  <c r="Y61" i="2"/>
  <c r="AB61" i="2"/>
  <c r="Y45" i="2"/>
  <c r="Y53" i="2"/>
  <c r="Y46" i="2"/>
  <c r="AB46" i="2"/>
  <c r="AA46" i="2"/>
  <c r="AA35" i="2"/>
  <c r="Y47" i="2"/>
  <c r="AB47" i="2"/>
  <c r="Y55" i="2"/>
  <c r="AB55" i="2"/>
  <c r="AA57" i="2"/>
  <c r="AA49" i="2"/>
  <c r="AB33" i="2"/>
  <c r="I27" i="11"/>
  <c r="AB23" i="2"/>
  <c r="I17" i="11"/>
  <c r="AB25" i="2"/>
  <c r="I19" i="11"/>
  <c r="AB39" i="2"/>
  <c r="I49" i="11"/>
  <c r="AA55" i="2"/>
  <c r="I33" i="11"/>
  <c r="I41" i="11"/>
  <c r="AA47" i="2"/>
  <c r="AB31" i="2"/>
  <c r="I25" i="11"/>
  <c r="P82" i="36" l="1"/>
  <c r="C85" i="36"/>
  <c r="H84" i="36"/>
  <c r="M84" i="36" s="1"/>
  <c r="G83" i="36"/>
  <c r="J83" i="36"/>
  <c r="K83" i="36"/>
  <c r="I83" i="36"/>
  <c r="U21" i="2"/>
  <c r="P23" i="37"/>
  <c r="AB51" i="2"/>
  <c r="AB50" i="2"/>
  <c r="AB43" i="2"/>
  <c r="Y49" i="2"/>
  <c r="Y37" i="2"/>
  <c r="AB56" i="2"/>
  <c r="AB59" i="2"/>
  <c r="AB48" i="2"/>
  <c r="AB29" i="2"/>
  <c r="AB27" i="2"/>
  <c r="AB35" i="2"/>
  <c r="Y28" i="2"/>
  <c r="Y36" i="2"/>
  <c r="Y42" i="2"/>
  <c r="Y26" i="2"/>
  <c r="Y34" i="2"/>
  <c r="Y38" i="2"/>
  <c r="Y41" i="2"/>
  <c r="Y40" i="2"/>
  <c r="Y33" i="2"/>
  <c r="Y24" i="2"/>
  <c r="Y32" i="2"/>
  <c r="Y22" i="2"/>
  <c r="Y23" i="2"/>
  <c r="Y30" i="2"/>
  <c r="Y25" i="2"/>
  <c r="Y39" i="2"/>
  <c r="Y31" i="2"/>
  <c r="P83" i="36" l="1"/>
  <c r="C86" i="36"/>
  <c r="G84" i="36"/>
  <c r="K84" i="36"/>
  <c r="J84" i="36"/>
  <c r="I84" i="36"/>
  <c r="H85" i="36"/>
  <c r="M85" i="36" s="1"/>
  <c r="M12" i="2"/>
  <c r="K14" i="37" s="1"/>
  <c r="H86" i="36" l="1"/>
  <c r="M86" i="36" s="1"/>
  <c r="P84" i="36"/>
  <c r="G85" i="36"/>
  <c r="J85" i="36"/>
  <c r="K85" i="36"/>
  <c r="I85" i="36"/>
  <c r="C87" i="36"/>
  <c r="S12" i="2"/>
  <c r="N12" i="2"/>
  <c r="L14" i="37" s="1"/>
  <c r="J5" i="2"/>
  <c r="G86" i="36" l="1"/>
  <c r="J86" i="36"/>
  <c r="K86" i="36"/>
  <c r="P85" i="36"/>
  <c r="I86" i="36"/>
  <c r="C88" i="36"/>
  <c r="H87" i="36"/>
  <c r="M87" i="36" s="1"/>
  <c r="T12" i="2"/>
  <c r="O14" i="37"/>
  <c r="W20" i="2"/>
  <c r="W19" i="2"/>
  <c r="W18" i="2"/>
  <c r="W17" i="2"/>
  <c r="W16" i="2"/>
  <c r="W15" i="2"/>
  <c r="W13" i="2"/>
  <c r="AC16" i="2" l="1"/>
  <c r="M18" i="37"/>
  <c r="AC17" i="2"/>
  <c r="M19" i="37"/>
  <c r="P86" i="36"/>
  <c r="K87" i="36"/>
  <c r="J87" i="36"/>
  <c r="G87" i="36"/>
  <c r="I87" i="36"/>
  <c r="C89" i="36"/>
  <c r="H88" i="36"/>
  <c r="M88" i="36" s="1"/>
  <c r="AC15" i="2"/>
  <c r="M17" i="37"/>
  <c r="AC20" i="2"/>
  <c r="M22" i="37"/>
  <c r="AC18" i="2"/>
  <c r="M20" i="37"/>
  <c r="AC19" i="2"/>
  <c r="M21" i="37"/>
  <c r="AC13" i="2"/>
  <c r="M15" i="37"/>
  <c r="X7" i="37" a="1"/>
  <c r="X7" i="37" s="1"/>
  <c r="U12" i="2"/>
  <c r="P14" i="37"/>
  <c r="R14" i="2"/>
  <c r="R13" i="2"/>
  <c r="R15" i="2"/>
  <c r="R18" i="2"/>
  <c r="R19" i="2"/>
  <c r="R17" i="2"/>
  <c r="R16" i="2"/>
  <c r="R20" i="2"/>
  <c r="C59" i="32"/>
  <c r="P87" i="36" l="1"/>
  <c r="K88" i="36"/>
  <c r="J88" i="36"/>
  <c r="G88" i="36"/>
  <c r="I88" i="36"/>
  <c r="C90" i="36"/>
  <c r="H89" i="36"/>
  <c r="M89" i="36" s="1"/>
  <c r="O5" i="2"/>
  <c r="P88" i="36" l="1"/>
  <c r="H90" i="36"/>
  <c r="M90" i="36" s="1"/>
  <c r="K89" i="36"/>
  <c r="J89" i="36"/>
  <c r="G89" i="36"/>
  <c r="I89" i="36"/>
  <c r="C91" i="36"/>
  <c r="D7" i="23"/>
  <c r="K90" i="36" l="1"/>
  <c r="I90" i="36"/>
  <c r="J90" i="36"/>
  <c r="G90" i="36"/>
  <c r="P89" i="36"/>
  <c r="C92" i="36"/>
  <c r="H91" i="36"/>
  <c r="M91" i="36" s="1"/>
  <c r="P90" i="36" l="1"/>
  <c r="H92" i="36"/>
  <c r="M92" i="36" s="1"/>
  <c r="J91" i="36"/>
  <c r="K91" i="36"/>
  <c r="G91" i="36"/>
  <c r="I91" i="36"/>
  <c r="C93" i="36"/>
  <c r="H122" i="11"/>
  <c r="D122" i="11"/>
  <c r="E122" i="11" s="1"/>
  <c r="G14" i="11"/>
  <c r="E14" i="11"/>
  <c r="F14" i="11" s="1"/>
  <c r="D14" i="11"/>
  <c r="G13" i="11"/>
  <c r="E13" i="11"/>
  <c r="F13" i="11" s="1"/>
  <c r="Z19" i="2" s="1"/>
  <c r="D13" i="11"/>
  <c r="G12" i="11"/>
  <c r="E12" i="11"/>
  <c r="F12" i="11" s="1"/>
  <c r="Z18" i="2" s="1"/>
  <c r="D12" i="11"/>
  <c r="G11" i="11"/>
  <c r="E11" i="11"/>
  <c r="F11" i="11" s="1"/>
  <c r="Z17" i="2" s="1"/>
  <c r="D11" i="11"/>
  <c r="G10" i="11"/>
  <c r="E10" i="11"/>
  <c r="F10" i="11" s="1"/>
  <c r="Z16" i="2" s="1"/>
  <c r="D10" i="11"/>
  <c r="G9" i="11"/>
  <c r="E9" i="11"/>
  <c r="F9" i="11" s="1"/>
  <c r="Z15" i="2" s="1"/>
  <c r="D9" i="11"/>
  <c r="G8" i="11"/>
  <c r="E8" i="11"/>
  <c r="F8" i="11" s="1"/>
  <c r="Z14" i="2" s="1"/>
  <c r="D8" i="11"/>
  <c r="G7" i="11"/>
  <c r="E7" i="11"/>
  <c r="F7" i="11" s="1"/>
  <c r="D7" i="11"/>
  <c r="G6" i="11"/>
  <c r="D6" i="11"/>
  <c r="M3" i="11"/>
  <c r="N3" i="11" s="1"/>
  <c r="R22" i="23"/>
  <c r="J22" i="23"/>
  <c r="I22" i="23"/>
  <c r="H22" i="23"/>
  <c r="G22" i="23"/>
  <c r="E22" i="23"/>
  <c r="D22" i="23"/>
  <c r="C22" i="23"/>
  <c r="U22" i="23" s="1"/>
  <c r="A22" i="23"/>
  <c r="R21" i="23"/>
  <c r="J21" i="23"/>
  <c r="I21" i="23"/>
  <c r="H21" i="23"/>
  <c r="G21" i="23"/>
  <c r="E21" i="23"/>
  <c r="D21" i="23"/>
  <c r="C21" i="23"/>
  <c r="U21" i="23" s="1"/>
  <c r="A21" i="23"/>
  <c r="R20" i="23"/>
  <c r="J20" i="23"/>
  <c r="I20" i="23"/>
  <c r="H20" i="23"/>
  <c r="G20" i="23"/>
  <c r="E20" i="23"/>
  <c r="D20" i="23"/>
  <c r="C20" i="23"/>
  <c r="U20" i="23" s="1"/>
  <c r="A20" i="23"/>
  <c r="R19" i="23"/>
  <c r="J19" i="23"/>
  <c r="I19" i="23"/>
  <c r="H19" i="23"/>
  <c r="G19" i="23"/>
  <c r="E19" i="23"/>
  <c r="D19" i="23"/>
  <c r="C19" i="23"/>
  <c r="U19" i="23" s="1"/>
  <c r="A19" i="23"/>
  <c r="R18" i="23"/>
  <c r="J18" i="23"/>
  <c r="I18" i="23"/>
  <c r="H18" i="23"/>
  <c r="G18" i="23"/>
  <c r="E18" i="23"/>
  <c r="D18" i="23"/>
  <c r="C18" i="23"/>
  <c r="U18" i="23" s="1"/>
  <c r="A18" i="23"/>
  <c r="R17" i="23"/>
  <c r="J17" i="23"/>
  <c r="I17" i="23"/>
  <c r="H17" i="23"/>
  <c r="G17" i="23"/>
  <c r="E17" i="23"/>
  <c r="D17" i="23"/>
  <c r="C17" i="23"/>
  <c r="U17" i="23" s="1"/>
  <c r="A17" i="23"/>
  <c r="R16" i="23"/>
  <c r="J16" i="23"/>
  <c r="I16" i="23"/>
  <c r="H16" i="23"/>
  <c r="G16" i="23"/>
  <c r="E16" i="23"/>
  <c r="D16" i="23"/>
  <c r="C16" i="23"/>
  <c r="U16" i="23" s="1"/>
  <c r="A16" i="23"/>
  <c r="R15" i="23"/>
  <c r="J15" i="23"/>
  <c r="I15" i="23"/>
  <c r="H15" i="23"/>
  <c r="G15" i="23"/>
  <c r="E15" i="23"/>
  <c r="D15" i="23"/>
  <c r="C15" i="23"/>
  <c r="U15" i="23" s="1"/>
  <c r="A15" i="23"/>
  <c r="R14" i="23"/>
  <c r="J14" i="23"/>
  <c r="I14" i="23"/>
  <c r="H14" i="23"/>
  <c r="G14" i="23"/>
  <c r="E14" i="23"/>
  <c r="D14" i="23"/>
  <c r="C14" i="23"/>
  <c r="U14" i="23" s="1"/>
  <c r="A14" i="23"/>
  <c r="R13" i="23"/>
  <c r="J13" i="23"/>
  <c r="I13" i="23"/>
  <c r="H13" i="23"/>
  <c r="G13" i="23"/>
  <c r="E13" i="23"/>
  <c r="D13" i="23"/>
  <c r="C13" i="23"/>
  <c r="U13" i="23" s="1"/>
  <c r="A13" i="23"/>
  <c r="F7" i="23"/>
  <c r="E7" i="23"/>
  <c r="C7" i="23"/>
  <c r="B7" i="23"/>
  <c r="H85" i="32"/>
  <c r="C57" i="32"/>
  <c r="C10" i="32"/>
  <c r="C8" i="32"/>
  <c r="H103" i="26"/>
  <c r="G94" i="26"/>
  <c r="M22" i="23"/>
  <c r="K22" i="23"/>
  <c r="M21" i="23"/>
  <c r="M20" i="2"/>
  <c r="M20" i="23"/>
  <c r="M19" i="2"/>
  <c r="M19" i="23"/>
  <c r="M18" i="2"/>
  <c r="M18" i="23"/>
  <c r="M17" i="2"/>
  <c r="K19" i="37" s="1"/>
  <c r="M17" i="23"/>
  <c r="M16" i="2"/>
  <c r="M16" i="23"/>
  <c r="M15" i="2"/>
  <c r="M15" i="23"/>
  <c r="M14" i="2"/>
  <c r="M14" i="23"/>
  <c r="M13" i="2"/>
  <c r="AK12" i="2"/>
  <c r="M13" i="23"/>
  <c r="N6" i="2"/>
  <c r="R5" i="2"/>
  <c r="R4" i="2"/>
  <c r="R3" i="2"/>
  <c r="B4" i="28"/>
  <c r="P18" i="2" l="1"/>
  <c r="N20" i="37" s="1"/>
  <c r="Q20" i="37" s="1"/>
  <c r="K20" i="37"/>
  <c r="P15" i="2"/>
  <c r="N17" i="37" s="1"/>
  <c r="Q17" i="37" s="1"/>
  <c r="K17" i="37"/>
  <c r="P16" i="2"/>
  <c r="N17" i="23" s="1"/>
  <c r="Q17" i="23" s="1"/>
  <c r="K18" i="37"/>
  <c r="P19" i="2"/>
  <c r="N21" i="37" s="1"/>
  <c r="Q21" i="37" s="1"/>
  <c r="K21" i="37"/>
  <c r="P20" i="2"/>
  <c r="N22" i="37" s="1"/>
  <c r="Q22" i="37" s="1"/>
  <c r="K22" i="37"/>
  <c r="P91" i="36"/>
  <c r="I92" i="36"/>
  <c r="K92" i="36"/>
  <c r="G92" i="36"/>
  <c r="J92" i="36"/>
  <c r="H93" i="36"/>
  <c r="M93" i="36" s="1"/>
  <c r="P13" i="2"/>
  <c r="N15" i="37" s="1"/>
  <c r="Q15" i="37" s="1"/>
  <c r="K15" i="37"/>
  <c r="P14" i="2"/>
  <c r="N16" i="37" s="1"/>
  <c r="Q16" i="37" s="1"/>
  <c r="K16" i="37"/>
  <c r="K18" i="23"/>
  <c r="R7" i="37"/>
  <c r="AO20" i="2"/>
  <c r="Z20" i="2"/>
  <c r="K13" i="23"/>
  <c r="P12" i="2"/>
  <c r="Q12" i="2" s="1"/>
  <c r="Z12" i="2"/>
  <c r="W13" i="23"/>
  <c r="W21" i="23"/>
  <c r="W15" i="23"/>
  <c r="W14" i="23"/>
  <c r="W16" i="23"/>
  <c r="W17" i="23"/>
  <c r="V19" i="23"/>
  <c r="W20" i="23"/>
  <c r="D92" i="32"/>
  <c r="D91" i="32"/>
  <c r="D90" i="32"/>
  <c r="Z13" i="2"/>
  <c r="S13" i="2"/>
  <c r="S18" i="2"/>
  <c r="O22" i="23"/>
  <c r="R23" i="23"/>
  <c r="S17" i="2"/>
  <c r="S15" i="2"/>
  <c r="W19" i="23"/>
  <c r="K17" i="23"/>
  <c r="V18" i="23"/>
  <c r="K21" i="23"/>
  <c r="V22" i="23"/>
  <c r="S19" i="2"/>
  <c r="S20" i="2"/>
  <c r="K14" i="23"/>
  <c r="K15" i="23"/>
  <c r="K16" i="23"/>
  <c r="V17" i="23"/>
  <c r="W18" i="23"/>
  <c r="K20" i="23"/>
  <c r="V21" i="23"/>
  <c r="W22" i="23"/>
  <c r="S14" i="2"/>
  <c r="N14" i="2"/>
  <c r="N16" i="2"/>
  <c r="N18" i="2"/>
  <c r="N20" i="2"/>
  <c r="V16" i="23"/>
  <c r="K19" i="23"/>
  <c r="V20" i="23"/>
  <c r="S16" i="2"/>
  <c r="N13" i="2"/>
  <c r="N15" i="2"/>
  <c r="N17" i="2"/>
  <c r="L19" i="37" s="1"/>
  <c r="N19" i="2"/>
  <c r="L22" i="23"/>
  <c r="P17" i="2"/>
  <c r="L54" i="32"/>
  <c r="L49" i="32"/>
  <c r="L57" i="32"/>
  <c r="L56" i="32"/>
  <c r="L55" i="32"/>
  <c r="L53" i="32"/>
  <c r="L52" i="32"/>
  <c r="L51" i="32"/>
  <c r="L50" i="32"/>
  <c r="L13" i="23"/>
  <c r="V15" i="23"/>
  <c r="V14" i="23"/>
  <c r="V13" i="23"/>
  <c r="X7" i="23"/>
  <c r="AB21" i="2"/>
  <c r="H14" i="11"/>
  <c r="V20" i="2" s="1"/>
  <c r="H13" i="11"/>
  <c r="V19" i="2" s="1"/>
  <c r="H12" i="11"/>
  <c r="V18" i="2" s="1"/>
  <c r="H11" i="11"/>
  <c r="V17" i="2" s="1"/>
  <c r="H9" i="11"/>
  <c r="V15" i="2" s="1"/>
  <c r="H8" i="11"/>
  <c r="N19" i="23" l="1"/>
  <c r="Q19" i="23" s="1"/>
  <c r="Q16" i="2"/>
  <c r="N18" i="37"/>
  <c r="Q18" i="37" s="1"/>
  <c r="Q19" i="2"/>
  <c r="Q15" i="2"/>
  <c r="N20" i="23"/>
  <c r="Q20" i="23" s="1"/>
  <c r="N16" i="23"/>
  <c r="Q16" i="23" s="1"/>
  <c r="Q18" i="2"/>
  <c r="X18" i="2" s="1"/>
  <c r="G18" i="2" s="1"/>
  <c r="Q20" i="2"/>
  <c r="X20" i="2" s="1"/>
  <c r="G20" i="2" s="1"/>
  <c r="N21" i="23"/>
  <c r="Q21" i="23" s="1"/>
  <c r="Q14" i="2"/>
  <c r="L21" i="23"/>
  <c r="L22" i="37"/>
  <c r="N15" i="23"/>
  <c r="Q15" i="23" s="1"/>
  <c r="L19" i="23"/>
  <c r="L20" i="37"/>
  <c r="L17" i="23"/>
  <c r="L18" i="37"/>
  <c r="L16" i="23"/>
  <c r="L17" i="37"/>
  <c r="L20" i="23"/>
  <c r="L21" i="37"/>
  <c r="P92" i="36"/>
  <c r="G93" i="36"/>
  <c r="J93" i="36"/>
  <c r="K93" i="36"/>
  <c r="I93" i="36"/>
  <c r="Q13" i="2"/>
  <c r="N14" i="23"/>
  <c r="Q14" i="23" s="1"/>
  <c r="N19" i="37"/>
  <c r="Q19" i="37" s="1"/>
  <c r="T16" i="2"/>
  <c r="P17" i="23" s="1"/>
  <c r="O18" i="37"/>
  <c r="T20" i="2"/>
  <c r="U20" i="2" s="1"/>
  <c r="O22" i="37"/>
  <c r="T19" i="2"/>
  <c r="P21" i="37" s="1"/>
  <c r="O21" i="37"/>
  <c r="T15" i="2"/>
  <c r="U15" i="2" s="1"/>
  <c r="O17" i="37"/>
  <c r="O19" i="23"/>
  <c r="O20" i="37"/>
  <c r="T17" i="2"/>
  <c r="U17" i="2" s="1"/>
  <c r="O19" i="37"/>
  <c r="L15" i="23"/>
  <c r="L16" i="37"/>
  <c r="N14" i="37"/>
  <c r="O15" i="23"/>
  <c r="O16" i="37"/>
  <c r="L14" i="23"/>
  <c r="L15" i="37"/>
  <c r="S7" i="37"/>
  <c r="T13" i="2"/>
  <c r="P15" i="37" s="1"/>
  <c r="O15" i="37"/>
  <c r="L18" i="23"/>
  <c r="V14" i="2"/>
  <c r="AB14" i="2" s="1"/>
  <c r="P65" i="2"/>
  <c r="K7" i="23"/>
  <c r="O7" i="23"/>
  <c r="AA14" i="2"/>
  <c r="AA17" i="2"/>
  <c r="AA15" i="2"/>
  <c r="AA20" i="2"/>
  <c r="AA18" i="2"/>
  <c r="AA19" i="2"/>
  <c r="Y21" i="2"/>
  <c r="G7" i="23"/>
  <c r="H7" i="23"/>
  <c r="O18" i="23"/>
  <c r="P22" i="23"/>
  <c r="O14" i="23"/>
  <c r="T18" i="2"/>
  <c r="O16" i="23"/>
  <c r="I14" i="11"/>
  <c r="I13" i="11"/>
  <c r="AB18" i="2"/>
  <c r="I11" i="11"/>
  <c r="AB17" i="2"/>
  <c r="I9" i="11"/>
  <c r="I8" i="11"/>
  <c r="O21" i="23"/>
  <c r="O20" i="23"/>
  <c r="O17" i="23"/>
  <c r="T14" i="2"/>
  <c r="AB20" i="2"/>
  <c r="AB15" i="2"/>
  <c r="I12" i="11"/>
  <c r="AB19" i="2"/>
  <c r="Q7" i="23"/>
  <c r="L7" i="23"/>
  <c r="P7" i="23"/>
  <c r="J7" i="23"/>
  <c r="N7" i="23"/>
  <c r="N22" i="23"/>
  <c r="Q22" i="23" s="1"/>
  <c r="N18" i="23"/>
  <c r="Q18" i="23" s="1"/>
  <c r="Q17" i="2"/>
  <c r="R7" i="23"/>
  <c r="T21" i="23"/>
  <c r="B21" i="23" s="1"/>
  <c r="T13" i="23"/>
  <c r="B13" i="23" s="1"/>
  <c r="T14" i="23"/>
  <c r="B14" i="23" s="1"/>
  <c r="T20" i="23"/>
  <c r="B20" i="23" s="1"/>
  <c r="T16" i="23"/>
  <c r="B16" i="23" s="1"/>
  <c r="T17" i="23"/>
  <c r="B17" i="23" s="1"/>
  <c r="T19" i="23"/>
  <c r="B19" i="23" s="1"/>
  <c r="O13" i="23"/>
  <c r="P13" i="23"/>
  <c r="N13" i="23"/>
  <c r="T18" i="23"/>
  <c r="B18" i="23" s="1"/>
  <c r="T22" i="23"/>
  <c r="B22" i="23" s="1"/>
  <c r="T15" i="23"/>
  <c r="B15" i="23" s="1"/>
  <c r="H10" i="11"/>
  <c r="V16" i="2" s="1"/>
  <c r="H7" i="11"/>
  <c r="H6" i="11"/>
  <c r="AA7" i="37" l="1" a="1"/>
  <c r="AA7" i="37" s="1"/>
  <c r="P93" i="36"/>
  <c r="P21" i="23"/>
  <c r="U19" i="2"/>
  <c r="P16" i="23"/>
  <c r="P20" i="23"/>
  <c r="P17" i="37"/>
  <c r="P22" i="37"/>
  <c r="U16" i="2"/>
  <c r="P18" i="37"/>
  <c r="U18" i="2"/>
  <c r="P20" i="37"/>
  <c r="P18" i="23"/>
  <c r="P19" i="37"/>
  <c r="P14" i="23"/>
  <c r="U13" i="2"/>
  <c r="Q14" i="37"/>
  <c r="Q24" i="37" s="1"/>
  <c r="N24" i="37"/>
  <c r="O24" i="37"/>
  <c r="U14" i="2"/>
  <c r="P16" i="37"/>
  <c r="P11" i="36"/>
  <c r="T7" i="37"/>
  <c r="V13" i="2"/>
  <c r="AB13" i="2" s="1"/>
  <c r="Q65" i="2"/>
  <c r="U7" i="37" s="1"/>
  <c r="X19" i="2"/>
  <c r="G19" i="2" s="1"/>
  <c r="AA16" i="2"/>
  <c r="Y15" i="2"/>
  <c r="Y17" i="2"/>
  <c r="Y18" i="2"/>
  <c r="Y20" i="2"/>
  <c r="Y19" i="2"/>
  <c r="Y14" i="2"/>
  <c r="I7" i="23"/>
  <c r="AA12" i="2"/>
  <c r="I6" i="11"/>
  <c r="V12" i="2"/>
  <c r="AB12" i="2" s="1"/>
  <c r="I10" i="11"/>
  <c r="AB16" i="2"/>
  <c r="I7" i="11"/>
  <c r="AA13" i="2"/>
  <c r="P19" i="23"/>
  <c r="S7" i="23"/>
  <c r="X15" i="2"/>
  <c r="G15" i="2" s="1"/>
  <c r="T7" i="23"/>
  <c r="O23" i="23"/>
  <c r="P15" i="23"/>
  <c r="N23" i="23"/>
  <c r="Q13" i="23"/>
  <c r="Q23" i="23" s="1"/>
  <c r="AA7" i="23" s="1"/>
  <c r="P24" i="37" l="1"/>
  <c r="F16" i="23"/>
  <c r="F17" i="37"/>
  <c r="P12" i="36"/>
  <c r="Q15" i="36" s="1"/>
  <c r="R65" i="2"/>
  <c r="X12" i="2"/>
  <c r="E67" i="36"/>
  <c r="P23" i="36"/>
  <c r="Y16" i="2"/>
  <c r="Y13" i="2"/>
  <c r="U7" i="23"/>
  <c r="X17" i="2"/>
  <c r="G17" i="2" s="1"/>
  <c r="X13" i="2"/>
  <c r="G13" i="2" s="1"/>
  <c r="X16" i="2"/>
  <c r="G16" i="2" s="1"/>
  <c r="X14" i="2"/>
  <c r="G14" i="2" s="1"/>
  <c r="Y12" i="2"/>
  <c r="F75" i="11"/>
  <c r="F77" i="11" s="1"/>
  <c r="P23" i="23"/>
  <c r="F20" i="23" l="1"/>
  <c r="F21" i="37"/>
  <c r="F15" i="23"/>
  <c r="F16" i="37"/>
  <c r="F17" i="23"/>
  <c r="F18" i="37"/>
  <c r="F21" i="23"/>
  <c r="F22" i="37"/>
  <c r="F14" i="23"/>
  <c r="F15" i="37"/>
  <c r="F18" i="23"/>
  <c r="F19" i="37"/>
  <c r="F19" i="23"/>
  <c r="F20" i="37"/>
  <c r="S65" i="2"/>
  <c r="V7" i="37"/>
  <c r="V7" i="23"/>
  <c r="F22" i="23"/>
  <c r="F23" i="37"/>
  <c r="G12" i="2"/>
  <c r="F14" i="37" l="1"/>
  <c r="M7" i="37" a="1"/>
  <c r="M7" i="37" s="1"/>
  <c r="F13" i="23"/>
  <c r="M7" i="23" s="1"/>
  <c r="T65" i="2"/>
  <c r="W7" i="37"/>
  <c r="W7" i="23"/>
  <c r="U65" i="2" l="1"/>
  <c r="Z7" i="37" s="1"/>
  <c r="Y7" i="37"/>
  <c r="Y7" i="23"/>
  <c r="Z7" i="23" l="1"/>
  <c r="G75" i="11"/>
  <c r="G77" i="11" s="1"/>
  <c r="H77" i="11" s="1"/>
  <c r="E90" i="32"/>
  <c r="E91" i="32"/>
  <c r="E92" i="32"/>
  <c r="Y58" i="2" l="1"/>
  <c r="Y62" i="2" s="1"/>
  <c r="AB58" i="2"/>
  <c r="AB62" i="2" s="1"/>
  <c r="E93" i="32"/>
  <c r="C63" i="32" s="1"/>
  <c r="V65" i="2" l="1"/>
  <c r="AB7" i="23" l="1"/>
  <c r="AB7" i="37"/>
  <c r="U70" i="36" l="1"/>
  <c r="X70" i="36" s="1"/>
  <c r="V70" i="36" l="1"/>
  <c r="N71" i="36" s="1"/>
  <c r="L71" i="36" l="1"/>
  <c r="S71" i="36" s="1"/>
  <c r="Q71" i="36" l="1"/>
  <c r="R71" i="36" s="1"/>
  <c r="U71" i="36" l="1"/>
  <c r="X71" i="36" s="1"/>
  <c r="V71" i="36" l="1"/>
  <c r="N72" i="36" s="1"/>
  <c r="L72" i="36" l="1"/>
  <c r="S72" i="36" s="1"/>
  <c r="Q72" i="36" l="1"/>
  <c r="R72" i="36" s="1"/>
  <c r="U72" i="36" l="1"/>
  <c r="V72" i="36" l="1"/>
  <c r="N73" i="36" s="1"/>
  <c r="X72" i="36"/>
  <c r="L73" i="36" l="1"/>
  <c r="S73" i="36" s="1"/>
  <c r="Q73" i="36" l="1"/>
  <c r="R73" i="36" s="1"/>
  <c r="U73" i="36"/>
  <c r="V73" i="36" l="1"/>
  <c r="N74" i="36" s="1"/>
  <c r="X73" i="36"/>
  <c r="L74" i="36" l="1"/>
  <c r="S74" i="36" s="1"/>
  <c r="Q74" i="36" l="1"/>
  <c r="R74" i="36" s="1"/>
  <c r="U74" i="36" s="1"/>
  <c r="X74" i="36" s="1"/>
  <c r="V74" i="36" l="1"/>
  <c r="N75" i="36" s="1"/>
  <c r="L75" i="36" l="1"/>
  <c r="S75" i="36" s="1"/>
  <c r="U75" i="36" s="1"/>
  <c r="Q75" i="36" l="1"/>
  <c r="R75" i="36" s="1"/>
  <c r="V75" i="36"/>
  <c r="N76" i="36" s="1"/>
  <c r="X75" i="36"/>
  <c r="L76" i="36" l="1"/>
  <c r="S76" i="36" s="1"/>
  <c r="Q76" i="36" l="1"/>
  <c r="R76" i="36" s="1"/>
  <c r="U76" i="36" s="1"/>
  <c r="X76" i="36" s="1"/>
  <c r="V76" i="36" l="1"/>
  <c r="N77" i="36" s="1"/>
  <c r="L77" i="36" l="1"/>
  <c r="S77" i="36" s="1"/>
  <c r="Q77" i="36" l="1"/>
  <c r="R77" i="36" s="1"/>
  <c r="U77" i="36"/>
  <c r="X77" i="36" s="1"/>
  <c r="V77" i="36" l="1"/>
  <c r="N78" i="36" s="1"/>
  <c r="L78" i="36" l="1"/>
  <c r="S78" i="36" s="1"/>
  <c r="Q78" i="36" l="1"/>
  <c r="R78" i="36" s="1"/>
  <c r="U78" i="36" s="1"/>
  <c r="X78" i="36" s="1"/>
  <c r="V78" i="36" l="1"/>
  <c r="N79" i="36" s="1"/>
  <c r="L79" i="36" l="1"/>
  <c r="S79" i="36" s="1"/>
  <c r="Q79" i="36" l="1"/>
  <c r="R79" i="36" s="1"/>
  <c r="U79" i="36" s="1"/>
  <c r="X79" i="36" s="1"/>
  <c r="V79" i="36" l="1"/>
  <c r="N80" i="36" s="1"/>
  <c r="L80" i="36" l="1"/>
  <c r="S80" i="36" s="1"/>
  <c r="Q80" i="36" l="1"/>
  <c r="R80" i="36" s="1"/>
  <c r="U80" i="36"/>
  <c r="X80" i="36" s="1"/>
  <c r="V80" i="36" l="1"/>
  <c r="N81" i="36" s="1"/>
  <c r="L81" i="36" l="1"/>
  <c r="S81" i="36" s="1"/>
  <c r="Q81" i="36" l="1"/>
  <c r="R81" i="36" s="1"/>
  <c r="U81" i="36"/>
  <c r="X81" i="36" s="1"/>
  <c r="V81" i="36" l="1"/>
  <c r="N82" i="36" s="1"/>
  <c r="L82" i="36" l="1"/>
  <c r="S82" i="36" s="1"/>
  <c r="Q82" i="36" l="1"/>
  <c r="R82" i="36" s="1"/>
  <c r="U82" i="36"/>
  <c r="X82" i="36" s="1"/>
  <c r="V82" i="36" l="1"/>
  <c r="N83" i="36" s="1"/>
  <c r="L83" i="36" l="1"/>
  <c r="S83" i="36" s="1"/>
  <c r="Q83" i="36" l="1"/>
  <c r="R83" i="36" s="1"/>
  <c r="U83" i="36"/>
  <c r="X83" i="36" s="1"/>
  <c r="V83" i="36" l="1"/>
  <c r="N84" i="36" s="1"/>
  <c r="L84" i="36" l="1"/>
  <c r="S84" i="36" s="1"/>
  <c r="Q84" i="36" l="1"/>
  <c r="R84" i="36" s="1"/>
  <c r="U84" i="36"/>
  <c r="X84" i="36" s="1"/>
  <c r="V84" i="36" l="1"/>
  <c r="N85" i="36" s="1"/>
  <c r="L85" i="36" l="1"/>
  <c r="S85" i="36" s="1"/>
  <c r="Q85" i="36" l="1"/>
  <c r="R85" i="36" s="1"/>
  <c r="U85" i="36" s="1"/>
  <c r="X85" i="36" s="1"/>
  <c r="V85" i="36" l="1"/>
  <c r="N86" i="36" s="1"/>
  <c r="L86" i="36" l="1"/>
  <c r="S86" i="36" s="1"/>
  <c r="Q86" i="36" l="1"/>
  <c r="R86" i="36" s="1"/>
  <c r="U86" i="36" s="1"/>
  <c r="X86" i="36" s="1"/>
  <c r="V86" i="36" l="1"/>
  <c r="N87" i="36" s="1"/>
  <c r="L87" i="36" l="1"/>
  <c r="S87" i="36" s="1"/>
  <c r="Q87" i="36" l="1"/>
  <c r="R87" i="36" s="1"/>
  <c r="U87" i="36"/>
  <c r="X87" i="36" s="1"/>
  <c r="V87" i="36" l="1"/>
  <c r="N88" i="36" s="1"/>
  <c r="L88" i="36" l="1"/>
  <c r="S88" i="36" s="1"/>
  <c r="Q88" i="36" l="1"/>
  <c r="R88" i="36" s="1"/>
  <c r="U88" i="36" s="1"/>
  <c r="X88" i="36" s="1"/>
  <c r="V88" i="36" l="1"/>
  <c r="N89" i="36" s="1"/>
  <c r="L89" i="36" l="1"/>
  <c r="S89" i="36" s="1"/>
  <c r="Q89" i="36" l="1"/>
  <c r="R89" i="36" s="1"/>
  <c r="U89" i="36" s="1"/>
  <c r="X89" i="36" s="1"/>
  <c r="V89" i="36" l="1"/>
  <c r="N90" i="36" s="1"/>
  <c r="L90" i="36" l="1"/>
  <c r="S90" i="36" s="1"/>
  <c r="Q90" i="36" l="1"/>
  <c r="R90" i="36" s="1"/>
  <c r="U90" i="36" l="1"/>
  <c r="X90" i="36" s="1"/>
  <c r="V90" i="36" l="1"/>
  <c r="N91" i="36" s="1"/>
  <c r="L91" i="36" l="1"/>
  <c r="S91" i="36" s="1"/>
  <c r="Q91" i="36" l="1"/>
  <c r="R91" i="36" s="1"/>
  <c r="U91" i="36" s="1"/>
  <c r="X91" i="36" s="1"/>
  <c r="V91" i="36" l="1"/>
  <c r="N92" i="36" s="1"/>
  <c r="L92" i="36" l="1"/>
  <c r="S92" i="36" s="1"/>
  <c r="Q92" i="36" l="1"/>
  <c r="R92" i="36" s="1"/>
  <c r="U92" i="36" l="1"/>
  <c r="X92" i="36" s="1"/>
  <c r="V92" i="36" l="1"/>
  <c r="N93" i="36" s="1"/>
  <c r="L93" i="36" l="1"/>
  <c r="S93" i="36" s="1"/>
  <c r="Q93" i="36" l="1"/>
  <c r="R93" i="36" s="1"/>
  <c r="G48" i="36" s="1"/>
  <c r="U93" i="36" l="1"/>
  <c r="X93" i="36" s="1"/>
  <c r="Q3" i="11" s="1"/>
  <c r="V93" i="36" l="1"/>
  <c r="G54" i="36"/>
  <c r="E70" i="36" l="1"/>
  <c r="E71" i="36" s="1"/>
  <c r="E72" i="36" s="1"/>
  <c r="E73" i="36" s="1"/>
  <c r="E74" i="36" s="1"/>
  <c r="E75" i="36" s="1"/>
  <c r="E76" i="36" s="1"/>
  <c r="E77" i="36" s="1"/>
  <c r="E78" i="36" s="1"/>
  <c r="E79" i="36" s="1"/>
  <c r="E80" i="36" s="1"/>
  <c r="E81" i="36" s="1"/>
  <c r="E82" i="36" s="1"/>
  <c r="E83" i="36" s="1"/>
  <c r="E84" i="36" s="1"/>
  <c r="E85" i="36" s="1"/>
  <c r="E86" i="36" s="1"/>
  <c r="E87" i="36" s="1"/>
  <c r="E88" i="36" s="1"/>
  <c r="E89" i="36" s="1"/>
  <c r="E90" i="36" s="1"/>
  <c r="E91" i="36" s="1"/>
  <c r="E92" i="36" s="1"/>
  <c r="E93" i="36" s="1"/>
  <c r="F70" i="36"/>
  <c r="F71" i="36" s="1"/>
  <c r="F72" i="36" s="1"/>
  <c r="F73" i="36" s="1"/>
  <c r="F74" i="36" s="1"/>
  <c r="F75" i="36" s="1"/>
  <c r="F76" i="36" s="1"/>
  <c r="F77" i="36" s="1"/>
  <c r="F78" i="36" s="1"/>
  <c r="F79" i="36" s="1"/>
  <c r="F80" i="36" s="1"/>
  <c r="F81" i="36" s="1"/>
  <c r="F82" i="36" s="1"/>
  <c r="F83" i="36" s="1"/>
  <c r="F84" i="36" s="1"/>
  <c r="F85" i="36" s="1"/>
  <c r="F86" i="36" s="1"/>
  <c r="F87" i="36" s="1"/>
  <c r="F88" i="36" s="1"/>
  <c r="F89" i="36" s="1"/>
  <c r="F90" i="36" s="1"/>
  <c r="F91" i="36" s="1"/>
  <c r="F92" i="36" s="1"/>
  <c r="F93" i="36" s="1"/>
  <c r="AC87" i="36"/>
  <c r="O87" i="36" s="1"/>
  <c r="AC90" i="36"/>
  <c r="O90" i="36" s="1"/>
  <c r="AB71" i="36"/>
  <c r="AB77" i="36"/>
  <c r="AB79" i="36"/>
  <c r="AB92" i="36"/>
  <c r="AC73" i="36"/>
  <c r="O73" i="36" s="1"/>
  <c r="AB90" i="36"/>
  <c r="AC91" i="36"/>
  <c r="O91" i="36" s="1"/>
  <c r="AC82" i="36"/>
  <c r="O82" i="36" s="1"/>
  <c r="AB80" i="36"/>
  <c r="AB89" i="36"/>
  <c r="AC75" i="36"/>
  <c r="O75" i="36" s="1"/>
  <c r="AC83" i="36"/>
  <c r="O83" i="36" s="1"/>
  <c r="AC89" i="36"/>
  <c r="O89" i="36" s="1"/>
  <c r="AB72" i="36"/>
  <c r="AB88" i="36"/>
  <c r="AB75" i="36"/>
  <c r="AC77" i="36"/>
  <c r="O77" i="36" s="1"/>
  <c r="AB91" i="36"/>
  <c r="AB86" i="36"/>
  <c r="AC92" i="36"/>
  <c r="O92" i="36" s="1"/>
  <c r="AC71" i="36"/>
  <c r="O71" i="36" s="1"/>
  <c r="AB74" i="36"/>
  <c r="AB83" i="36"/>
  <c r="AB76" i="36"/>
  <c r="AC79" i="36"/>
  <c r="O79" i="36" s="1"/>
  <c r="AE70" i="36"/>
  <c r="AE71" i="36" s="1"/>
  <c r="AE72" i="36" s="1"/>
  <c r="AE73" i="36" s="1"/>
  <c r="AE74" i="36" s="1"/>
  <c r="AE75" i="36" s="1"/>
  <c r="AE76" i="36" s="1"/>
  <c r="AE77" i="36" s="1"/>
  <c r="AE78" i="36" s="1"/>
  <c r="AE79" i="36" s="1"/>
  <c r="AE80" i="36" s="1"/>
  <c r="AE81" i="36" s="1"/>
  <c r="AE82" i="36" s="1"/>
  <c r="AE83" i="36" s="1"/>
  <c r="AE84" i="36" s="1"/>
  <c r="AE85" i="36" s="1"/>
  <c r="AE86" i="36" s="1"/>
  <c r="AE87" i="36" s="1"/>
  <c r="AE88" i="36" s="1"/>
  <c r="AE89" i="36" s="1"/>
  <c r="AE90" i="36" s="1"/>
  <c r="AE91" i="36" s="1"/>
  <c r="AE92" i="36" s="1"/>
  <c r="AE93" i="36" s="1"/>
  <c r="AC88" i="36"/>
  <c r="O88" i="36" s="1"/>
  <c r="AC93" i="36"/>
  <c r="O93" i="36" s="1"/>
  <c r="AB84" i="36"/>
  <c r="AC85" i="36"/>
  <c r="O85" i="36" s="1"/>
  <c r="AC86" i="36"/>
  <c r="O86" i="36" s="1"/>
  <c r="AB82" i="36"/>
  <c r="AB81" i="36"/>
  <c r="AC76" i="36"/>
  <c r="O76" i="36" s="1"/>
  <c r="AC72" i="36"/>
  <c r="O72" i="36" s="1"/>
  <c r="AB87" i="36"/>
  <c r="AC80" i="36"/>
  <c r="O80" i="36" s="1"/>
  <c r="AB93" i="36"/>
  <c r="AB85" i="36"/>
  <c r="AB73" i="36"/>
  <c r="AB70" i="36"/>
  <c r="AC78" i="36"/>
  <c r="O78" i="36" s="1"/>
  <c r="AC74" i="36"/>
  <c r="O74" i="36" s="1"/>
  <c r="AC81" i="36"/>
  <c r="O81" i="36" s="1"/>
  <c r="AB78" i="36"/>
  <c r="AC84" i="36"/>
  <c r="O84" i="36" s="1"/>
  <c r="AD70" i="36"/>
  <c r="AD71" i="36" s="1"/>
  <c r="AD72" i="36" s="1"/>
  <c r="AD73" i="36" s="1"/>
  <c r="AD74" i="36" s="1"/>
  <c r="AD75" i="36" s="1"/>
  <c r="AD76" i="36" s="1"/>
  <c r="AD77" i="36" s="1"/>
  <c r="AD78" i="36" s="1"/>
  <c r="AD79" i="36" s="1"/>
  <c r="AD80" i="36" s="1"/>
  <c r="AD81" i="36" s="1"/>
  <c r="AD82" i="36" s="1"/>
  <c r="AD83" i="36" s="1"/>
  <c r="AD84" i="36" s="1"/>
  <c r="AD85" i="36" s="1"/>
  <c r="AD86" i="36" s="1"/>
  <c r="AD87" i="36" s="1"/>
  <c r="AD88" i="36" s="1"/>
  <c r="AD89" i="36" s="1"/>
  <c r="AD90" i="36" s="1"/>
  <c r="AD91" i="36" s="1"/>
  <c r="AD92" i="36" s="1"/>
  <c r="AD93" i="36" s="1"/>
  <c r="AC70" i="36"/>
  <c r="O70" i="3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Zrinski, Tomislav</author>
  </authors>
  <commentList>
    <comment ref="U3" authorId="0" shapeId="0" xr:uid="{84FEA02E-38F7-4B5B-94CE-42BF79BB2029}">
      <text>
        <r>
          <rPr>
            <sz val="9"/>
            <color indexed="81"/>
            <rFont val="Tahoma"/>
            <family val="2"/>
          </rPr>
          <t>End of quarter date of the submission date quarter.</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3">
    <bk>
      <extLst>
        <ext uri="{3e2802c4-a4d2-4d8b-9148-e3be6c30e623}">
          <xlrd:rvb i="0"/>
        </ext>
      </extLst>
    </bk>
    <bk>
      <extLst>
        <ext uri="{3e2802c4-a4d2-4d8b-9148-e3be6c30e623}">
          <xlrd:rvb i="1"/>
        </ext>
      </extLst>
    </bk>
    <bk>
      <extLst>
        <ext uri="{3e2802c4-a4d2-4d8b-9148-e3be6c30e623}">
          <xlrd:rvb i="2"/>
        </ext>
      </extLst>
    </bk>
  </futureMetadata>
  <cellMetadata count="1">
    <bk>
      <rc t="1" v="0"/>
    </bk>
  </cellMetadata>
  <valueMetadata count="3">
    <bk>
      <rc t="2" v="0"/>
    </bk>
    <bk>
      <rc t="2" v="1"/>
    </bk>
    <bk>
      <rc t="2" v="2"/>
    </bk>
  </valueMetadata>
</metadata>
</file>

<file path=xl/sharedStrings.xml><?xml version="1.0" encoding="utf-8"?>
<sst xmlns="http://schemas.openxmlformats.org/spreadsheetml/2006/main" count="1089" uniqueCount="669">
  <si>
    <t>&lt;CrystalAddin Version="1" country="GB" lang="en"/&gt;</t>
  </si>
  <si>
    <t>Salix Finance: Terms and Conditions for Salix Compliance Tools</t>
  </si>
  <si>
    <t>Terms and conditions of use</t>
  </si>
  <si>
    <r>
      <t>Salix Finance Ltd (“Salix”) offers loan funding for energy efficiency and decarbonisation projects for public sector bodies registered in Wales at a fixed interest rate of</t>
    </r>
    <r>
      <rPr>
        <sz val="10"/>
        <rFont val="Verdana"/>
        <family val="2"/>
      </rPr>
      <t xml:space="preserve"> 2.45%</t>
    </r>
    <r>
      <rPr>
        <sz val="10"/>
        <color theme="1"/>
        <rFont val="Verdana"/>
        <family val="2"/>
      </rPr>
      <t>. Salix’s loans have to comply with certain conditions as to type of equipment being installed and its financial and carbon savings efficiency.  Salix has developed a suite of simple “tools” available for users to download for free to help users estimate their anticipated financial and carbon savings for each scheme they want to assess using data provided by the user.</t>
    </r>
  </si>
  <si>
    <t>Non-disclosure</t>
  </si>
  <si>
    <t>Salix and/or the users acknowledge that they may receive or become aware of confidential information relating to the other party. Except to the extent that disclosure is expressly permitted, or otherwise agreed in writing between the parties, each party shall treat the confidential information provided by the other party as confidential and safeguard it accordingly and not disclose the confidential information provided by the other party to any other person (except their employees, agents, and professional advisers to whom and to the extent to which such disclosure is necessary for the purposes contemplated in considering eligibility for Salix finance and subject to procuring that such persons are made aware of and shall comply with these obligations of confidentiality).</t>
  </si>
  <si>
    <t>Intellectual property rights</t>
  </si>
  <si>
    <t xml:space="preserve">Salix are the owner or the licensee of all intellectual property rights in our tools, and in the material found within them. Salix’ tools are available to use free under licence.  The look and feel, the integral data, the embedded calculations and algorithms, and resulting compliance guidance have been created by Salix Finance who own all the Intellectual Property contained within them for the exclusive use of its existing and potential clients. 
All rights are reserved. No part of the tools may be reproduced, distributed, or transmitted in any form or by any means, including photocopying, recording, or other electronic or mechanical methods, without the prior written permission of the Salix, except in the case of certain non-commercial uses permitted by copyright law. For permission requests, please write to Salix Finance Ltd at 10 South Colonnade, Canary Wharf, London, E14 4PU.
</t>
  </si>
  <si>
    <t>Salix Finance - Compliance Tool</t>
  </si>
  <si>
    <t>Guidance Notes</t>
  </si>
  <si>
    <t>This new Wales Funding Programme Tool is to come into effect from April 2026. The following section is designed to give some clear guidance on how to fill out the 'Project Compliance Tool' tab so that you can assess the compliancy of the project. Please also complete the Business Case section in the separate tab. The Loan Amortisation tab is a new feature for the Wales Funding Programme, and can be used to assess indicative loan repayments with interest. There is separate guidance for the Business Case, which can be requested from:</t>
  </si>
  <si>
    <t>technical@salixfinance.co.uk</t>
  </si>
  <si>
    <t>Application Notes for specific guidance can be found on our website</t>
  </si>
  <si>
    <t>For guidance on calculating forecast energy please see below.</t>
  </si>
  <si>
    <t>Enter project details as shown in the example below:</t>
  </si>
  <si>
    <t>Enter information for each work type required for the project. Up to 50 work types may be entered here.</t>
  </si>
  <si>
    <t>The cells to the right show the calculated values for each work type.</t>
  </si>
  <si>
    <t>Missing information for a work type will be flagged up in the 'Data Entry Check' column. The compliancy check cannot be completed until all information is entered.</t>
  </si>
  <si>
    <t>Once all of the required information has been entered correctly, the cells at the bottom will show the final project figures and whether or not the project is compliant.</t>
  </si>
  <si>
    <t>If you have a technology that is affecting more than one fuel, please enter each fuel into a separate line in the Compliance Tool:</t>
  </si>
  <si>
    <r>
      <rPr>
        <sz val="16"/>
        <color theme="1"/>
        <rFont val="Verdana"/>
        <family val="2"/>
      </rPr>
      <t xml:space="preserve">Calculating Forecast Energy Cost:
</t>
    </r>
    <r>
      <rPr>
        <sz val="12"/>
        <color theme="1"/>
        <rFont val="Calibri"/>
        <family val="2"/>
        <scheme val="minor"/>
      </rPr>
      <t xml:space="preserve">
</t>
    </r>
    <r>
      <rPr>
        <sz val="12"/>
        <color theme="1"/>
        <rFont val="Verdana"/>
        <family val="2"/>
      </rPr>
      <t xml:space="preserve"> </t>
    </r>
    <r>
      <rPr>
        <u/>
        <sz val="12"/>
        <color theme="1"/>
        <rFont val="Verdana"/>
        <family val="2"/>
      </rPr>
      <t>Year 0 + Year 5</t>
    </r>
    <r>
      <rPr>
        <sz val="12"/>
        <color theme="1"/>
        <rFont val="Verdana"/>
        <family val="2"/>
      </rPr>
      <t xml:space="preserve">      =  Forecast Energy Cost (p/kWh)
            2
</t>
    </r>
    <r>
      <rPr>
        <sz val="11"/>
        <color theme="1"/>
        <rFont val="Verdana"/>
        <family val="2"/>
      </rPr>
      <t xml:space="preserve">
</t>
    </r>
    <r>
      <rPr>
        <sz val="10"/>
        <color theme="1"/>
        <rFont val="Verdana"/>
        <family val="2"/>
      </rPr>
      <t>The final year will depend on the programme compliance criteria, please check specific programme to confirm how many years needed to be calculated</t>
    </r>
    <r>
      <rPr>
        <sz val="11"/>
        <color theme="1"/>
        <rFont val="Verdana"/>
        <family val="2"/>
      </rPr>
      <t xml:space="preserve">
                                   </t>
    </r>
    <r>
      <rPr>
        <sz val="10"/>
        <color theme="1"/>
        <rFont val="Verdana"/>
        <family val="2"/>
      </rPr>
      <t xml:space="preserve">
</t>
    </r>
    <r>
      <rPr>
        <b/>
        <sz val="10"/>
        <color theme="1"/>
        <rFont val="Verdana"/>
        <family val="2"/>
      </rPr>
      <t>To calculate Year 5:</t>
    </r>
    <r>
      <rPr>
        <sz val="10"/>
        <color theme="1"/>
        <rFont val="Verdana"/>
        <family val="2"/>
      </rPr>
      <t xml:space="preserve">
               Year 0 x 1.02^5 = Year 5
</t>
    </r>
    <r>
      <rPr>
        <b/>
        <sz val="10"/>
        <color theme="1"/>
        <rFont val="Verdana"/>
        <family val="2"/>
      </rPr>
      <t xml:space="preserve">For example: </t>
    </r>
    <r>
      <rPr>
        <sz val="10"/>
        <color theme="1"/>
        <rFont val="Verdana"/>
        <family val="2"/>
      </rPr>
      <t xml:space="preserve">
SEELS England loan (5-year payback period), current electricity cost at 12p/kWh with 2% annual inflation rate the forecast cost would be: 
</t>
    </r>
    <r>
      <rPr>
        <b/>
        <sz val="10"/>
        <color theme="1"/>
        <rFont val="Verdana"/>
        <family val="2"/>
      </rPr>
      <t xml:space="preserve">Step 1
</t>
    </r>
    <r>
      <rPr>
        <sz val="10"/>
        <color theme="1"/>
        <rFont val="Verdana"/>
        <family val="2"/>
      </rPr>
      <t xml:space="preserve">
	  12 x 1.02^5 = 13.25p
</t>
    </r>
    <r>
      <rPr>
        <b/>
        <sz val="10"/>
        <color theme="1"/>
        <rFont val="Verdana"/>
        <family val="2"/>
      </rPr>
      <t xml:space="preserve">Step 2
</t>
    </r>
    <r>
      <rPr>
        <sz val="10"/>
        <color theme="1"/>
        <rFont val="Verdana"/>
        <family val="2"/>
      </rPr>
      <t xml:space="preserve">
            </t>
    </r>
    <r>
      <rPr>
        <u/>
        <sz val="10"/>
        <color theme="1"/>
        <rFont val="Verdana"/>
        <family val="2"/>
      </rPr>
      <t>12 + 13.25</t>
    </r>
    <r>
      <rPr>
        <sz val="10"/>
        <color theme="1"/>
        <rFont val="Verdana"/>
        <family val="2"/>
      </rPr>
      <t xml:space="preserve"> = 12.63p
                   2
</t>
    </r>
    <r>
      <rPr>
        <b/>
        <sz val="10"/>
        <color theme="1"/>
        <rFont val="Verdana"/>
        <family val="2"/>
      </rPr>
      <t>Forecast Energy cost = 12.63p/kWh</t>
    </r>
  </si>
  <si>
    <t>Guidance on metering, monitoring and management technologies:</t>
  </si>
  <si>
    <t>For metering and monitoring measures, enter the project and work type, details of the projects that it is enabling, and project value for each measure in the Metering, Monitoring, and Management Technologies table (within the Project Compliance Tool tab):</t>
  </si>
  <si>
    <t xml:space="preserve">To the right cell of the MMM box, input the total Salix loan value requested for any metering and/or monitoring measures. </t>
  </si>
  <si>
    <r>
      <rPr>
        <b/>
        <sz val="10"/>
        <color rgb="FFFF0000"/>
        <rFont val="Verdana"/>
        <family val="2"/>
      </rPr>
      <t xml:space="preserve">Performance management plan </t>
    </r>
    <r>
      <rPr>
        <sz val="10"/>
        <color theme="1"/>
        <rFont val="Verdana"/>
        <family val="2"/>
      </rPr>
      <t xml:space="preserve">
For projects of any value requesting funding for all new electricity generating stations, including rooftop solar panels, must submit a performance management plan.  
A performance management plan for an electricity generating station must describe how an applicant will manage the generating station over its operational lifetime to ensure it performs to expectation. It must also state the frequency of performance monitoring. The performance management plan must detail how an applicant will calculate the generating station’s annual availability percentage for Public Sector Net Zero Reporting.
Further guidance on the performance management plan can be found on our website.</t>
    </r>
  </si>
  <si>
    <t>**hidden*</t>
  </si>
  <si>
    <t>*hidden*</t>
  </si>
  <si>
    <t>Hide Here</t>
  </si>
  <si>
    <t>Organisation:</t>
  </si>
  <si>
    <t>Salix Finance:</t>
  </si>
  <si>
    <t>Compliancy Criteria:</t>
  </si>
  <si>
    <t>Programme:</t>
  </si>
  <si>
    <t>Wales Funding Programme</t>
  </si>
  <si>
    <t>Wales Compliance Tool V41</t>
  </si>
  <si>
    <t>Payback</t>
  </si>
  <si>
    <r>
      <t>£/tCO</t>
    </r>
    <r>
      <rPr>
        <b/>
        <vertAlign val="subscript"/>
        <sz val="10"/>
        <color theme="1"/>
        <rFont val="Verdana"/>
        <family val="2"/>
      </rPr>
      <t>2</t>
    </r>
    <r>
      <rPr>
        <b/>
        <sz val="10"/>
        <color theme="1"/>
        <rFont val="Verdana"/>
        <family val="2"/>
      </rPr>
      <t>e LT</t>
    </r>
  </si>
  <si>
    <t>District Heating Projects Only: Bespoke Carbon Factor kg/kWh</t>
  </si>
  <si>
    <t>Start Date</t>
  </si>
  <si>
    <t>Completion Date</t>
  </si>
  <si>
    <t>Site Name</t>
  </si>
  <si>
    <t>Remaining Site Life (yrs)</t>
  </si>
  <si>
    <t>Project Description</t>
  </si>
  <si>
    <t>Data Entry Check</t>
  </si>
  <si>
    <t>Description of Work</t>
  </si>
  <si>
    <t>Project Completion Date</t>
  </si>
  <si>
    <t>Energy
Type</t>
  </si>
  <si>
    <t>Current p/kWh</t>
  </si>
  <si>
    <t>Forecast p/kWh</t>
  </si>
  <si>
    <t>Forecast % Change</t>
  </si>
  <si>
    <t>Project Type</t>
  </si>
  <si>
    <t>Technology - Work Type</t>
  </si>
  <si>
    <t>Annual kWhrs Pre-Project</t>
  </si>
  <si>
    <t>Annual kWhrs Post-Project</t>
  </si>
  <si>
    <t>Annual kWh savings</t>
  </si>
  <si>
    <t>% kWh savings</t>
  </si>
  <si>
    <t xml:space="preserve">Project Value </t>
  </si>
  <si>
    <t>Annual Financial Savings</t>
  </si>
  <si>
    <t>Payback in Years</t>
  </si>
  <si>
    <t>kgCO2/kWh</t>
  </si>
  <si>
    <r>
      <t>tCO</t>
    </r>
    <r>
      <rPr>
        <b/>
        <vertAlign val="subscript"/>
        <sz val="10"/>
        <color theme="0"/>
        <rFont val="Verdana"/>
        <family val="2"/>
      </rPr>
      <t>2</t>
    </r>
    <r>
      <rPr>
        <b/>
        <sz val="10"/>
        <color theme="0"/>
        <rFont val="Verdana"/>
        <family val="2"/>
      </rPr>
      <t>e pa</t>
    </r>
  </si>
  <si>
    <r>
      <t>tCO</t>
    </r>
    <r>
      <rPr>
        <b/>
        <vertAlign val="subscript"/>
        <sz val="10"/>
        <color theme="0"/>
        <rFont val="Verdana"/>
        <family val="2"/>
      </rPr>
      <t>2</t>
    </r>
    <r>
      <rPr>
        <b/>
        <sz val="10"/>
        <color theme="0"/>
        <rFont val="Verdana"/>
        <family val="2"/>
      </rPr>
      <t>e LT</t>
    </r>
  </si>
  <si>
    <t>£/tCO2e LT</t>
  </si>
  <si>
    <t>PF</t>
  </si>
  <si>
    <t>Data Entry</t>
  </si>
  <si>
    <t>OK</t>
  </si>
  <si>
    <t>PF Round plus cell value 100</t>
  </si>
  <si>
    <t>Electiricty Carbon Factor</t>
  </si>
  <si>
    <t>£/tCO2</t>
  </si>
  <si>
    <t xml:space="preserve">Emergency Services </t>
  </si>
  <si>
    <t>Further Education Institute</t>
  </si>
  <si>
    <t>Higher Education Institute</t>
  </si>
  <si>
    <t>Local Authority</t>
  </si>
  <si>
    <t>NHS</t>
  </si>
  <si>
    <t>Primary School</t>
  </si>
  <si>
    <t>Secondary School</t>
  </si>
  <si>
    <t>Maintained School</t>
  </si>
  <si>
    <t>Client Type Name List</t>
  </si>
  <si>
    <t xml:space="preserve">Canteen/Cafeteria </t>
  </si>
  <si>
    <t xml:space="preserve">Campus Building </t>
  </si>
  <si>
    <t xml:space="preserve">Ambulance station </t>
  </si>
  <si>
    <t xml:space="preserve">Car Park </t>
  </si>
  <si>
    <t>Car Park</t>
  </si>
  <si>
    <t xml:space="preserve">Corridor </t>
  </si>
  <si>
    <t>Car park</t>
  </si>
  <si>
    <t>Community Centre</t>
  </si>
  <si>
    <t xml:space="preserve">Classroom </t>
  </si>
  <si>
    <t>Data Centre/ IT Facilities</t>
  </si>
  <si>
    <t>Classroom</t>
  </si>
  <si>
    <t>Council Office</t>
  </si>
  <si>
    <t xml:space="preserve">Clinical space </t>
  </si>
  <si>
    <t xml:space="preserve">Fire Rescue Station </t>
  </si>
  <si>
    <t>Corridor</t>
  </si>
  <si>
    <t>Gallery/Museum</t>
  </si>
  <si>
    <t xml:space="preserve">Corridors </t>
  </si>
  <si>
    <t>Library</t>
  </si>
  <si>
    <t>Offices</t>
  </si>
  <si>
    <t xml:space="preserve">Leisure Centre </t>
  </si>
  <si>
    <t xml:space="preserve">Laboratory </t>
  </si>
  <si>
    <t>Other</t>
  </si>
  <si>
    <t xml:space="preserve">Halls of Residence </t>
  </si>
  <si>
    <t>Non-clinical space</t>
  </si>
  <si>
    <t xml:space="preserve">Other </t>
  </si>
  <si>
    <t>Plant room</t>
  </si>
  <si>
    <t xml:space="preserve">Outdoor Sport Facilities </t>
  </si>
  <si>
    <t>Police Station</t>
  </si>
  <si>
    <t xml:space="preserve">Lecture Room </t>
  </si>
  <si>
    <t xml:space="preserve">Server Room </t>
  </si>
  <si>
    <t xml:space="preserve">Plant room </t>
  </si>
  <si>
    <t xml:space="preserve">Site Wide </t>
  </si>
  <si>
    <t>Site Wide</t>
  </si>
  <si>
    <t>Renewables Site</t>
  </si>
  <si>
    <t>Sports Hall</t>
  </si>
  <si>
    <t xml:space="preserve">Sports Hall </t>
  </si>
  <si>
    <t xml:space="preserve">Residential Care Home </t>
  </si>
  <si>
    <t xml:space="preserve">Streetlighting </t>
  </si>
  <si>
    <t xml:space="preserve">Warehouse </t>
  </si>
  <si>
    <t xml:space="preserve">Sports Hall  </t>
  </si>
  <si>
    <t xml:space="preserve">Students Union </t>
  </si>
  <si>
    <t>Total Salix Funding Requested</t>
  </si>
  <si>
    <t>Total Project Value</t>
  </si>
  <si>
    <t>Total Financial Savings</t>
  </si>
  <si>
    <t>Total
kg/kWh</t>
  </si>
  <si>
    <r>
      <t>Total
tCO</t>
    </r>
    <r>
      <rPr>
        <b/>
        <vertAlign val="subscript"/>
        <sz val="10"/>
        <color theme="0"/>
        <rFont val="Verdana"/>
        <family val="2"/>
      </rPr>
      <t>2</t>
    </r>
    <r>
      <rPr>
        <b/>
        <sz val="10"/>
        <color theme="0"/>
        <rFont val="Verdana"/>
        <family val="2"/>
      </rPr>
      <t>e pa</t>
    </r>
  </si>
  <si>
    <r>
      <t>Total
tCO</t>
    </r>
    <r>
      <rPr>
        <b/>
        <vertAlign val="subscript"/>
        <sz val="10"/>
        <color theme="0"/>
        <rFont val="Verdana"/>
        <family val="2"/>
      </rPr>
      <t>2</t>
    </r>
    <r>
      <rPr>
        <b/>
        <sz val="10"/>
        <color theme="0"/>
        <rFont val="Verdana"/>
        <family val="2"/>
      </rPr>
      <t>e LT</t>
    </r>
  </si>
  <si>
    <r>
      <t>£/tCO</t>
    </r>
    <r>
      <rPr>
        <b/>
        <vertAlign val="subscript"/>
        <sz val="10"/>
        <color theme="0"/>
        <rFont val="Verdana"/>
        <family val="2"/>
      </rPr>
      <t>2</t>
    </r>
    <r>
      <rPr>
        <b/>
        <sz val="10"/>
        <color theme="0"/>
        <rFont val="Verdana"/>
        <family val="2"/>
      </rPr>
      <t>e LT</t>
    </r>
  </si>
  <si>
    <t>Compliancy</t>
  </si>
  <si>
    <t>ECMs</t>
  </si>
  <si>
    <t>MMM</t>
  </si>
  <si>
    <t>Total</t>
  </si>
  <si>
    <t>Metering, Monitoring and Management Technologies</t>
  </si>
  <si>
    <t>Details of Projects Enabled</t>
  </si>
  <si>
    <t>Application Steps</t>
  </si>
  <si>
    <t>This is Step 1 of the 3 step application process. Please complete the above Project Compliance Tool for all projects you are seeking Salix funding for.</t>
  </si>
  <si>
    <t>If you have more than 10 projects you wish to apply for, please contact: technical@salixfinance.co.uk
Once you have completed Step 1, Step 2 involves supporting your application with the following information:
i. A completed Salix business case (in the next tab);
ii. Supporting information in the form of savings calculations, evidence of project/fuel costs, technical specifications etc.
Step 3 of the application process is to complete the Loan Amortisation tab.</t>
  </si>
  <si>
    <t>Carbon Factor for Electricity from "UK Government GHG Conversion Factors for Company Reporting" (2025)</t>
  </si>
  <si>
    <t>CO2e methodology</t>
  </si>
  <si>
    <t>Electricity</t>
  </si>
  <si>
    <t>Gas</t>
  </si>
  <si>
    <t>Gas Oil</t>
  </si>
  <si>
    <t>Fuel Oil</t>
  </si>
  <si>
    <t>Burning Oil</t>
  </si>
  <si>
    <t>Coal</t>
  </si>
  <si>
    <t>LPG</t>
  </si>
  <si>
    <t>Bespoke</t>
  </si>
  <si>
    <t>Wood pellets</t>
  </si>
  <si>
    <t>Wood chips</t>
  </si>
  <si>
    <t>Salix Business Case Template</t>
  </si>
  <si>
    <t>Programme details</t>
  </si>
  <si>
    <t>Project Title:</t>
  </si>
  <si>
    <t>Organisation name:</t>
  </si>
  <si>
    <t>Submission date:</t>
  </si>
  <si>
    <t>Estimated Completion Date:</t>
  </si>
  <si>
    <t>Main Contact for Project</t>
  </si>
  <si>
    <t>Project Cost Breakdown</t>
  </si>
  <si>
    <t>Name</t>
  </si>
  <si>
    <t>Main equipment capital costs (£)</t>
  </si>
  <si>
    <t>Job title</t>
  </si>
  <si>
    <t>Address line 1</t>
  </si>
  <si>
    <t>Installation costs (£)</t>
  </si>
  <si>
    <t>Address line 2</t>
  </si>
  <si>
    <t>City</t>
  </si>
  <si>
    <t>Project management costs (£)</t>
  </si>
  <si>
    <t>Post code</t>
  </si>
  <si>
    <t>Telephone</t>
  </si>
  <si>
    <t>Contingency costs (£)</t>
  </si>
  <si>
    <t>Email</t>
  </si>
  <si>
    <t>Other project costs (£)</t>
  </si>
  <si>
    <t>Total projects costs</t>
  </si>
  <si>
    <t>1. Cost Breakdown</t>
  </si>
  <si>
    <t>Project cost breakdown - Provide commentary on the project cost breakdown.</t>
  </si>
  <si>
    <t>•   How have project costs been estimated?
•   Do the project costs account for operation/maintenance costs?</t>
  </si>
  <si>
    <t>2. Project Details</t>
  </si>
  <si>
    <t>Project background - Provide background on the project including all possible benefits.</t>
  </si>
  <si>
    <t>•   If you have multiple projects &gt;£100,000, please provide details for all of them below.
•   How has the project been identified?
•   Who has been involved in developing the project?  
•   How will the project go towards addressing existing issues relating to energy and carbon use?</t>
  </si>
  <si>
    <t>3. Details of Supporting Documentation</t>
  </si>
  <si>
    <t xml:space="preserve">•  Please list all supporting information document titles in the box below.
•  All applications should provide energy savings calculations, cost calculations/breakdown, cost/quote evidence, data sheets, and an energy and carbon monitoring plan
•  For applications valued over £100,000 please also provide an internal risk register and project programme.    </t>
  </si>
  <si>
    <t>4. Details of Project Energy Saving Calculations</t>
  </si>
  <si>
    <t xml:space="preserve">•  Describe how the project energy and carbon savings have been calculated, detailing any assumptions.
•  Calculations should be submitted alongside your application form.
•  Describe the methodology used to calculate the forecasted fuel costs. </t>
  </si>
  <si>
    <t>5. Energy and Carbon Monitoring Plan Post-Completion</t>
  </si>
  <si>
    <t>Salix recommends that energy and carbon consumption be monitored prior to and following the completion of the project.
•    What are the arrangements for monitoring and managing the programme post-completion?
•    What plans are there for evaluation?</t>
  </si>
  <si>
    <t>6. Performance Monitoring Plan</t>
  </si>
  <si>
    <t>Applicants seeking funding for new electricity-generating stations (including solar PV) must submit a Performance Management Plan to demonstrate how system performance will be maintained over its lifetime. The plan must designate a performance manager responsible for ensuring expected performance, separate from contractors. See the full Guidance Notes for more detail. 
•    What are the arrangements for monitoring and managing the performance post-completion?
•    Describe how you will measure annual availability, kilowatt hours generated, and the financial and carbon value of the generated electricity.</t>
  </si>
  <si>
    <t>7. Project Governance</t>
  </si>
  <si>
    <t>Please define the project team and their roles in the delivery of the project (e.g. consultants, contractors, senior manager etc.).
•    Please outline the organisation structure in terms of who has the authority to approve the project and any changes.
•    Has a Project Execution Plan been drawn up to state exactly how the project will be managed?
•    For projects valued over £100,000, please attach a copy of your internal project plan.</t>
  </si>
  <si>
    <t>8. Previous Experience</t>
  </si>
  <si>
    <t>Describe any previous experience that you may have with the proposed energy efficiency measure.
•    Please also outline the experience members of the project team have with managing projects of a similar scale, including that of any third-party support.</t>
  </si>
  <si>
    <t>9. Project Risks &amp; Mitigation</t>
  </si>
  <si>
    <t>Describe any project risks and give details of measures designed to minimise or avoid them. This should cover:
•    Any project dependencies, such as other projects being completed on time or coordination around organisational issues (e.g. exam periods and heating season).
•    Risks to project delivery and details of the management structures in place to monitor.
•    Detail other outstanding issues that need to be resolved before the project can proceed (e.g. finalising plant sizes or communication with stakeholders).
•    The risks associated with the project failing to achieve the savings.
•    Please attach a copy of your internal risk register.</t>
  </si>
  <si>
    <t>Description of Risk</t>
  </si>
  <si>
    <t>Level of Risk</t>
  </si>
  <si>
    <t xml:space="preserve">How will the risk be managed and/or mitigated? </t>
  </si>
  <si>
    <t>10. Timescales</t>
  </si>
  <si>
    <t>Give details of the critical path for timetable delivery of the project including:
•   Dates for key delivery milestones, if there is a programme of works for the project please attach.
•   What level of contingency for potential programme slippage has been built in to the delivery timeline.
Please provide details of and significant lead-in times for the ordering and delivery of key project equipment, including details of discussions/agreements with suppliers/contractors.</t>
  </si>
  <si>
    <t>11. Key Project Milestones</t>
  </si>
  <si>
    <t>Steps taken / to be taken</t>
  </si>
  <si>
    <t>Process</t>
  </si>
  <si>
    <t>Start date</t>
  </si>
  <si>
    <t>End date</t>
  </si>
  <si>
    <t>Include no. of days Contingency</t>
  </si>
  <si>
    <t>Is this Complete?</t>
  </si>
  <si>
    <t>Project Approval</t>
  </si>
  <si>
    <t>Estates/finance approval</t>
  </si>
  <si>
    <t>Board/councillors approval</t>
  </si>
  <si>
    <t>Tender</t>
  </si>
  <si>
    <t>Project design time</t>
  </si>
  <si>
    <t>Project out to tender</t>
  </si>
  <si>
    <t>Contract awarded</t>
  </si>
  <si>
    <t>Cool off period</t>
  </si>
  <si>
    <t>PFI agreement (if applicable)</t>
  </si>
  <si>
    <t>Sign Deed of Variation</t>
  </si>
  <si>
    <t>Order</t>
  </si>
  <si>
    <t>Order Placed</t>
  </si>
  <si>
    <t>Delivery</t>
  </si>
  <si>
    <t>Equipment Delivery</t>
  </si>
  <si>
    <t>Project on site</t>
  </si>
  <si>
    <t xml:space="preserve">Starting project installation </t>
  </si>
  <si>
    <t>Project completion</t>
  </si>
  <si>
    <t>Project complete onsite</t>
  </si>
  <si>
    <t xml:space="preserve">Commissioning </t>
  </si>
  <si>
    <t>Invoicing</t>
  </si>
  <si>
    <t>Send completion certificate to Salix</t>
  </si>
  <si>
    <t>Returning loan agreement to Salix</t>
  </si>
  <si>
    <t>12. Well-Being of Future Generations (Wales) Act 2015</t>
  </si>
  <si>
    <t xml:space="preserve">•   Please describe how this project will maximise the organisation's contribution to one or more of the seven well-being goals in the Act and how this project is in accordance with the Sustainable Development Principles.
•   Further information on the Act and Legislation can be found at https://www.futuregenerations.wales/
</t>
  </si>
  <si>
    <t>Salix Business Case Template - Part 3</t>
  </si>
  <si>
    <t>The final step of the application process is to complete the Loan Amortisation tab (see next tab).</t>
  </si>
  <si>
    <t>For questions regarding how to complete this form or what information to include in your application, please do not hesitate to contact a member of the Energy and Carbon Technical Team: technical@salixfinance.co.uk</t>
  </si>
  <si>
    <t>Loan Amortisation</t>
  </si>
  <si>
    <t>This loan amortisation provides an indicative loan repayment schedule and detail of your loan amortisation. The schedule is based on the costs, annual financial savings, technical payback, and completion date entered in the Project Compliance Tool.
The schedule automatically calculates the minimum required repayment value each year to ensure all funds are returned by the end of the payback period. Repayments of the capital will start after the project has completed. As per the terms of the Wales Funding Programme, the first interest repayment will be due the February following your capital drawdown. The value due will be calculated dependent on the drawdown date of your loan.
The drawdown date has been set at six weeks from the date of your application for the purposes of this indicative repayment schedule. This can be subject to change and will be reconfirmed by Salix on behalf of Welsh Government and yourselves later in the process following the assessment of your application.
You can choose to repay part of your capital balance early either before the project has completed or throughout the repayment period by entering a value into the early capital repayment column. The table will update all other values accordingly to show the impact on the repayment period and your interest.
Salix will review the loan amortisation table to ensure it meets the requirement of the loan repayment deadline, and consider any early repayments. If your application is successful, the loan amortisation schedule will be confirmed at the deliverability call stage and mutually agreed between yourselves, Salix and the Welsh Government prior to issuing the loan agreement.
Note that Salix reserves the right, on behalf of Welsh Government, to share details of your application including the loan amortisation schedule both indicative and confirmed with the Welsh Government and funding partners.</t>
  </si>
  <si>
    <t>1. Proposed Repayment Plan</t>
  </si>
  <si>
    <t>Your project's estimated annual financial savings</t>
  </si>
  <si>
    <r>
      <t>Your project's technical payback</t>
    </r>
    <r>
      <rPr>
        <sz val="14"/>
        <color rgb="FF382573"/>
        <rFont val="Verdana"/>
        <family val="2"/>
      </rPr>
      <t xml:space="preserve"> </t>
    </r>
    <r>
      <rPr>
        <sz val="11"/>
        <color rgb="FF382573"/>
        <rFont val="Verdana"/>
        <family val="2"/>
      </rPr>
      <t>- this is the maximum loan repayment period you can select.</t>
    </r>
  </si>
  <si>
    <t xml:space="preserve">1a. How many years do you intend to payback your loan in?
</t>
  </si>
  <si>
    <t>If you anticipate to payback the loan in one year, you may skip the amortisation table in Section 3.</t>
  </si>
  <si>
    <t>Minimum required repayment value (pa)</t>
  </si>
  <si>
    <t xml:space="preserve">This value will be apportioned to capital and interest as shown in the amortisation table below. </t>
  </si>
  <si>
    <t>1b. Do you anticipate to make any early repayments of the loan?</t>
  </si>
  <si>
    <t>If yes, please enter these in the 'Early Capital Repayment' column for the respective years in the loan amortisation table in Section 3.</t>
  </si>
  <si>
    <t>1c. Do you intend to draw down all funds in the first year?</t>
  </si>
  <si>
    <t>If not, please complete the following table</t>
  </si>
  <si>
    <t>Do you intend to drawdown in the following years?</t>
  </si>
  <si>
    <t>When do you intend to drawdown?</t>
  </si>
  <si>
    <t>Drawdown amount</t>
  </si>
  <si>
    <t>Year 1</t>
  </si>
  <si>
    <t>Yes</t>
  </si>
  <si>
    <t>Year 2</t>
  </si>
  <si>
    <t>Year 3</t>
  </si>
  <si>
    <t xml:space="preserve">1d. Please provide commentary to support the proposed repayment plan below. </t>
  </si>
  <si>
    <t>• Consider how financial savings generated from the project as shown above are used to contribute towards annual repayment values. 
• Where early capital repayments are used and the minimum required annual repayment value is exceeded please provide commentary to explain how the value of early repayments was deduced, and reasons for this.</t>
  </si>
  <si>
    <t>2. Indicative Repayment Schedule; please ensure all previous Steps have been completed.</t>
  </si>
  <si>
    <t>Loan summary</t>
  </si>
  <si>
    <t>Interest Summary</t>
  </si>
  <si>
    <t>Total project value</t>
  </si>
  <si>
    <t>Total Interest Payments</t>
  </si>
  <si>
    <t>Total loan requested</t>
  </si>
  <si>
    <t>Annual interest rate</t>
  </si>
  <si>
    <t>Est. 1st drawdown date</t>
  </si>
  <si>
    <t>Capital Repayment Summary</t>
  </si>
  <si>
    <t>Est. 2nd drawdown date</t>
  </si>
  <si>
    <t>Is applicant making any early repayments?</t>
  </si>
  <si>
    <t>Est. 3rd drawdown date</t>
  </si>
  <si>
    <t>Total Early Repayments</t>
  </si>
  <si>
    <t>Est. project completion date</t>
  </si>
  <si>
    <t>Total Capital Repayments</t>
  </si>
  <si>
    <t>Project completion month</t>
  </si>
  <si>
    <t>3. Loan Amortisation Table;</t>
  </si>
  <si>
    <t>Start of Year</t>
  </si>
  <si>
    <t>End of Year</t>
  </si>
  <si>
    <t>Capital Repayment Payment Number</t>
  </si>
  <si>
    <t>Interest Repayment Number</t>
  </si>
  <si>
    <t>Payment Financial Year</t>
  </si>
  <si>
    <t>PFY</t>
  </si>
  <si>
    <t>Drawdown 1 Capital Amount</t>
  </si>
  <si>
    <t>Drawdown 2 Capital Amount</t>
  </si>
  <si>
    <t>Drawdown 3 Capital Amount</t>
  </si>
  <si>
    <t>Capital Balance at FY Start</t>
  </si>
  <si>
    <t>Minimum Required Repayment Including Interest</t>
  </si>
  <si>
    <t>Beginning Capital Balance</t>
  </si>
  <si>
    <t>Minimum Required Repayment Value (Per Annum)</t>
  </si>
  <si>
    <t>Drawdowns First Year Interest Payments</t>
  </si>
  <si>
    <t>Interest Payment</t>
  </si>
  <si>
    <t>Total Interest Payment</t>
  </si>
  <si>
    <t>Capital Repayment</t>
  </si>
  <si>
    <t>Early Capital Repayment</t>
  </si>
  <si>
    <t>Total Capital Repayment</t>
  </si>
  <si>
    <t>Ending Capital Balance</t>
  </si>
  <si>
    <t>hide - Ending Balance Test - shows what the final payment should be</t>
  </si>
  <si>
    <t>Hide - Final Payment Year</t>
  </si>
  <si>
    <t>Hide 3</t>
  </si>
  <si>
    <t>Hide - If ending capital is loan</t>
  </si>
  <si>
    <t>Hide 4</t>
  </si>
  <si>
    <t>Repayment Status</t>
  </si>
  <si>
    <t>Total Repayment Per Annum</t>
  </si>
  <si>
    <t>Cumulative Capital Payments</t>
  </si>
  <si>
    <t>Cumulative Interest Payments</t>
  </si>
  <si>
    <t>Additionality Criteria:</t>
  </si>
  <si>
    <r>
      <t xml:space="preserve">Projects must also be “additional” – i.e. would not have happened without the funding.  For projects already part of the agreed and funded maintenance programme, the fund can only support the additional investment needed to select a more expensive energy saving option.  This does not prevent projects that have been identified and costed from applying, as long as funds have not been allocated. There are a number of criteria that are used to assess whether a project is “additional”, including: 
    • Is the project required by legislation? If so it is “not additional”.
    • Is it required by Building Regulations or planning officers (e.g. requirement for a percentage of </t>
    </r>
    <r>
      <rPr>
        <sz val="10"/>
        <color theme="0"/>
        <rFont val="Verdana"/>
        <family val="2"/>
      </rPr>
      <t>eeee</t>
    </r>
    <r>
      <rPr>
        <sz val="10"/>
        <color theme="1"/>
        <rFont val="Verdana"/>
        <family val="2"/>
      </rPr>
      <t>electricity demand in new buildings to be met by onsite renewables)? If so, it is “not additional”.
    • Has it already started or has funding already been agreed? If so it is “not additional”.
If the answer to all of the above questions is NO then the project can be funded under the Scheme.</t>
    </r>
  </si>
  <si>
    <t>Examples of Eligible Technologies</t>
  </si>
  <si>
    <t>The following list includes examples of eligible technologies for the Recycling Fund and WFP Schemes. If you intend to include technologies that do not appear on this list in your application, please discuss with Salix prior to submission.</t>
  </si>
  <si>
    <t>Work Type</t>
  </si>
  <si>
    <t>Direct carbon savings</t>
  </si>
  <si>
    <t>Indirect carbon savings</t>
  </si>
  <si>
    <t>Lifetime</t>
  </si>
  <si>
    <t>Lifetime and Persistence Factor Definitions</t>
  </si>
  <si>
    <t>Low carbon heating</t>
  </si>
  <si>
    <t>Air source heat pump (air to water)</t>
  </si>
  <si>
    <t>x</t>
  </si>
  <si>
    <r>
      <rPr>
        <sz val="14"/>
        <rFont val="Verdana"/>
        <family val="2"/>
      </rPr>
      <t>Lifetime</t>
    </r>
    <r>
      <rPr>
        <sz val="11"/>
        <rFont val="Verdana"/>
        <family val="2"/>
      </rPr>
      <t xml:space="preserve">: This is the anticipated lifetime of a low carbon heating technology used to calculate lifetime savings. The lifetime is used in the calculation of cost to save a tonne of CO2e over the lifetime of an application for low carbon heating measures (£/tCO2eLT). 
</t>
    </r>
    <r>
      <rPr>
        <sz val="14"/>
        <rFont val="Verdana"/>
        <family val="2"/>
      </rPr>
      <t>Persistence Factor</t>
    </r>
    <r>
      <rPr>
        <sz val="11"/>
        <rFont val="Verdana"/>
        <family val="2"/>
      </rPr>
      <t xml:space="preserve">: The persistence factor is the lifetime of the energy efficiency technology averaged to factor in degradation. The Persistence Factors for individual technologies employed by Salix are based on, and are consistent with, those derived by the Carbon Trust. The PF is used in the calculation of cost to save a tonne of CO2e over the lifetime of an application for energy efficiency measures (£/tCO2eLT). 
</t>
    </r>
  </si>
  <si>
    <t>Air source heat pump (air to air)</t>
  </si>
  <si>
    <t xml:space="preserve">Ground source heat pump </t>
  </si>
  <si>
    <t>Water source heat pump</t>
  </si>
  <si>
    <t>Connect to existing district heating</t>
  </si>
  <si>
    <t>Heating - electric heating</t>
  </si>
  <si>
    <t>Hot water - electric point of use heaters</t>
  </si>
  <si>
    <t>Solar thermal</t>
  </si>
  <si>
    <t>Biomass</t>
  </si>
  <si>
    <t>Carbon Conversion Factors</t>
  </si>
  <si>
    <t>Persistence Factor</t>
  </si>
  <si>
    <t>Energy Source</t>
  </si>
  <si>
    <r>
      <t xml:space="preserve"> kg CO</t>
    </r>
    <r>
      <rPr>
        <b/>
        <vertAlign val="subscript"/>
        <sz val="9"/>
        <color theme="0"/>
        <rFont val="Verdana"/>
        <family val="2"/>
      </rPr>
      <t>2</t>
    </r>
    <r>
      <rPr>
        <b/>
        <sz val="9"/>
        <color theme="0"/>
        <rFont val="Verdana"/>
        <family val="2"/>
      </rPr>
      <t>e/kWh</t>
    </r>
  </si>
  <si>
    <t>Notes</t>
  </si>
  <si>
    <t>Previous Values</t>
  </si>
  <si>
    <t>Building energy management systems (BEMS)</t>
  </si>
  <si>
    <t>BEMS - not remotely managed</t>
  </si>
  <si>
    <t>Scope 2 &amp; Scope 3  (Transmission and Distribution losses only)</t>
  </si>
  <si>
    <t>E</t>
  </si>
  <si>
    <t>BEMS - remotely managed</t>
  </si>
  <si>
    <t>Scope 1 only</t>
  </si>
  <si>
    <t>G</t>
  </si>
  <si>
    <t>Cooling</t>
  </si>
  <si>
    <t>Cooling - control system</t>
  </si>
  <si>
    <t>Gas oil</t>
  </si>
  <si>
    <t>GO</t>
  </si>
  <si>
    <t>Cooling - plant replacement/upgrade</t>
  </si>
  <si>
    <t>Fuel oil</t>
  </si>
  <si>
    <t>Heating oils other than gas oil or burning oil</t>
  </si>
  <si>
    <t>FO</t>
  </si>
  <si>
    <t>Energy efficient chillers</t>
  </si>
  <si>
    <t>Burning oil</t>
  </si>
  <si>
    <t>Also known as kerosene or paraffin used for heating systems</t>
  </si>
  <si>
    <t>BO</t>
  </si>
  <si>
    <t>Free cooling</t>
  </si>
  <si>
    <t>C</t>
  </si>
  <si>
    <t>Replacement of air conditioning with evaporative cooling</t>
  </si>
  <si>
    <t>L</t>
  </si>
  <si>
    <t>Energy from waste</t>
  </si>
  <si>
    <t>Anaerobic digestion</t>
  </si>
  <si>
    <t xml:space="preserve">Scope 1 only </t>
  </si>
  <si>
    <t>WP</t>
  </si>
  <si>
    <t>Incineration</t>
  </si>
  <si>
    <t>WC</t>
  </si>
  <si>
    <t>Heating</t>
  </si>
  <si>
    <t>Heat recovery</t>
  </si>
  <si>
    <t>Biogas</t>
  </si>
  <si>
    <t>BG</t>
  </si>
  <si>
    <t>Heating - discrete controls</t>
  </si>
  <si>
    <t xml:space="preserve">Source:
</t>
  </si>
  <si>
    <t>DESNZ: Current GHG conversion factors - updated June 2025.</t>
  </si>
  <si>
    <t>Heating - distribution pipework improvements</t>
  </si>
  <si>
    <t>Heating - zone control valves</t>
  </si>
  <si>
    <t>Replace steam calorifier with plate heat exchanger</t>
  </si>
  <si>
    <t>Steam trap replacements</t>
  </si>
  <si>
    <t>Thermal stores</t>
  </si>
  <si>
    <t>Hot water</t>
  </si>
  <si>
    <t>Flow restrictors</t>
  </si>
  <si>
    <t>Hot water - distribution improvements</t>
  </si>
  <si>
    <t>Hot water - efficient taps</t>
  </si>
  <si>
    <t>Insulation - building fabric</t>
  </si>
  <si>
    <t>Cavity wall insulation</t>
  </si>
  <si>
    <t xml:space="preserve">Double glazing with metal or plastic frames </t>
  </si>
  <si>
    <t>Dry wall lining</t>
  </si>
  <si>
    <t>Loft insulation</t>
  </si>
  <si>
    <t>Floor insulation - suspended timber floor</t>
  </si>
  <si>
    <t>Floor insulation - solid floor or other type</t>
  </si>
  <si>
    <t>Roof insulation</t>
  </si>
  <si>
    <t>Secondary glazing</t>
  </si>
  <si>
    <t>Insulation - draught proofing</t>
  </si>
  <si>
    <t>Insulation - other</t>
  </si>
  <si>
    <t>Automatic speed doors</t>
  </si>
  <si>
    <t>Automatic/revolving doors</t>
  </si>
  <si>
    <t>Draught lobby (external)</t>
  </si>
  <si>
    <t>Draught lobby (internal)</t>
  </si>
  <si>
    <t>Radiator reflective foil (external walls)</t>
  </si>
  <si>
    <t>Insulation - pipework</t>
  </si>
  <si>
    <t>Heating pipework insulation (external)</t>
  </si>
  <si>
    <t>Heating pipework insulation (internal)</t>
  </si>
  <si>
    <t>LED lighting</t>
  </si>
  <si>
    <t>LED - new fitting</t>
  </si>
  <si>
    <t>LED - same fitting</t>
  </si>
  <si>
    <t>Lighting controls</t>
  </si>
  <si>
    <t>Lighting - discrete controls</t>
  </si>
  <si>
    <t>Lighting control system centralised</t>
  </si>
  <si>
    <t>Motor controls</t>
  </si>
  <si>
    <t>Fixed speed motor controls</t>
  </si>
  <si>
    <t>Motors - flat belt drives</t>
  </si>
  <si>
    <t>Variable speed drives</t>
  </si>
  <si>
    <t>Motor replacement</t>
  </si>
  <si>
    <t>Motors - high efficiency</t>
  </si>
  <si>
    <t>Renewable energy</t>
  </si>
  <si>
    <t>Small hydropower</t>
  </si>
  <si>
    <t>Solar PV</t>
  </si>
  <si>
    <t>Wind turbine</t>
  </si>
  <si>
    <t>Time switches</t>
  </si>
  <si>
    <t>Ventilation</t>
  </si>
  <si>
    <t>Fans - air handling unit</t>
  </si>
  <si>
    <t>Fans - high efficiency</t>
  </si>
  <si>
    <t xml:space="preserve">Phase change material </t>
  </si>
  <si>
    <t>Ultrasonic humidifiers</t>
  </si>
  <si>
    <t>Ventilation - distribution</t>
  </si>
  <si>
    <t>Ventilation - presence controls</t>
  </si>
  <si>
    <t>Reinvigoration of existing assets - metering, monitoring and management technology</t>
  </si>
  <si>
    <t>Metering</t>
  </si>
  <si>
    <t>Meters</t>
  </si>
  <si>
    <t>N/A</t>
  </si>
  <si>
    <t>Sub-meters</t>
  </si>
  <si>
    <t>Monitoring</t>
  </si>
  <si>
    <t>Energy monitoring and management platform</t>
  </si>
  <si>
    <t>Communication device</t>
  </si>
  <si>
    <t>Work-type list name</t>
  </si>
  <si>
    <t xml:space="preserve">Client type </t>
  </si>
  <si>
    <t xml:space="preserve">Client-type list name </t>
  </si>
  <si>
    <t>Client Type Selected</t>
  </si>
  <si>
    <t>Client-type list name</t>
  </si>
  <si>
    <t>Project Completion Financial Year</t>
  </si>
  <si>
    <t>Final Payment Year</t>
  </si>
  <si>
    <t>Drawdown 1 Financial Year</t>
  </si>
  <si>
    <t>Drawdown 2 Financial Year</t>
  </si>
  <si>
    <t>Drawdown 3 Financial Year</t>
  </si>
  <si>
    <t>Drawdown Dates</t>
  </si>
  <si>
    <t>Building management systems</t>
  </si>
  <si>
    <t>BMS</t>
  </si>
  <si>
    <t xml:space="preserve">Emergency_Services </t>
  </si>
  <si>
    <t xml:space="preserve">Further Education Institution </t>
  </si>
  <si>
    <t xml:space="preserve">Further_Education_Institution </t>
  </si>
  <si>
    <t>EfW</t>
  </si>
  <si>
    <t>Project Row</t>
  </si>
  <si>
    <t>Project Type Selected</t>
  </si>
  <si>
    <t>Work type selected</t>
  </si>
  <si>
    <t>Consistency check</t>
  </si>
  <si>
    <t>Check that all cells are ok</t>
  </si>
  <si>
    <t xml:space="preserve">Higher Education Institution </t>
  </si>
  <si>
    <t xml:space="preserve">Higher_Education_Institution </t>
  </si>
  <si>
    <t>Local_Authority</t>
  </si>
  <si>
    <t>Hot_water</t>
  </si>
  <si>
    <t>Insulation_building_fabric</t>
  </si>
  <si>
    <t>Primary_School</t>
  </si>
  <si>
    <t>Insulation_draught_proofing</t>
  </si>
  <si>
    <t>Secondary_School</t>
  </si>
  <si>
    <t>Insulation_other</t>
  </si>
  <si>
    <t>Insulation_pipework</t>
  </si>
  <si>
    <t>LCH</t>
  </si>
  <si>
    <t>LEDs</t>
  </si>
  <si>
    <t>Lighting_controls</t>
  </si>
  <si>
    <t>Motor_controls</t>
  </si>
  <si>
    <t>Motor_replacement</t>
  </si>
  <si>
    <t>Renewables</t>
  </si>
  <si>
    <t>Time_switches</t>
  </si>
  <si>
    <t>Transformers</t>
  </si>
  <si>
    <t>Project_Type_2</t>
  </si>
  <si>
    <t>Enter Project Type first</t>
  </si>
  <si>
    <t>Programme</t>
  </si>
  <si>
    <t>PB</t>
  </si>
  <si>
    <t>£/tCO2e</t>
  </si>
  <si>
    <t>Recycling Fund Wales</t>
  </si>
  <si>
    <t>Overall project</t>
  </si>
  <si>
    <t>Criteria</t>
  </si>
  <si>
    <t>Wales_Funding_Programme</t>
  </si>
  <si>
    <t>Higher_Education_Institute</t>
  </si>
  <si>
    <t>Recycling_Fund_England_HEI</t>
  </si>
  <si>
    <t>Recycling_Fund_Wales</t>
  </si>
  <si>
    <t>Further_Education_Institute</t>
  </si>
  <si>
    <t>Recycling_Fund_England</t>
  </si>
  <si>
    <t>Emergency Services</t>
  </si>
  <si>
    <t>Emergency_Services</t>
  </si>
  <si>
    <t xml:space="preserve">Primary School </t>
  </si>
  <si>
    <t xml:space="preserve">Primary_School </t>
  </si>
  <si>
    <t>SEELS_England</t>
  </si>
  <si>
    <t>SEELS_Schools</t>
  </si>
  <si>
    <t>Recycling_Fund_Scotland</t>
  </si>
  <si>
    <t>Primary School (Local Authority)</t>
  </si>
  <si>
    <t>Secondary School (Local Authority)</t>
  </si>
  <si>
    <t>SEELS_Scotland</t>
  </si>
  <si>
    <t>Salix_Decarbonisation_Fund</t>
  </si>
  <si>
    <t>Programme Selected</t>
  </si>
  <si>
    <t>vlookup</t>
  </si>
  <si>
    <t>Salix Business Case Template - Assessment and Feedback</t>
  </si>
  <si>
    <t>Assessment form for Salix/Atkins</t>
  </si>
  <si>
    <t>Objectives:</t>
  </si>
  <si>
    <t>Programme Title:</t>
  </si>
  <si>
    <t xml:space="preserve">This assessment's primary objective is to evaluate the business case (as provided by the applicant) in a structured manner, identifying strengths &amp; weaknesses leading to a judgement as to whether the business case is technically sound and is likely to deliver the energy savings &amp; payback period presented.  If the business case is unsound or needs further consideration, the assessment should identify what further information is needed from the client. </t>
  </si>
  <si>
    <t>Public Sector Body:</t>
  </si>
  <si>
    <t>1. Technical case</t>
  </si>
  <si>
    <t xml:space="preserve">Score Green for High Quality, Amber for With Conditions and Red for Requires Improvement </t>
  </si>
  <si>
    <t xml:space="preserve">
Consider the project description provided (Business Case tab, Section 2) in terms of clarity, completeness, asset lifetime, energy saving potential and other benefits.  Consider the contextual information provided by the applicant in support of the project.
</t>
  </si>
  <si>
    <t>1.1 Project Description including any background material (For Wales Applications: Future Generations Act 2015)</t>
  </si>
  <si>
    <t>1.2 Technical Feasibility &amp; Future Resilience</t>
  </si>
  <si>
    <t xml:space="preserve">Consider the project's technical feasibility in terms of good evidence for delivering the expected energy savings from the information provided by the applicant.
Take into account proven track record in technology installation and if applicant has previously used supplier successfully. </t>
  </si>
  <si>
    <t>1.3 Material provided on the technology, has the final product been chosen?</t>
  </si>
  <si>
    <t xml:space="preserve">Consider additional technical information provided in the business case and supporting supplier technology specifications (data sheets). Consider the material provided to support the creditability of the supplier/contractor to deliver the project and the technology being installed. </t>
  </si>
  <si>
    <t>1.4 Energy/Carbon Savings Calculations</t>
  </si>
  <si>
    <t>Consider whether energy savings estimate is robust being based on realistic data, assumptions and estimations for the technology. Take into account if the applicant can demonstrate/reference energy savings from similar projects. Consider whether it's likely to deliver benefits in addition to the cost &amp; energy savings claimed; e.g. CRC, maintenance, reliability, safety, etc. Do the energy savings provided match what is in the compliance tool? Is the methodology for obtaining savings clear?</t>
  </si>
  <si>
    <t>1.5 Energy/Carbon Monitoring Plan</t>
  </si>
  <si>
    <t>See the Business Case tab, Section 5. Consider the monitoring plan for assessing the energy savings made by the project; i.e. project specific metering, manual measurements etc.</t>
  </si>
  <si>
    <t xml:space="preserve">1.6 Performance Management Plan </t>
  </si>
  <si>
    <t xml:space="preserve">See Business Case tab Section 6 and any other supporting information. Consider the methodology used to measure annual availability, kilowatt hours generated, and the financial and carbon value of the generated electricity. Consider the frequency of monitoring and the person responsible for measuring performance. </t>
  </si>
  <si>
    <t>2. Financial case</t>
  </si>
  <si>
    <t>2.1 Main Equipment Costs</t>
  </si>
  <si>
    <t xml:space="preserve">Consider whether the project capital cost is clearly structured and complete, or if there are significant elements missing or unclear. </t>
  </si>
  <si>
    <t>2.2 Installation Cost</t>
  </si>
  <si>
    <t>Considering whether any installation costs are clearly identified and appropriate.</t>
  </si>
  <si>
    <t>2.3 Other Project Costs</t>
  </si>
  <si>
    <t>Are there any other project costs identified such as design or project management fees.</t>
  </si>
  <si>
    <t>2.4 Operating &amp; Maintenance Cost</t>
  </si>
  <si>
    <t xml:space="preserve">
Ensure that any operating &amp; maintenance costs are clearly identified, appropriate and realistic.
If there are no significant ongoing maintenance or operating costs score highly. Are the Maintenance costs expected to increase or decrease?</t>
  </si>
  <si>
    <t>Comments on Project Costs (2.1-2.4):</t>
  </si>
  <si>
    <t>2.5 Evidence of Firm Pricing or close budgets having been received</t>
  </si>
  <si>
    <t>Consider the costing source information validity; i.e. single quotation, multiple quotations, cross referenced to similar projects etc. Has firm pricing been confirmed?</t>
  </si>
  <si>
    <t>2.6 Project Cost Savings Calculations with particular reference to the fuel prices being considered</t>
  </si>
  <si>
    <t xml:space="preserve">See the p/kWh fuel costs in the project compliance tool and any supporting commentary in the Business Case tab Section 4 if provided - is the methodology for obtaining p/kWh clear?. Consider how robust the cost saving calculations are by referring to the project energy saving estimation and unit energy costs. Take into account if the applicant can demonstrate or reference savings from similar projects. </t>
  </si>
  <si>
    <t>2.7 Simple Payback Period Realistic / Is the payback period &amp; cost of carbon in line with similar projects</t>
  </si>
  <si>
    <t xml:space="preserve">Consider if the project payback period estimation is robust and complete. Is the CCT typical to other similar projects? See the project compliance tool. </t>
  </si>
  <si>
    <t>3. Project governance, risks, mitigation</t>
  </si>
  <si>
    <t xml:space="preserve">
See Business Case tab, Section 9 or full risk register. Consider the project risk management and mitigation proposed; i.e. scheduling, shutdowns, contractor access, milestones to give overview of applicant's risk management assessment. Consider negative consequences of project installation &amp; any negative implications of  installing or not installing the project. Highlight any potential significant risks not specifically identified by the applicant.</t>
  </si>
  <si>
    <t>3.1 Project Risks &amp; Mitigations</t>
  </si>
  <si>
    <t>3.2 Project Implementation / Schedule - Timings included; for example key milestones for installation and commissioning</t>
  </si>
  <si>
    <t>See the Business Case tab Section 10 or project programme. How do the timeframes compare to other similar projects? 
Are there any key consideration that may delay the project, such as PFI, board sign off? Is sufficient contingency evidenced to mitigate delays to key processes?</t>
  </si>
  <si>
    <t>3.3 Applicant/Contractors' previous experience capability</t>
  </si>
  <si>
    <t>See the Business Case tab, Section 8. Has the applicant and/or contractor had previous experience of similar projects? Consider case studies or other supporting information provided.</t>
  </si>
  <si>
    <t>3.4 Is the project governance sufficient for the size and complexity of the work to be completed?</t>
  </si>
  <si>
    <t xml:space="preserve">See the Business Case tab, Section 7 and any other supporting information such as an organogram of who is involved on the project team internally and externally. </t>
  </si>
  <si>
    <t>Number of months to commission?</t>
  </si>
  <si>
    <t>Is this timeframe feasible for the technologies included in the project? See the Business Case tab, Section 11.</t>
  </si>
  <si>
    <t>Number of months contingency?</t>
  </si>
  <si>
    <t>If no contingency provided, what should there be? Is there likely to be slippage in the project milestones? See the Business Case tab, Section 11 or the project programme if provided (required for projects over £100,000).</t>
  </si>
  <si>
    <t>Board/councillors approval?</t>
  </si>
  <si>
    <t>If not yet approved, when will approval be given? See the Business Case tab, Section 11.</t>
  </si>
  <si>
    <t>Is procurement complete?</t>
  </si>
  <si>
    <t>If not complete, then what is the process and timescale? See the Business Case tab, Section 11.</t>
  </si>
  <si>
    <t>Assessor review and recommendations</t>
  </si>
  <si>
    <t>Based on the overall score achieved, the business case for this project is:</t>
  </si>
  <si>
    <t>Green = Passed
Amber = Passed with conditions
Red = Requires improvement</t>
  </si>
  <si>
    <t>Assessor summary including improvement points:</t>
  </si>
  <si>
    <t>Summary notes supporting the assessment recommendation including picking out good features of sound business cases.
Add any additional notes, observations, reservations or comments regarding the business case which may not be covered elsewhere.</t>
  </si>
  <si>
    <t>Conditions (if any further information required) for passing business case:</t>
  </si>
  <si>
    <t xml:space="preserve">
</t>
  </si>
  <si>
    <t>Summary notes for what needs to be done to make unsound business cases sound or any conditions that need to be met at a later stage of the application, upon passing the business case with conditions.</t>
  </si>
  <si>
    <t>Disclaimer</t>
  </si>
  <si>
    <t>This assessment is made on the information as provided by the applicant. Whilst reasonable steps have been taken to ensure that the information provided within this assessment is correct, Salix, the assessor, and the Government give no warranty and make no representation as to its accuracy and accept no liability for any errors or omissions.</t>
  </si>
  <si>
    <t>To be completed by Salix/Atkins Assessor</t>
  </si>
  <si>
    <t>Project reference</t>
  </si>
  <si>
    <t>Time Allocated</t>
  </si>
  <si>
    <t>hours</t>
  </si>
  <si>
    <t>Assessor</t>
  </si>
  <si>
    <t>QA</t>
  </si>
  <si>
    <t>Approved by</t>
  </si>
  <si>
    <t>Date</t>
  </si>
  <si>
    <t xml:space="preserve">Scoring </t>
  </si>
  <si>
    <t>Number of score</t>
  </si>
  <si>
    <t>Column2</t>
  </si>
  <si>
    <t>Red</t>
  </si>
  <si>
    <t>Amber</t>
  </si>
  <si>
    <t>Green</t>
  </si>
  <si>
    <t>Total ranking</t>
  </si>
  <si>
    <t>Definitions:</t>
  </si>
  <si>
    <t>Persistence Factor (PF) Model:</t>
  </si>
  <si>
    <t>The Persistence Factors for individual technologies employed by Salix are based on and are consistent with those derived by the Carbon Trust.  In early 2009/10 the Carbon Trust undertook a review of the existing Persistence Factor Methodology.  Following a consultation in early 2010, a revised model has now been adopted.</t>
  </si>
  <si>
    <t xml:space="preserve">Lifetime: </t>
  </si>
  <si>
    <t>This is the anticipated lifetime of a low carbon heating technology used to calculate lifetime savings. The lifetime is used in the calculation of cost to save a tonne of CO2e over the lifetime of an application</t>
  </si>
  <si>
    <t>% kWh saved:</t>
  </si>
  <si>
    <t>Clients should include the % kWh they are projecting to save.</t>
  </si>
  <si>
    <t>tCO2e pa:</t>
  </si>
  <si>
    <r>
      <t>Tonnes CO</t>
    </r>
    <r>
      <rPr>
        <vertAlign val="subscript"/>
        <sz val="10"/>
        <color theme="1"/>
        <rFont val="Verdana"/>
        <family val="2"/>
      </rPr>
      <t>2</t>
    </r>
    <r>
      <rPr>
        <sz val="10"/>
        <color theme="1"/>
        <rFont val="Verdana"/>
        <family val="2"/>
      </rPr>
      <t>e saving per annum</t>
    </r>
  </si>
  <si>
    <t>£/tCO2e LT:</t>
  </si>
  <si>
    <r>
      <t>Cost (£) per tonne CO</t>
    </r>
    <r>
      <rPr>
        <vertAlign val="subscript"/>
        <sz val="10"/>
        <rFont val="Verdana"/>
        <family val="2"/>
      </rPr>
      <t>2</t>
    </r>
    <r>
      <rPr>
        <sz val="10"/>
        <rFont val="Verdana"/>
        <family val="2"/>
      </rPr>
      <t>e saving life time</t>
    </r>
  </si>
  <si>
    <t>Project Code:</t>
  </si>
  <si>
    <t>PET entry:</t>
  </si>
  <si>
    <t>Project Ref</t>
  </si>
  <si>
    <t>Start 
date</t>
  </si>
  <si>
    <t>Completion date</t>
  </si>
  <si>
    <t>Site name</t>
  </si>
  <si>
    <t>Site life (yrs)</t>
  </si>
  <si>
    <t>Project /
description</t>
  </si>
  <si>
    <t xml:space="preserve">Total Project Value </t>
  </si>
  <si>
    <t>Salix Funding Requested</t>
  </si>
  <si>
    <t>Salix % contribution of total project cost</t>
  </si>
  <si>
    <t>Energy Type</t>
  </si>
  <si>
    <t>Energy Cost (p/kWh)</t>
  </si>
  <si>
    <t>Annual kWh Pre-Project</t>
  </si>
  <si>
    <t>Annual kWh Post-Project</t>
  </si>
  <si>
    <t>Annual kWh Saving</t>
  </si>
  <si>
    <t>Payback Period</t>
  </si>
  <si>
    <t>kg/kWh</t>
  </si>
  <si>
    <t>tCO2 pa</t>
  </si>
  <si>
    <t>tCO2 LT Savings</t>
  </si>
  <si>
    <t>£/tCO2 LT</t>
  </si>
  <si>
    <t>LT Financial Saving</t>
  </si>
  <si>
    <t>Back Data:</t>
  </si>
  <si>
    <t>Measure Reference:</t>
  </si>
  <si>
    <t>Energy
type</t>
  </si>
  <si>
    <t>p/kWh</t>
  </si>
  <si>
    <t>Annual Financial Saving</t>
  </si>
  <si>
    <t>tCO2 LT</t>
  </si>
  <si>
    <t>Cost per Measure</t>
  </si>
  <si>
    <t>Number</t>
  </si>
  <si>
    <t>Energy type</t>
  </si>
  <si>
    <t>MMM Project Type</t>
  </si>
  <si>
    <t>MMM Work Type</t>
  </si>
  <si>
    <t>Project Details</t>
  </si>
  <si>
    <t>Total Salix Funding Requested for ECMs</t>
  </si>
  <si>
    <t xml:space="preserve">Total Salix Funding Requested for MMM </t>
  </si>
  <si>
    <t>Total Project Value for ECMs</t>
  </si>
  <si>
    <t xml:space="preserve">Total Project Value for MMM </t>
  </si>
  <si>
    <t/>
  </si>
  <si>
    <t>oil</t>
  </si>
  <si>
    <t>MMM Back Data:</t>
  </si>
  <si>
    <t>Measure Type</t>
  </si>
  <si>
    <t>Ver</t>
  </si>
  <si>
    <t>Change</t>
  </si>
  <si>
    <t>By</t>
  </si>
  <si>
    <t>Apr-26</t>
  </si>
  <si>
    <t xml:space="preserve">Carbon factor conversions updated (2025).
Interest rate % updated in the Terms and Conditions tab.
Date updated for project compliance tool for the most recent version in the Guidance Note tab and Project Compliance Tool tabs.
Business Case Section 3 change in value to provide risk register updated. </t>
  </si>
  <si>
    <t>AZ</t>
  </si>
  <si>
    <t>Oct-25</t>
  </si>
  <si>
    <t xml:space="preserve">Updated loan amortisation tab. </t>
  </si>
  <si>
    <t>Jun-25</t>
  </si>
  <si>
    <t>Application now includes a table for MMM (Metering, Monitoring and Management) in the Project Compliance Tool. 
New "PETREAD 2" tab to include MMM. 
Additional MMM question in the Business Case tab, as well as the Assessment Form. 
Guidance Notes tab includes MMM. 
All "SEELS Wales" now changed to WFP. 
MMM work types added to the Eligible Technologies tab.
Updated carbon factors and persistence factors.</t>
  </si>
  <si>
    <t>Jul-24</t>
  </si>
  <si>
    <t>Application form SEELS Wales specific.
Changes to design to bring in line with other Salix schemes.
Addition of loan amortisation tab.</t>
  </si>
  <si>
    <t>CS</t>
  </si>
  <si>
    <t>Nov-23</t>
  </si>
  <si>
    <t>Updated carbon factors for electricity</t>
  </si>
  <si>
    <t xml:space="preserve">Upgrade form to become universal tool for all loan schemes.
Update carbon factors and addition of bespoke option (for distict heating).
Removal of boilers and voltage optimisation as an eligible technology.
Business case includes question for Welsh applicants.
Re-wording of questions in business case section.
</t>
  </si>
  <si>
    <t>CCT to £500 for all England clients (in effect from Aprill 2022) and match technology list to Phase 3.</t>
  </si>
  <si>
    <t>AC</t>
  </si>
  <si>
    <t xml:space="preserve">Updated carbon factors
</t>
  </si>
  <si>
    <t>NH</t>
  </si>
  <si>
    <t>Updated carbon factors
Technology list updated:
⦁ LED Lighting work types simplified to 'LED - new fitting' and 'LED - same fitting'
⦁ 'Retrofit Single Glazing' removed 
⦁ Two Floor Insulation work types added</t>
  </si>
  <si>
    <t>Added 'Salix Decarbonisation Fund' programme.
Added a pre-tender assessment form and removed the 'Project can be supported' sign-off from the normal assessment form.
Updated Heat Pump work types and updated ASHP PF from 10.83 to 12.54.
Added project cost commentary box in the business case.
Added 'Voltage Management' work types to 'Technologies Under Review' and removed:
•	CRT to flat screen LCD
•	Compact Fluorescent including changing the fitting
•	Compact Fluorescent using same fitting
•	Electronic ballast with dimming control
•	HP Sodium including new fitting
•	Induction Fluorescent including changing the fitting
•	Replace halogen with HID metal halide
•	T12/T8 to CCFL including new fitting
•	T12/T8 to CCFL using same fitting
•	T5 lighting including changing the fitting
•	T5 lighting retrofit using adaptors
•	T8 lighting including changing the fitting
•	T8 lighting retrofit using adaptors</t>
  </si>
  <si>
    <t>Rebranded</t>
  </si>
  <si>
    <t>NM &amp; BH</t>
  </si>
  <si>
    <t>Added Work Types 'Energy efficient combi-oven', 'Energy efficient convection-oven' &amp; 'Small Hydropower'.
Updated Carbon Conversion Factors.
Revised all Compliance Tools into one version.
Added 'Technologies Under Review Tab' &amp; updated Compliancy Criteria</t>
  </si>
  <si>
    <t>BH &amp; NH</t>
  </si>
  <si>
    <t>Added Work Types 'Energy Efficient X-Ray Generator'.</t>
  </si>
  <si>
    <t>BL</t>
  </si>
  <si>
    <t>Added Work Types 'CHP - Private Wire Connection', 'Direct electric heating to heat pump (water source)' and updated the ground source work types persistence factor.
Removed Work Types:
⦁ Electric to Gas - heating using CHP
⦁ Electric to Gas - heating using condensing boilers
⦁ Electric to Gas - tumble driers
Updated Compliancy Criteria to remove 5 year payback from SEELS England and Increase to £172/tCO2
Updated SEELS Scotland compliancy to £250/tCO2
Updated Carbon Conversion Factors
Added in 'Forecast p/kWh' &amp; Forecast % Change' fields</t>
  </si>
  <si>
    <t>BH &amp; BC</t>
  </si>
  <si>
    <t xml:space="preserve">Added Work Type 'Ultrasonic Humidifiers' and 'Direct electric heating to heat pump (ground source)'
</t>
  </si>
  <si>
    <t>BC</t>
  </si>
  <si>
    <t>Removed Recycling Fund Programme
Removed Work Type 'Liquid Pool Covers'
Updated to BEIS latest CO2 factors</t>
  </si>
  <si>
    <t>BH</t>
  </si>
  <si>
    <t>Added Technology 'Solar PV'</t>
  </si>
  <si>
    <t>Changed PF of Hand Dryers from 4.18 to 8.21
Added Technology 'Energy Efficient Chillers' and 'Flow restrictors'
£/tCO2 criteria revised to £120 from £100</t>
  </si>
  <si>
    <t>Added Terms and Conditions
Update to DECC CO2 factors
New PF factors
Acadamies removed as applicant type
Double glazing with metal or plastic frames added to 'Insulation - building fabric'
Phase change material added to ' Ventilation'
Efficient taps added to 'Hot Water'
Renamed Heat pump (air source) to Direct electric heating to heat pump (air source) and moved from 'renewables' to 'heating'
Added new work type for energy efficient drying cabinets
Order of work type changed to be alphabetical
Street lighting work types revised
Removed
   - Replace controls but not ballasts
   - Fit centralised controls but not ballasts</t>
  </si>
  <si>
    <t>JC</t>
  </si>
  <si>
    <t>Update to DEFRA CO2 factors
Addition of new work types
Cell for total project value included within CT
Salix % contribution field is now a calculated field
Minor formatting changes</t>
  </si>
  <si>
    <r>
      <t>Update to DEFRA CO</t>
    </r>
    <r>
      <rPr>
        <vertAlign val="subscript"/>
        <sz val="10"/>
        <rFont val="Verdana"/>
        <family val="2"/>
      </rPr>
      <t>2</t>
    </r>
    <r>
      <rPr>
        <sz val="10"/>
        <rFont val="Verdana"/>
        <family val="2"/>
      </rPr>
      <t xml:space="preserve"> factors
Minor adjustments to assessment criteria tab
Minor formatting changes</t>
    </r>
  </si>
  <si>
    <t>Added new work type for energy efficient growth cabinets
Minor formatting changes</t>
  </si>
  <si>
    <t>MC</t>
  </si>
  <si>
    <t>Added new work type for connection to district heating
Increased compatability for Excel 2003 and older</t>
  </si>
  <si>
    <r>
      <t>Major formatting changes
Consolidation of Programme-specfic Compliance Tools
Addition of new project work types
Update to DEFRA CO</t>
    </r>
    <r>
      <rPr>
        <vertAlign val="subscript"/>
        <sz val="10"/>
        <rFont val="Verdana"/>
        <family val="2"/>
      </rPr>
      <t>2</t>
    </r>
    <r>
      <rPr>
        <sz val="10"/>
        <rFont val="Verdana"/>
        <family val="2"/>
      </rPr>
      <t xml:space="preserve"> factors</t>
    </r>
  </si>
  <si>
    <t xml:space="preserve">Major formatting changes to increase backwards compatability
Break down of cost for each measure being installed </t>
  </si>
  <si>
    <t xml:space="preserve">Amended Assessment Criteria sheet (submission email)
Minor formatting changes </t>
  </si>
  <si>
    <t xml:space="preserve">Major formatting changes
CO2 factors updated to reflect new figures from DEFRA </t>
  </si>
  <si>
    <t>Version created for SEELS
Fields for pre/post kWh added
New work types added:
 - T12/T8 to CCFL including new fitting
 - T12/T8 to CCFL using same fitting</t>
  </si>
  <si>
    <t>CM</t>
  </si>
  <si>
    <t>26.1 RF SF</t>
  </si>
  <si>
    <t>Amended Voltage Management work type.</t>
  </si>
  <si>
    <t>26 RF MPS</t>
  </si>
  <si>
    <t>New compliance tool developed from v25 SF
Notes from v26 SF tool:
New DEFRA carbon conversion factors
Improved PFs for some ICT work types
Additional work types (denoted in red)
Additional work types can now be used in Multiple Fuel tool
Site life can now only be entered as numerical value
Some minor formatting fixes in percentage fields
'Voltage reduction' renamed to 'Voltage management - fixed ratio' and 'Voltage management - variable ratio' in line with Carbon Trust guide CTG045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</si>
</sst>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quot;£&quot;#,##0"/>
    <numFmt numFmtId="8" formatCode="&quot;£&quot;#,##0.00;[Red]\-&quot;£&quot;#,##0.00"/>
    <numFmt numFmtId="44" formatCode="_-&quot;£&quot;* #,##0.00_-;\-&quot;£&quot;* #,##0.00_-;_-&quot;£&quot;* &quot;-&quot;??_-;_-@_-"/>
    <numFmt numFmtId="43" formatCode="_-* #,##0.00_-;\-* #,##0.00_-;_-* &quot;-&quot;??_-;_-@_-"/>
    <numFmt numFmtId="164" formatCode="&quot;£&quot;#,##0"/>
    <numFmt numFmtId="165" formatCode="#,##0_ ;\-#,##0\ "/>
    <numFmt numFmtId="166" formatCode="d/m/yy;@"/>
    <numFmt numFmtId="167" formatCode="_-* #,##0.000_-;\-* #,##0.000_-;_-* &quot;-&quot;??_-;_-@_-"/>
    <numFmt numFmtId="168" formatCode="#,##0.00_ ;\-#,##0.00\ "/>
    <numFmt numFmtId="169" formatCode="0.00000"/>
    <numFmt numFmtId="170" formatCode="_-* #,##0_-;\-* #,##0_-;_-* &quot;-&quot;??_-;_-@_-"/>
    <numFmt numFmtId="171" formatCode="&quot;£&quot;#,##0.00"/>
    <numFmt numFmtId="172" formatCode="[$-F800]dddd\,\ mmmm\ dd\,\ yyyy"/>
    <numFmt numFmtId="173" formatCode="0.000"/>
    <numFmt numFmtId="174" formatCode="_-* #,##0.00000_-;\-* #,##0.00000_-;_-* &quot;-&quot;??_-;_-@_-"/>
    <numFmt numFmtId="175" formatCode="dd/mm/yyyy;@"/>
    <numFmt numFmtId="176" formatCode="mmm\ yyyy"/>
    <numFmt numFmtId="177" formatCode="0.0000000"/>
  </numFmts>
  <fonts count="133" x14ac:knownFonts="1">
    <font>
      <sz val="10"/>
      <color theme="1"/>
      <name val="Arial"/>
      <family val="2"/>
    </font>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theme="1"/>
      <name val="Arial"/>
      <family val="2"/>
    </font>
    <font>
      <u/>
      <sz val="10"/>
      <color theme="10"/>
      <name val="Arial"/>
      <family val="2"/>
    </font>
    <font>
      <sz val="11"/>
      <color theme="1"/>
      <name val="Calibri"/>
      <family val="2"/>
      <scheme val="minor"/>
    </font>
    <font>
      <sz val="10"/>
      <color theme="1"/>
      <name val="Gill Sans MT"/>
      <family val="2"/>
    </font>
    <font>
      <b/>
      <sz val="10"/>
      <color theme="1"/>
      <name val="Gill Sans MT"/>
      <family val="2"/>
    </font>
    <font>
      <sz val="10"/>
      <name val="Gill Sans MT"/>
      <family val="2"/>
    </font>
    <font>
      <sz val="10"/>
      <color theme="1"/>
      <name val="Calibri"/>
      <family val="2"/>
      <scheme val="minor"/>
    </font>
    <font>
      <sz val="10"/>
      <name val="Calibri"/>
      <family val="2"/>
      <scheme val="minor"/>
    </font>
    <font>
      <u/>
      <sz val="10"/>
      <color theme="10"/>
      <name val="Gill Sans MT"/>
      <family val="2"/>
    </font>
    <font>
      <b/>
      <sz val="10"/>
      <color theme="1"/>
      <name val="Calibri"/>
      <family val="2"/>
      <scheme val="minor"/>
    </font>
    <font>
      <b/>
      <sz val="10"/>
      <name val="Calibri"/>
      <family val="2"/>
      <scheme val="minor"/>
    </font>
    <font>
      <sz val="12"/>
      <color theme="1"/>
      <name val="Calibri"/>
      <family val="2"/>
      <scheme val="minor"/>
    </font>
    <font>
      <b/>
      <u/>
      <sz val="12"/>
      <name val="Calibri"/>
      <family val="2"/>
      <scheme val="minor"/>
    </font>
    <font>
      <b/>
      <u/>
      <sz val="12"/>
      <color theme="1"/>
      <name val="Calibri"/>
      <family val="2"/>
      <scheme val="minor"/>
    </font>
    <font>
      <sz val="10"/>
      <color theme="0"/>
      <name val="Calibri"/>
      <family val="2"/>
      <scheme val="minor"/>
    </font>
    <font>
      <b/>
      <sz val="11"/>
      <color theme="1"/>
      <name val="Calibri"/>
      <family val="2"/>
      <scheme val="minor"/>
    </font>
    <font>
      <b/>
      <sz val="12"/>
      <color theme="1"/>
      <name val="Calibri"/>
      <family val="2"/>
      <scheme val="minor"/>
    </font>
    <font>
      <sz val="10"/>
      <name val="Verdana"/>
      <family val="2"/>
    </font>
    <font>
      <u/>
      <sz val="12"/>
      <color theme="6" tint="-0.24994659260841701"/>
      <name val="Calibri"/>
      <family val="2"/>
    </font>
    <font>
      <b/>
      <sz val="10"/>
      <color theme="0"/>
      <name val="Calibri"/>
      <family val="2"/>
      <scheme val="minor"/>
    </font>
    <font>
      <b/>
      <u/>
      <sz val="10"/>
      <color theme="1"/>
      <name val="Calibri"/>
      <family val="2"/>
      <scheme val="minor"/>
    </font>
    <font>
      <i/>
      <sz val="10"/>
      <color theme="1"/>
      <name val="Calibri"/>
      <family val="2"/>
      <scheme val="minor"/>
    </font>
    <font>
      <sz val="9"/>
      <color theme="1"/>
      <name val="Calibri"/>
      <family val="2"/>
      <scheme val="minor"/>
    </font>
    <font>
      <b/>
      <sz val="10"/>
      <color theme="0"/>
      <name val="Verdana"/>
      <family val="2"/>
    </font>
    <font>
      <sz val="10"/>
      <color rgb="FFFF0000"/>
      <name val="Verdana"/>
      <family val="2"/>
    </font>
    <font>
      <b/>
      <sz val="10"/>
      <color theme="1"/>
      <name val="Verdana"/>
      <family val="2"/>
    </font>
    <font>
      <sz val="10"/>
      <color theme="0"/>
      <name val="Verdana"/>
      <family val="2"/>
    </font>
    <font>
      <sz val="12"/>
      <color theme="1"/>
      <name val="Verdana"/>
      <family val="2"/>
    </font>
    <font>
      <sz val="16"/>
      <color theme="1"/>
      <name val="Verdana"/>
      <family val="2"/>
    </font>
    <font>
      <b/>
      <sz val="12"/>
      <color theme="1"/>
      <name val="Verdana"/>
      <family val="2"/>
    </font>
    <font>
      <u/>
      <sz val="20"/>
      <name val="Verdana"/>
      <family val="2"/>
    </font>
    <font>
      <b/>
      <u/>
      <sz val="12"/>
      <name val="Verdana"/>
      <family val="2"/>
    </font>
    <font>
      <u/>
      <sz val="10"/>
      <color theme="10"/>
      <name val="Verdana"/>
      <family val="2"/>
    </font>
    <font>
      <u/>
      <sz val="12"/>
      <color theme="1"/>
      <name val="Verdana"/>
      <family val="2"/>
    </font>
    <font>
      <u/>
      <sz val="10"/>
      <color theme="1"/>
      <name val="Verdana"/>
      <family val="2"/>
    </font>
    <font>
      <sz val="16"/>
      <name val="Verdana"/>
      <family val="2"/>
    </font>
    <font>
      <sz val="9"/>
      <name val="Verdana"/>
      <family val="2"/>
    </font>
    <font>
      <b/>
      <sz val="10"/>
      <name val="Verdana"/>
      <family val="2"/>
    </font>
    <font>
      <u/>
      <sz val="14"/>
      <name val="Verdana"/>
      <family val="2"/>
    </font>
    <font>
      <b/>
      <vertAlign val="subscript"/>
      <sz val="10"/>
      <color theme="1"/>
      <name val="Verdana"/>
      <family val="2"/>
    </font>
    <font>
      <u/>
      <sz val="10"/>
      <name val="Verdana"/>
      <family val="2"/>
    </font>
    <font>
      <sz val="11"/>
      <color rgb="FFFF0000"/>
      <name val="Verdana"/>
      <family val="2"/>
    </font>
    <font>
      <b/>
      <sz val="9"/>
      <color theme="1"/>
      <name val="Verdana"/>
      <family val="2"/>
    </font>
    <font>
      <sz val="10"/>
      <color indexed="8"/>
      <name val="Verdana"/>
      <family val="2"/>
    </font>
    <font>
      <b/>
      <vertAlign val="subscript"/>
      <sz val="10"/>
      <color theme="0"/>
      <name val="Verdana"/>
      <family val="2"/>
    </font>
    <font>
      <u/>
      <sz val="18"/>
      <color rgb="FF425426"/>
      <name val="Verdana"/>
      <family val="2"/>
    </font>
    <font>
      <sz val="18"/>
      <color rgb="FF425426"/>
      <name val="Verdana"/>
      <family val="2"/>
    </font>
    <font>
      <sz val="16"/>
      <color rgb="FF98A03B"/>
      <name val="Verdana"/>
      <family val="2"/>
    </font>
    <font>
      <b/>
      <sz val="12"/>
      <color rgb="FF425426"/>
      <name val="Verdana"/>
      <family val="2"/>
    </font>
    <font>
      <sz val="12"/>
      <name val="Verdana"/>
      <family val="2"/>
    </font>
    <font>
      <u/>
      <sz val="12"/>
      <color indexed="8"/>
      <name val="Verdana"/>
      <family val="2"/>
    </font>
    <font>
      <sz val="12"/>
      <color theme="0"/>
      <name val="Verdana"/>
      <family val="2"/>
    </font>
    <font>
      <u/>
      <sz val="12"/>
      <color theme="0"/>
      <name val="Verdana"/>
      <family val="2"/>
    </font>
    <font>
      <vertAlign val="subscript"/>
      <sz val="10"/>
      <name val="Verdana"/>
      <family val="2"/>
    </font>
    <font>
      <vertAlign val="subscript"/>
      <sz val="10"/>
      <color theme="1"/>
      <name val="Verdana"/>
      <family val="2"/>
    </font>
    <font>
      <b/>
      <sz val="9"/>
      <color theme="0"/>
      <name val="Verdana"/>
      <family val="2"/>
    </font>
    <font>
      <b/>
      <vertAlign val="subscript"/>
      <sz val="9"/>
      <color theme="0"/>
      <name val="Verdana"/>
      <family val="2"/>
    </font>
    <font>
      <b/>
      <sz val="11"/>
      <color theme="1"/>
      <name val="Verdana"/>
      <family val="2"/>
    </font>
    <font>
      <b/>
      <sz val="10"/>
      <color rgb="FF425426"/>
      <name val="Calibri"/>
      <family val="2"/>
      <scheme val="minor"/>
    </font>
    <font>
      <b/>
      <sz val="14"/>
      <color rgb="FF425426"/>
      <name val="Calibri"/>
      <family val="2"/>
      <scheme val="minor"/>
    </font>
    <font>
      <b/>
      <sz val="11"/>
      <color rgb="FF425426"/>
      <name val="Verdana"/>
      <family val="2"/>
    </font>
    <font>
      <sz val="12"/>
      <name val="Calibri"/>
      <family val="2"/>
      <scheme val="minor"/>
    </font>
    <font>
      <sz val="12"/>
      <color rgb="FFFF0000"/>
      <name val="Calibri"/>
      <family val="2"/>
      <scheme val="minor"/>
    </font>
    <font>
      <b/>
      <sz val="14"/>
      <color theme="1"/>
      <name val="Calibri"/>
      <family val="2"/>
      <scheme val="minor"/>
    </font>
    <font>
      <sz val="12"/>
      <color theme="0"/>
      <name val="Calibri"/>
      <family val="2"/>
      <scheme val="minor"/>
    </font>
    <font>
      <sz val="11"/>
      <color theme="1"/>
      <name val="Verdana"/>
      <family val="2"/>
    </font>
    <font>
      <sz val="11"/>
      <name val="Verdana"/>
      <family val="2"/>
    </font>
    <font>
      <sz val="9"/>
      <color theme="1"/>
      <name val="Verdana"/>
      <family val="2"/>
    </font>
    <font>
      <b/>
      <sz val="10"/>
      <color rgb="FFFF0000"/>
      <name val="Verdana"/>
      <family val="2"/>
    </font>
    <font>
      <b/>
      <sz val="11"/>
      <color rgb="FF382573"/>
      <name val="Verdana"/>
      <family val="2"/>
    </font>
    <font>
      <sz val="11"/>
      <color rgb="FF382573"/>
      <name val="Verdana"/>
      <family val="2"/>
    </font>
    <font>
      <b/>
      <sz val="11"/>
      <color rgb="FF382573"/>
      <name val="Gill Sans MT"/>
      <family val="2"/>
    </font>
    <font>
      <b/>
      <sz val="11"/>
      <color theme="0"/>
      <name val="Verdana"/>
      <family val="2"/>
    </font>
    <font>
      <sz val="11"/>
      <color theme="1"/>
      <name val="Gill Sans MT"/>
      <family val="2"/>
    </font>
    <font>
      <sz val="14"/>
      <name val="Verdana"/>
      <family val="2"/>
    </font>
    <font>
      <sz val="12"/>
      <color rgb="FF382573"/>
      <name val="Verdana"/>
      <family val="2"/>
    </font>
    <font>
      <b/>
      <sz val="28"/>
      <color rgb="FF382573"/>
      <name val="Verdana"/>
      <family val="2"/>
    </font>
    <font>
      <b/>
      <sz val="12"/>
      <color theme="0"/>
      <name val="Calibri"/>
      <family val="2"/>
      <scheme val="minor"/>
    </font>
    <font>
      <sz val="10"/>
      <color rgb="FF000000"/>
      <name val="Calibri"/>
      <family val="2"/>
      <scheme val="minor"/>
    </font>
    <font>
      <b/>
      <sz val="11"/>
      <color rgb="FFF4FFF5"/>
      <name val="Verdana"/>
      <family val="2"/>
    </font>
    <font>
      <u/>
      <sz val="11"/>
      <color theme="10"/>
      <name val="Calibri"/>
      <family val="2"/>
      <scheme val="minor"/>
    </font>
    <font>
      <sz val="10"/>
      <color rgb="FF000000"/>
      <name val="Verdana"/>
      <family val="2"/>
    </font>
    <font>
      <b/>
      <sz val="9"/>
      <color rgb="FFFF0000"/>
      <name val="Verdana"/>
      <family val="2"/>
    </font>
    <font>
      <sz val="10"/>
      <color rgb="FFFF0000"/>
      <name val="Arial"/>
      <family val="2"/>
    </font>
    <font>
      <b/>
      <sz val="28"/>
      <color theme="6"/>
      <name val="Verdana"/>
      <family val="2"/>
    </font>
    <font>
      <b/>
      <sz val="16"/>
      <color theme="0"/>
      <name val="Verdana"/>
      <family val="2"/>
    </font>
    <font>
      <b/>
      <sz val="14"/>
      <color theme="6"/>
      <name val="Verdana"/>
      <family val="2"/>
    </font>
    <font>
      <sz val="8"/>
      <color rgb="FFFF0000"/>
      <name val="Verdana"/>
      <family val="2"/>
    </font>
    <font>
      <sz val="8"/>
      <color theme="1"/>
      <name val="Verdana"/>
      <family val="2"/>
    </font>
    <font>
      <b/>
      <sz val="14"/>
      <color rgb="FF382573"/>
      <name val="Verdana"/>
      <family val="2"/>
    </font>
    <font>
      <sz val="14"/>
      <color rgb="FF382573"/>
      <name val="Verdana"/>
      <family val="2"/>
    </font>
    <font>
      <sz val="12"/>
      <color rgb="FFFF0000"/>
      <name val="Verdana"/>
      <family val="2"/>
    </font>
    <font>
      <sz val="9"/>
      <color rgb="FFFF0000"/>
      <name val="Verdana"/>
      <family val="2"/>
    </font>
    <font>
      <sz val="12"/>
      <color theme="6"/>
      <name val="Calibri"/>
      <family val="2"/>
      <scheme val="minor"/>
    </font>
    <font>
      <sz val="11"/>
      <color theme="0"/>
      <name val="Verdana"/>
      <family val="2"/>
    </font>
    <font>
      <sz val="9"/>
      <color theme="0"/>
      <name val="Verdana"/>
      <family val="2"/>
    </font>
    <font>
      <b/>
      <sz val="9"/>
      <name val="Verdana"/>
      <family val="2"/>
    </font>
    <font>
      <sz val="9"/>
      <color theme="0"/>
      <name val="Arial"/>
      <family val="2"/>
    </font>
    <font>
      <sz val="9"/>
      <color rgb="FFFF0000"/>
      <name val="Arial"/>
      <family val="2"/>
    </font>
    <font>
      <b/>
      <sz val="8"/>
      <color theme="0"/>
      <name val="Verdana"/>
      <family val="2"/>
    </font>
    <font>
      <sz val="8"/>
      <color theme="0"/>
      <name val="Verdana"/>
      <family val="2"/>
    </font>
    <font>
      <sz val="8"/>
      <color rgb="FF000000"/>
      <name val="Verdana"/>
      <family val="2"/>
    </font>
    <font>
      <sz val="8"/>
      <name val="Verdana"/>
      <family val="2"/>
    </font>
    <font>
      <b/>
      <sz val="8"/>
      <color theme="1"/>
      <name val="Verdana"/>
      <family val="2"/>
    </font>
    <font>
      <b/>
      <sz val="16"/>
      <color rgb="FF382573"/>
      <name val="Verdana"/>
      <family val="2"/>
    </font>
    <font>
      <sz val="8"/>
      <color rgb="FF382573"/>
      <name val="Verdana"/>
      <family val="2"/>
    </font>
    <font>
      <b/>
      <sz val="12"/>
      <color rgb="FF382573"/>
      <name val="Verdana"/>
      <family val="2"/>
    </font>
    <font>
      <sz val="10"/>
      <color rgb="FF382573"/>
      <name val="Verdana"/>
      <family val="2"/>
    </font>
    <font>
      <u/>
      <sz val="12"/>
      <color rgb="FF382573"/>
      <name val="Verdana"/>
      <family val="2"/>
    </font>
    <font>
      <b/>
      <sz val="10"/>
      <color rgb="FF382573"/>
      <name val="Verdana"/>
      <family val="2"/>
    </font>
    <font>
      <u/>
      <sz val="10"/>
      <color rgb="FF382573"/>
      <name val="Verdana"/>
      <family val="2"/>
    </font>
    <font>
      <b/>
      <sz val="9"/>
      <color rgb="FF382573"/>
      <name val="Verdana"/>
      <family val="2"/>
    </font>
    <font>
      <sz val="9"/>
      <color rgb="FF382573"/>
      <name val="Verdana"/>
      <family val="2"/>
    </font>
    <font>
      <sz val="8"/>
      <name val="Arial"/>
      <family val="2"/>
    </font>
    <font>
      <b/>
      <sz val="11"/>
      <color rgb="FFFF0000"/>
      <name val="Verdana"/>
      <family val="2"/>
    </font>
    <font>
      <sz val="9"/>
      <color rgb="FF382573"/>
      <name val="Arial"/>
      <family val="2"/>
    </font>
    <font>
      <b/>
      <sz val="14"/>
      <color rgb="FFFFFFFF"/>
      <name val="Verdana"/>
      <family val="2"/>
    </font>
    <font>
      <sz val="10"/>
      <color rgb="FFFFFFFF"/>
      <name val="Verdana"/>
      <family val="2"/>
    </font>
    <font>
      <b/>
      <sz val="10"/>
      <color rgb="FFFFFFFF"/>
      <name val="Verdana"/>
      <family val="2"/>
    </font>
    <font>
      <b/>
      <sz val="10"/>
      <color rgb="FF000000"/>
      <name val="Verdana"/>
      <family val="2"/>
    </font>
    <font>
      <b/>
      <sz val="8"/>
      <color rgb="FF000000"/>
      <name val="Verdana"/>
      <family val="2"/>
    </font>
    <font>
      <sz val="9"/>
      <color indexed="81"/>
      <name val="Tahoma"/>
      <family val="2"/>
    </font>
  </fonts>
  <fills count="36">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
      <patternFill patternType="solid">
        <fgColor theme="6" tint="-0.499984740745262"/>
        <bgColor indexed="64"/>
      </patternFill>
    </fill>
    <fill>
      <patternFill patternType="solid">
        <fgColor theme="0"/>
        <bgColor indexed="64"/>
      </patternFill>
    </fill>
    <fill>
      <patternFill patternType="solid">
        <fgColor theme="6" tint="0.59999389629810485"/>
        <bgColor indexed="64"/>
      </patternFill>
    </fill>
    <fill>
      <patternFill patternType="solid">
        <fgColor rgb="FFF2F2F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2" tint="-9.9978637043366805E-2"/>
        <bgColor indexed="64"/>
      </patternFill>
    </fill>
    <fill>
      <patternFill patternType="solid">
        <fgColor rgb="FF2DAE76"/>
        <bgColor indexed="64"/>
      </patternFill>
    </fill>
    <fill>
      <patternFill patternType="solid">
        <fgColor rgb="FFF4FFF5"/>
        <bgColor indexed="64"/>
      </patternFill>
    </fill>
    <fill>
      <patternFill patternType="solid">
        <fgColor rgb="FF382573"/>
        <bgColor indexed="64"/>
      </patternFill>
    </fill>
    <fill>
      <patternFill patternType="solid">
        <fgColor rgb="FF6BC3C4"/>
        <bgColor indexed="64"/>
      </patternFill>
    </fill>
    <fill>
      <patternFill patternType="solid">
        <fgColor rgb="FFCAF2E1"/>
        <bgColor indexed="64"/>
      </patternFill>
    </fill>
    <fill>
      <patternFill patternType="solid">
        <fgColor theme="2"/>
        <bgColor indexed="64"/>
      </patternFill>
    </fill>
    <fill>
      <patternFill patternType="solid">
        <fgColor rgb="FFFFFFFF"/>
        <bgColor indexed="64"/>
      </patternFill>
    </fill>
    <fill>
      <patternFill patternType="solid">
        <fgColor theme="1"/>
        <bgColor theme="1"/>
      </patternFill>
    </fill>
    <fill>
      <patternFill patternType="solid">
        <fgColor theme="0" tint="-0.14999847407452621"/>
        <bgColor theme="0" tint="-0.14999847407452621"/>
      </patternFill>
    </fill>
    <fill>
      <patternFill patternType="solid">
        <fgColor theme="6"/>
        <bgColor indexed="64"/>
      </patternFill>
    </fill>
    <fill>
      <patternFill patternType="solid">
        <fgColor theme="6" tint="0.39997558519241921"/>
        <bgColor indexed="64"/>
      </patternFill>
    </fill>
    <fill>
      <patternFill patternType="solid">
        <fgColor rgb="FFFFFF00"/>
        <bgColor indexed="64"/>
      </patternFill>
    </fill>
    <fill>
      <patternFill patternType="solid">
        <fgColor theme="0"/>
        <bgColor rgb="FFA6A6A6"/>
      </patternFill>
    </fill>
    <fill>
      <patternFill patternType="solid">
        <fgColor theme="0"/>
        <bgColor rgb="FFD9D9D9"/>
      </patternFill>
    </fill>
    <fill>
      <patternFill patternType="solid">
        <fgColor theme="0" tint="-0.14999847407452621"/>
        <bgColor indexed="64"/>
      </patternFill>
    </fill>
    <fill>
      <patternFill patternType="solid">
        <fgColor rgb="FFD0F2E3"/>
        <bgColor indexed="64"/>
      </patternFill>
    </fill>
    <fill>
      <patternFill patternType="solid">
        <fgColor rgb="FF2DAE76"/>
        <bgColor rgb="FF000000"/>
      </patternFill>
    </fill>
    <fill>
      <patternFill patternType="solid">
        <fgColor rgb="FF6BC3C4"/>
        <bgColor rgb="FF000000"/>
      </patternFill>
    </fill>
    <fill>
      <patternFill patternType="solid">
        <fgColor rgb="FFF7FFFA"/>
        <bgColor indexed="64"/>
      </patternFill>
    </fill>
    <fill>
      <patternFill patternType="solid">
        <fgColor rgb="FFF0FFF2"/>
        <bgColor indexed="64"/>
      </patternFill>
    </fill>
    <fill>
      <patternFill patternType="solid">
        <fgColor rgb="FFE1F3F3"/>
        <bgColor indexed="64"/>
      </patternFill>
    </fill>
    <fill>
      <patternFill patternType="solid">
        <fgColor theme="9" tint="0.79998168889431442"/>
        <bgColor rgb="FFA6A6A6"/>
      </patternFill>
    </fill>
  </fills>
  <borders count="21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top/>
      <bottom style="hair">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top style="thin">
        <color indexed="64"/>
      </top>
      <bottom style="thin">
        <color indexed="64"/>
      </bottom>
      <diagonal/>
    </border>
    <border>
      <left style="hair">
        <color theme="0" tint="-0.24994659260841701"/>
      </left>
      <right style="hair">
        <color theme="0" tint="-0.24994659260841701"/>
      </right>
      <top style="medium">
        <color indexed="64"/>
      </top>
      <bottom style="medium">
        <color indexed="64"/>
      </bottom>
      <diagonal/>
    </border>
    <border>
      <left style="hair">
        <color theme="0" tint="-0.24994659260841701"/>
      </left>
      <right style="hair">
        <color theme="0" tint="-0.24994659260841701"/>
      </right>
      <top/>
      <bottom style="hair">
        <color indexed="64"/>
      </bottom>
      <diagonal/>
    </border>
    <border>
      <left style="hair">
        <color theme="0" tint="-0.24994659260841701"/>
      </left>
      <right/>
      <top style="medium">
        <color indexed="64"/>
      </top>
      <bottom style="medium">
        <color indexed="64"/>
      </bottom>
      <diagonal/>
    </border>
    <border>
      <left/>
      <right style="hair">
        <color theme="0" tint="-0.24994659260841701"/>
      </right>
      <top style="medium">
        <color indexed="64"/>
      </top>
      <bottom style="medium">
        <color indexed="64"/>
      </bottom>
      <diagonal/>
    </border>
    <border>
      <left style="medium">
        <color indexed="64"/>
      </left>
      <right/>
      <top style="medium">
        <color indexed="64"/>
      </top>
      <bottom style="hair">
        <color theme="1"/>
      </bottom>
      <diagonal/>
    </border>
    <border>
      <left/>
      <right/>
      <top style="medium">
        <color indexed="64"/>
      </top>
      <bottom style="hair">
        <color theme="1"/>
      </bottom>
      <diagonal/>
    </border>
    <border>
      <left style="medium">
        <color indexed="64"/>
      </left>
      <right/>
      <top style="hair">
        <color theme="1"/>
      </top>
      <bottom style="hair">
        <color theme="1"/>
      </bottom>
      <diagonal/>
    </border>
    <border>
      <left/>
      <right/>
      <top style="hair">
        <color theme="1"/>
      </top>
      <bottom style="hair">
        <color theme="1"/>
      </bottom>
      <diagonal/>
    </border>
    <border>
      <left/>
      <right/>
      <top style="medium">
        <color indexed="64"/>
      </top>
      <bottom style="hair">
        <color auto="1"/>
      </bottom>
      <diagonal/>
    </border>
    <border>
      <left/>
      <right/>
      <top style="hair">
        <color auto="1"/>
      </top>
      <bottom style="hair">
        <color auto="1"/>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top style="thin">
        <color indexed="64"/>
      </top>
      <bottom/>
      <diagonal/>
    </border>
    <border>
      <left/>
      <right/>
      <top/>
      <bottom style="thin">
        <color indexed="64"/>
      </bottom>
      <diagonal/>
    </border>
    <border>
      <left style="medium">
        <color indexed="64"/>
      </left>
      <right/>
      <top style="hair">
        <color indexed="64"/>
      </top>
      <bottom style="hair">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theme="0" tint="-0.24994659260841701"/>
      </left>
      <right style="medium">
        <color indexed="64"/>
      </right>
      <top style="medium">
        <color indexed="64"/>
      </top>
      <bottom style="medium">
        <color indexed="64"/>
      </bottom>
      <diagonal/>
    </border>
    <border>
      <left/>
      <right style="hair">
        <color theme="0" tint="-0.24994659260841701"/>
      </right>
      <top/>
      <bottom style="hair">
        <color indexed="64"/>
      </bottom>
      <diagonal/>
    </border>
    <border>
      <left style="hair">
        <color theme="0" tint="-0.24994659260841701"/>
      </left>
      <right style="medium">
        <color indexed="64"/>
      </right>
      <top/>
      <bottom style="hair">
        <color indexed="64"/>
      </bottom>
      <diagonal/>
    </border>
    <border>
      <left style="medium">
        <color indexed="64"/>
      </left>
      <right style="medium">
        <color indexed="64"/>
      </right>
      <top/>
      <bottom style="hair">
        <color indexed="64"/>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top/>
      <bottom/>
      <diagonal/>
    </border>
    <border>
      <left/>
      <right style="thin">
        <color auto="1"/>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hair">
        <color theme="0" tint="-0.24994659260841701"/>
      </left>
      <right/>
      <top/>
      <bottom style="hair">
        <color indexed="64"/>
      </bottom>
      <diagonal/>
    </border>
    <border>
      <left/>
      <right style="hair">
        <color indexed="64"/>
      </right>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diagonal/>
    </border>
    <border>
      <left/>
      <right style="medium">
        <color indexed="64"/>
      </right>
      <top style="medium">
        <color indexed="64"/>
      </top>
      <bottom style="hair">
        <color indexed="64"/>
      </bottom>
      <diagonal/>
    </border>
    <border>
      <left style="hair">
        <color theme="0" tint="-0.24994659260841701"/>
      </left>
      <right style="hair">
        <color theme="0" tint="-0.24994659260841701"/>
      </right>
      <top style="hair">
        <color indexed="64"/>
      </top>
      <bottom style="hair">
        <color indexed="64"/>
      </bottom>
      <diagonal/>
    </border>
    <border>
      <left style="hair">
        <color theme="0" tint="-0.24994659260841701"/>
      </left>
      <right style="hair">
        <color theme="0" tint="-0.24994659260841701"/>
      </right>
      <top/>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style="medium">
        <color indexed="64"/>
      </top>
      <bottom style="medium">
        <color theme="1"/>
      </bottom>
      <diagonal/>
    </border>
    <border>
      <left/>
      <right/>
      <top style="medium">
        <color indexed="64"/>
      </top>
      <bottom style="medium">
        <color theme="1"/>
      </bottom>
      <diagonal/>
    </border>
    <border>
      <left/>
      <right style="medium">
        <color theme="1"/>
      </right>
      <top style="medium">
        <color indexed="64"/>
      </top>
      <bottom style="medium">
        <color theme="1"/>
      </bottom>
      <diagonal/>
    </border>
    <border>
      <left style="thin">
        <color theme="1"/>
      </left>
      <right style="thin">
        <color theme="1"/>
      </right>
      <top style="thin">
        <color theme="1"/>
      </top>
      <bottom style="thin">
        <color theme="1"/>
      </bottom>
      <diagonal/>
    </border>
    <border>
      <left style="medium">
        <color theme="1"/>
      </left>
      <right style="medium">
        <color indexed="64"/>
      </right>
      <top style="medium">
        <color indexed="64"/>
      </top>
      <bottom style="hair">
        <color indexed="64"/>
      </bottom>
      <diagonal/>
    </border>
    <border>
      <left style="medium">
        <color theme="1"/>
      </left>
      <right style="medium">
        <color indexed="64"/>
      </right>
      <top style="hair">
        <color indexed="64"/>
      </top>
      <bottom style="hair">
        <color indexed="64"/>
      </bottom>
      <diagonal/>
    </border>
    <border>
      <left style="thin">
        <color indexed="64"/>
      </left>
      <right style="medium">
        <color indexed="64"/>
      </right>
      <top/>
      <bottom/>
      <diagonal/>
    </border>
    <border>
      <left/>
      <right style="medium">
        <color theme="1"/>
      </right>
      <top style="thin">
        <color indexed="64"/>
      </top>
      <bottom style="thin">
        <color indexed="64"/>
      </bottom>
      <diagonal/>
    </border>
    <border>
      <left style="thin">
        <color indexed="64"/>
      </left>
      <right style="medium">
        <color theme="1"/>
      </right>
      <top style="thin">
        <color indexed="64"/>
      </top>
      <bottom style="thin">
        <color indexed="64"/>
      </bottom>
      <diagonal/>
    </border>
    <border>
      <left/>
      <right style="medium">
        <color theme="1"/>
      </right>
      <top style="thin">
        <color auto="1"/>
      </top>
      <bottom/>
      <diagonal/>
    </border>
    <border>
      <left/>
      <right style="medium">
        <color theme="1"/>
      </right>
      <top/>
      <bottom style="thin">
        <color indexed="64"/>
      </bottom>
      <diagonal/>
    </border>
    <border>
      <left style="medium">
        <color theme="1"/>
      </left>
      <right/>
      <top/>
      <bottom style="thin">
        <color indexed="64"/>
      </bottom>
      <diagonal/>
    </border>
    <border>
      <left style="medium">
        <color theme="1"/>
      </left>
      <right style="thin">
        <color indexed="64"/>
      </right>
      <top style="thin">
        <color indexed="64"/>
      </top>
      <bottom style="thin">
        <color indexed="64"/>
      </bottom>
      <diagonal/>
    </border>
    <border>
      <left style="medium">
        <color theme="1"/>
      </left>
      <right/>
      <top style="thin">
        <color indexed="64"/>
      </top>
      <bottom style="thin">
        <color indexed="64"/>
      </bottom>
      <diagonal/>
    </border>
    <border>
      <left style="medium">
        <color theme="1"/>
      </left>
      <right style="thin">
        <color indexed="64"/>
      </right>
      <top/>
      <bottom style="thin">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style="hair">
        <color indexed="64"/>
      </left>
      <right style="hair">
        <color theme="0" tint="-0.24994659260841701"/>
      </right>
      <top style="medium">
        <color indexed="64"/>
      </top>
      <bottom style="medium">
        <color indexed="64"/>
      </bottom>
      <diagonal/>
    </border>
    <border>
      <left style="medium">
        <color indexed="64"/>
      </left>
      <right style="thin">
        <color theme="1"/>
      </right>
      <top style="thin">
        <color indexed="64"/>
      </top>
      <bottom style="thin">
        <color theme="1"/>
      </bottom>
      <diagonal/>
    </border>
    <border>
      <left style="thin">
        <color theme="1"/>
      </left>
      <right style="thin">
        <color theme="1"/>
      </right>
      <top style="thin">
        <color indexed="64"/>
      </top>
      <bottom style="thin">
        <color theme="1"/>
      </bottom>
      <diagonal/>
    </border>
    <border>
      <left style="thin">
        <color theme="1"/>
      </left>
      <right style="medium">
        <color indexed="64"/>
      </right>
      <top style="thin">
        <color indexed="64"/>
      </top>
      <bottom style="thin">
        <color theme="1"/>
      </bottom>
      <diagonal/>
    </border>
    <border>
      <left style="medium">
        <color indexed="64"/>
      </left>
      <right style="thin">
        <color indexed="64"/>
      </right>
      <top style="medium">
        <color indexed="64"/>
      </top>
      <bottom style="medium">
        <color indexed="64"/>
      </bottom>
      <diagonal/>
    </border>
    <border>
      <left style="thin">
        <color theme="2" tint="-0.249977111117893"/>
      </left>
      <right style="medium">
        <color theme="2" tint="-0.249977111117893"/>
      </right>
      <top style="thin">
        <color theme="2" tint="-0.249977111117893"/>
      </top>
      <bottom style="medium">
        <color theme="2" tint="-0.249977111117893"/>
      </bottom>
      <diagonal/>
    </border>
    <border>
      <left style="thin">
        <color theme="2" tint="-0.249977111117893"/>
      </left>
      <right/>
      <top style="thin">
        <color theme="2" tint="-0.249977111117893"/>
      </top>
      <bottom style="medium">
        <color theme="2" tint="-0.249977111117893"/>
      </bottom>
      <diagonal/>
    </border>
    <border>
      <left style="thin">
        <color theme="2" tint="-0.249977111117893"/>
      </left>
      <right style="thin">
        <color theme="2" tint="-0.249977111117893"/>
      </right>
      <top style="thin">
        <color theme="2" tint="-0.249977111117893"/>
      </top>
      <bottom style="medium">
        <color theme="2" tint="-0.249977111117893"/>
      </bottom>
      <diagonal/>
    </border>
    <border>
      <left style="medium">
        <color theme="2" tint="-0.249977111117893"/>
      </left>
      <right style="thin">
        <color theme="2" tint="-0.249977111117893"/>
      </right>
      <top style="thin">
        <color theme="2" tint="-0.249977111117893"/>
      </top>
      <bottom style="medium">
        <color theme="2" tint="-0.249977111117893"/>
      </bottom>
      <diagonal/>
    </border>
    <border>
      <left style="thin">
        <color theme="2" tint="-0.249977111117893"/>
      </left>
      <right style="medium">
        <color theme="2" tint="-0.249977111117893"/>
      </right>
      <top style="thin">
        <color theme="2" tint="-0.249977111117893"/>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medium">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medium">
        <color theme="2" tint="-0.249977111117893"/>
      </right>
      <top style="medium">
        <color theme="2" tint="-0.249977111117893"/>
      </top>
      <bottom style="thin">
        <color theme="2" tint="-0.249977111117893"/>
      </bottom>
      <diagonal/>
    </border>
    <border>
      <left style="thin">
        <color theme="2" tint="-0.249977111117893"/>
      </left>
      <right/>
      <top style="medium">
        <color theme="2" tint="-0.249977111117893"/>
      </top>
      <bottom style="thin">
        <color theme="2" tint="-0.249977111117893"/>
      </bottom>
      <diagonal/>
    </border>
    <border>
      <left style="thin">
        <color theme="2" tint="-0.249977111117893"/>
      </left>
      <right style="thin">
        <color theme="2" tint="-0.249977111117893"/>
      </right>
      <top style="medium">
        <color theme="2" tint="-0.249977111117893"/>
      </top>
      <bottom style="thin">
        <color theme="2" tint="-0.249977111117893"/>
      </bottom>
      <diagonal/>
    </border>
    <border>
      <left style="medium">
        <color theme="2" tint="-0.249977111117893"/>
      </left>
      <right style="thin">
        <color theme="2" tint="-0.249977111117893"/>
      </right>
      <top style="medium">
        <color theme="2" tint="-0.249977111117893"/>
      </top>
      <bottom style="thin">
        <color theme="2" tint="-0.249977111117893"/>
      </bottom>
      <diagonal/>
    </border>
    <border>
      <left style="thin">
        <color theme="2" tint="-0.249977111117893"/>
      </left>
      <right style="medium">
        <color theme="2" tint="-0.249977111117893"/>
      </right>
      <top/>
      <bottom style="thin">
        <color theme="2" tint="-0.249977111117893"/>
      </bottom>
      <diagonal/>
    </border>
    <border>
      <left style="thin">
        <color theme="2" tint="-0.249977111117893"/>
      </left>
      <right/>
      <top/>
      <bottom style="thin">
        <color theme="2" tint="-0.249977111117893"/>
      </bottom>
      <diagonal/>
    </border>
    <border>
      <left style="thin">
        <color theme="2" tint="-0.249977111117893"/>
      </left>
      <right style="thin">
        <color theme="2" tint="-0.249977111117893"/>
      </right>
      <top/>
      <bottom style="thin">
        <color theme="2" tint="-0.249977111117893"/>
      </bottom>
      <diagonal/>
    </border>
    <border>
      <left style="medium">
        <color theme="2" tint="-0.249977111117893"/>
      </left>
      <right style="thin">
        <color theme="2" tint="-0.249977111117893"/>
      </right>
      <top/>
      <bottom style="thin">
        <color theme="2" tint="-0.249977111117893"/>
      </bottom>
      <diagonal/>
    </border>
    <border>
      <left style="thin">
        <color theme="2" tint="-0.249977111117893"/>
      </left>
      <right style="medium">
        <color theme="2" tint="-0.249977111117893"/>
      </right>
      <top style="medium">
        <color theme="2" tint="-0.249977111117893"/>
      </top>
      <bottom style="medium">
        <color theme="2" tint="-0.249977111117893"/>
      </bottom>
      <diagonal/>
    </border>
    <border>
      <left style="thin">
        <color theme="2" tint="-0.249977111117893"/>
      </left>
      <right/>
      <top style="medium">
        <color theme="2" tint="-0.249977111117893"/>
      </top>
      <bottom style="medium">
        <color theme="2" tint="-0.249977111117893"/>
      </bottom>
      <diagonal/>
    </border>
    <border>
      <left style="thin">
        <color theme="2" tint="-0.249977111117893"/>
      </left>
      <right style="thin">
        <color theme="2" tint="-0.249977111117893"/>
      </right>
      <top style="medium">
        <color theme="2" tint="-0.249977111117893"/>
      </top>
      <bottom style="medium">
        <color theme="2" tint="-0.249977111117893"/>
      </bottom>
      <diagonal/>
    </border>
    <border>
      <left style="medium">
        <color theme="2" tint="-0.249977111117893"/>
      </left>
      <right style="thin">
        <color theme="2" tint="-0.249977111117893"/>
      </right>
      <top style="medium">
        <color theme="2" tint="-0.249977111117893"/>
      </top>
      <bottom style="medium">
        <color theme="2" tint="-0.249977111117893"/>
      </bottom>
      <diagonal/>
    </border>
    <border>
      <left style="thin">
        <color theme="2" tint="-0.249977111117893"/>
      </left>
      <right/>
      <top/>
      <bottom style="medium">
        <color theme="2" tint="-0.249977111117893"/>
      </bottom>
      <diagonal/>
    </border>
    <border>
      <left style="thin">
        <color theme="2" tint="-0.249977111117893"/>
      </left>
      <right style="thin">
        <color theme="2" tint="-0.249977111117893"/>
      </right>
      <top/>
      <bottom style="medium">
        <color theme="2" tint="-0.249977111117893"/>
      </bottom>
      <diagonal/>
    </border>
    <border>
      <left style="medium">
        <color theme="2" tint="-0.249977111117893"/>
      </left>
      <right style="thin">
        <color theme="2" tint="-0.249977111117893"/>
      </right>
      <top style="thin">
        <color theme="2" tint="-9.9978637043366805E-2"/>
      </top>
      <bottom style="medium">
        <color theme="2" tint="-0.249977111117893"/>
      </bottom>
      <diagonal/>
    </border>
    <border>
      <left style="medium">
        <color theme="2" tint="-0.249977111117893"/>
      </left>
      <right style="thin">
        <color theme="2" tint="-0.249977111117893"/>
      </right>
      <top style="medium">
        <color theme="2" tint="-0.249977111117893"/>
      </top>
      <bottom/>
      <diagonal/>
    </border>
    <border>
      <left style="thin">
        <color theme="2" tint="-0.249977111117893"/>
      </left>
      <right/>
      <top style="thin">
        <color theme="2" tint="-0.249977111117893"/>
      </top>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medium">
        <color theme="2" tint="-0.249977111117893"/>
      </right>
      <top style="thin">
        <color theme="2" tint="-0.249977111117893"/>
      </top>
      <bottom/>
      <diagonal/>
    </border>
    <border>
      <left style="medium">
        <color theme="2" tint="-0.249977111117893"/>
      </left>
      <right style="thin">
        <color theme="2" tint="-0.249977111117893"/>
      </right>
      <top style="thin">
        <color theme="2" tint="-0.249977111117893"/>
      </top>
      <bottom/>
      <diagonal/>
    </border>
    <border>
      <left/>
      <right style="medium">
        <color theme="2" tint="-0.249977111117893"/>
      </right>
      <top style="medium">
        <color theme="2" tint="-0.249977111117893"/>
      </top>
      <bottom style="medium">
        <color theme="2" tint="-0.249977111117893"/>
      </bottom>
      <diagonal/>
    </border>
    <border>
      <left/>
      <right/>
      <top style="medium">
        <color theme="2" tint="-0.249977111117893"/>
      </top>
      <bottom style="medium">
        <color theme="2" tint="-0.249977111117893"/>
      </bottom>
      <diagonal/>
    </border>
    <border>
      <left/>
      <right/>
      <top/>
      <bottom style="medium">
        <color theme="2" tint="-0.249977111117893"/>
      </bottom>
      <diagonal/>
    </border>
    <border>
      <left style="medium">
        <color theme="2" tint="-0.249977111117893"/>
      </left>
      <right/>
      <top style="medium">
        <color theme="2" tint="-0.249977111117893"/>
      </top>
      <bottom style="medium">
        <color theme="2" tint="-0.249977111117893"/>
      </bottom>
      <diagonal/>
    </border>
    <border>
      <left/>
      <right/>
      <top style="thin">
        <color theme="4"/>
      </top>
      <bottom style="medium">
        <color theme="2" tint="-0.249977111117893"/>
      </bottom>
      <diagonal/>
    </border>
    <border>
      <left/>
      <right/>
      <top/>
      <bottom style="thin">
        <color theme="4"/>
      </bottom>
      <diagonal/>
    </border>
    <border>
      <left style="thin">
        <color theme="1"/>
      </left>
      <right style="thin">
        <color theme="1"/>
      </right>
      <top style="medium">
        <color theme="1"/>
      </top>
      <bottom style="medium">
        <color theme="1"/>
      </bottom>
      <diagonal/>
    </border>
    <border>
      <left style="thin">
        <color theme="1"/>
      </left>
      <right style="thin">
        <color theme="1"/>
      </right>
      <top style="thin">
        <color theme="1"/>
      </top>
      <bottom style="medium">
        <color theme="1"/>
      </bottom>
      <diagonal/>
    </border>
    <border>
      <left style="medium">
        <color indexed="64"/>
      </left>
      <right style="medium">
        <color indexed="64"/>
      </right>
      <top/>
      <bottom style="thin">
        <color indexed="64"/>
      </bottom>
      <diagonal/>
    </border>
    <border>
      <left style="hair">
        <color indexed="64"/>
      </left>
      <right style="hair">
        <color indexed="64"/>
      </right>
      <top style="hair">
        <color indexed="64"/>
      </top>
      <bottom style="hair">
        <color indexed="64"/>
      </bottom>
      <diagonal/>
    </border>
    <border>
      <left style="thin">
        <color theme="2" tint="-0.249977111117893"/>
      </left>
      <right style="thin">
        <color theme="2" tint="-0.249977111117893"/>
      </right>
      <top style="medium">
        <color indexed="64"/>
      </top>
      <bottom/>
      <diagonal/>
    </border>
    <border>
      <left style="medium">
        <color indexed="64"/>
      </left>
      <right style="thin">
        <color theme="2" tint="-0.249977111117893"/>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hair">
        <color theme="1"/>
      </top>
      <bottom style="medium">
        <color indexed="64"/>
      </bottom>
      <diagonal/>
    </border>
    <border>
      <left style="hair">
        <color indexed="64"/>
      </left>
      <right style="hair">
        <color indexed="64"/>
      </right>
      <top style="hair">
        <color indexed="64"/>
      </top>
      <bottom style="medium">
        <color indexed="64"/>
      </bottom>
      <diagonal/>
    </border>
    <border>
      <left style="thin">
        <color theme="2" tint="-0.249977111117893"/>
      </left>
      <right/>
      <top style="medium">
        <color indexed="64"/>
      </top>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medium">
        <color indexed="64"/>
      </left>
      <right/>
      <top style="medium">
        <color theme="1"/>
      </top>
      <bottom/>
      <diagonal/>
    </border>
    <border>
      <left style="medium">
        <color indexed="64"/>
      </left>
      <right/>
      <top style="medium">
        <color indexed="64"/>
      </top>
      <bottom style="medium">
        <color theme="1"/>
      </bottom>
      <diagonal/>
    </border>
    <border>
      <left style="medium">
        <color indexed="64"/>
      </left>
      <right style="medium">
        <color indexed="64"/>
      </right>
      <top style="hair">
        <color theme="1"/>
      </top>
      <bottom style="hair">
        <color theme="1"/>
      </bottom>
      <diagonal/>
    </border>
    <border>
      <left style="medium">
        <color indexed="64"/>
      </left>
      <right style="medium">
        <color indexed="64"/>
      </right>
      <top style="hair">
        <color theme="1"/>
      </top>
      <bottom style="medium">
        <color indexed="64"/>
      </bottom>
      <diagonal/>
    </border>
    <border>
      <left/>
      <right style="medium">
        <color indexed="64"/>
      </right>
      <top style="medium">
        <color indexed="64"/>
      </top>
      <bottom style="medium">
        <color theme="1"/>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bottom style="thin">
        <color indexed="64"/>
      </bottom>
      <diagonal/>
    </border>
    <border>
      <left style="thin">
        <color indexed="64"/>
      </left>
      <right/>
      <top style="thin">
        <color rgb="FF000000"/>
      </top>
      <bottom style="thin">
        <color indexed="64"/>
      </bottom>
      <diagonal/>
    </border>
    <border>
      <left style="thin">
        <color indexed="64"/>
      </left>
      <right/>
      <top style="thin">
        <color rgb="FF000000"/>
      </top>
      <bottom/>
      <diagonal/>
    </border>
    <border>
      <left/>
      <right style="thin">
        <color indexed="64"/>
      </right>
      <top style="thin">
        <color indexed="64"/>
      </top>
      <bottom/>
      <diagonal/>
    </border>
    <border>
      <left/>
      <right/>
      <top/>
      <bottom style="thin">
        <color rgb="FF382573"/>
      </bottom>
      <diagonal/>
    </border>
    <border>
      <left style="thin">
        <color rgb="FF382573"/>
      </left>
      <right/>
      <top style="thin">
        <color rgb="FF382573"/>
      </top>
      <bottom style="thin">
        <color rgb="FF382573"/>
      </bottom>
      <diagonal/>
    </border>
    <border>
      <left/>
      <right/>
      <top style="thin">
        <color rgb="FF382573"/>
      </top>
      <bottom style="thin">
        <color rgb="FF382573"/>
      </bottom>
      <diagonal/>
    </border>
    <border>
      <left/>
      <right style="thin">
        <color rgb="FF382573"/>
      </right>
      <top style="thin">
        <color rgb="FF382573"/>
      </top>
      <bottom style="thin">
        <color rgb="FF382573"/>
      </bottom>
      <diagonal/>
    </border>
    <border>
      <left style="thin">
        <color indexed="64"/>
      </left>
      <right style="thin">
        <color indexed="64"/>
      </right>
      <top style="medium">
        <color indexed="64"/>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rgb="FF382573"/>
      </right>
      <top style="medium">
        <color indexed="64"/>
      </top>
      <bottom style="thin">
        <color rgb="FF382573"/>
      </bottom>
      <diagonal/>
    </border>
    <border>
      <left/>
      <right style="medium">
        <color indexed="64"/>
      </right>
      <top style="medium">
        <color indexed="64"/>
      </top>
      <bottom style="thin">
        <color indexed="64"/>
      </bottom>
      <diagonal/>
    </border>
    <border>
      <left style="medium">
        <color indexed="64"/>
      </left>
      <right style="thin">
        <color rgb="FF382573"/>
      </right>
      <top style="thin">
        <color rgb="FF382573"/>
      </top>
      <bottom style="thin">
        <color rgb="FF382573"/>
      </bottom>
      <diagonal/>
    </border>
    <border>
      <left style="medium">
        <color indexed="64"/>
      </left>
      <right style="thin">
        <color rgb="FF382573"/>
      </right>
      <top style="thin">
        <color rgb="FF382573"/>
      </top>
      <bottom style="thin">
        <color theme="1"/>
      </bottom>
      <diagonal/>
    </border>
    <border>
      <left/>
      <right style="medium">
        <color indexed="64"/>
      </right>
      <top style="thin">
        <color theme="1"/>
      </top>
      <bottom style="thin">
        <color theme="1"/>
      </bottom>
      <diagonal/>
    </border>
    <border>
      <left style="medium">
        <color indexed="64"/>
      </left>
      <right style="thin">
        <color rgb="FF382573"/>
      </right>
      <top style="thin">
        <color theme="1"/>
      </top>
      <bottom style="thin">
        <color theme="1"/>
      </bottom>
      <diagonal/>
    </border>
    <border>
      <left style="medium">
        <color indexed="64"/>
      </left>
      <right style="thin">
        <color rgb="FF382573"/>
      </right>
      <top style="thin">
        <color theme="1"/>
      </top>
      <bottom style="medium">
        <color indexed="64"/>
      </bottom>
      <diagonal/>
    </border>
    <border>
      <left/>
      <right style="medium">
        <color indexed="64"/>
      </right>
      <top style="thin">
        <color theme="1"/>
      </top>
      <bottom style="medium">
        <color indexed="64"/>
      </bottom>
      <diagonal/>
    </border>
    <border>
      <left style="medium">
        <color indexed="64"/>
      </left>
      <right style="thin">
        <color rgb="FF382573"/>
      </right>
      <top style="thin">
        <color rgb="FF382573"/>
      </top>
      <bottom style="medium">
        <color indexed="64"/>
      </bottom>
      <diagonal/>
    </border>
    <border>
      <left/>
      <right style="medium">
        <color indexed="64"/>
      </right>
      <top style="thin">
        <color indexed="64"/>
      </top>
      <bottom style="medium">
        <color indexed="64"/>
      </bottom>
      <diagonal/>
    </border>
    <border>
      <left style="medium">
        <color indexed="64"/>
      </left>
      <right style="thin">
        <color rgb="FF382573"/>
      </right>
      <top style="thin">
        <color rgb="FF382573"/>
      </top>
      <bottom/>
      <diagonal/>
    </border>
    <border>
      <left style="medium">
        <color indexed="64"/>
      </left>
      <right style="thin">
        <color rgb="FF382573"/>
      </right>
      <top/>
      <bottom/>
      <diagonal/>
    </border>
    <border>
      <left style="medium">
        <color indexed="64"/>
      </left>
      <right style="thin">
        <color rgb="FF382573"/>
      </right>
      <top/>
      <bottom style="thin">
        <color rgb="FF382573"/>
      </bottom>
      <diagonal/>
    </border>
    <border>
      <left style="medium">
        <color indexed="64"/>
      </left>
      <right style="medium">
        <color indexed="64"/>
      </right>
      <top style="medium">
        <color indexed="64"/>
      </top>
      <bottom style="hair">
        <color indexed="64"/>
      </bottom>
      <diagonal/>
    </border>
    <border>
      <left/>
      <right style="hair">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hair">
        <color rgb="FFBFBFBF"/>
      </right>
      <top style="medium">
        <color indexed="64"/>
      </top>
      <bottom style="medium">
        <color indexed="64"/>
      </bottom>
      <diagonal/>
    </border>
    <border>
      <left style="hair">
        <color rgb="FFBFBFBF"/>
      </left>
      <right/>
      <top style="medium">
        <color indexed="64"/>
      </top>
      <bottom style="medium">
        <color indexed="64"/>
      </bottom>
      <diagonal/>
    </border>
    <border>
      <left/>
      <right style="medium">
        <color theme="2" tint="-0.249977111117893"/>
      </right>
      <top/>
      <bottom style="medium">
        <color theme="2" tint="-0.249977111117893"/>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medium">
        <color indexed="64"/>
      </bottom>
      <diagonal/>
    </border>
  </borders>
  <cellStyleXfs count="28">
    <xf numFmtId="0" fontId="0" fillId="0" borderId="0"/>
    <xf numFmtId="43" fontId="11" fillId="0" borderId="0" applyFont="0" applyFill="0" applyBorder="0" applyAlignment="0" applyProtection="0"/>
    <xf numFmtId="0" fontId="12" fillId="0" borderId="0" applyNumberFormat="0" applyFill="0" applyBorder="0" applyAlignment="0" applyProtection="0">
      <alignment vertical="top"/>
      <protection locked="0"/>
    </xf>
    <xf numFmtId="0" fontId="13" fillId="0" borderId="0"/>
    <xf numFmtId="0" fontId="10" fillId="0" borderId="0"/>
    <xf numFmtId="9" fontId="11" fillId="0" borderId="0" applyFont="0" applyFill="0" applyBorder="0" applyAlignment="0" applyProtection="0"/>
    <xf numFmtId="0" fontId="11" fillId="0" borderId="0"/>
    <xf numFmtId="0" fontId="9" fillId="0" borderId="0"/>
    <xf numFmtId="0" fontId="8" fillId="0" borderId="0"/>
    <xf numFmtId="9" fontId="8" fillId="0" borderId="0" applyFont="0" applyFill="0" applyBorder="0" applyAlignment="0" applyProtection="0"/>
    <xf numFmtId="0" fontId="8" fillId="0" borderId="0"/>
    <xf numFmtId="0" fontId="11" fillId="0" borderId="0"/>
    <xf numFmtId="0" fontId="28" fillId="0" borderId="0"/>
    <xf numFmtId="0" fontId="22" fillId="0" borderId="0"/>
    <xf numFmtId="0" fontId="29" fillId="0" borderId="0" applyNumberFormat="0" applyFill="0" applyBorder="0" applyAlignment="0" applyProtection="0">
      <alignment vertical="top"/>
      <protection locked="0"/>
    </xf>
    <xf numFmtId="0" fontId="7" fillId="0" borderId="0"/>
    <xf numFmtId="43" fontId="11" fillId="0" borderId="0" applyFont="0" applyFill="0" applyBorder="0" applyAlignment="0" applyProtection="0"/>
    <xf numFmtId="0" fontId="11" fillId="0" borderId="0"/>
    <xf numFmtId="0" fontId="5" fillId="0" borderId="0"/>
    <xf numFmtId="9" fontId="5" fillId="0" borderId="0" applyFont="0" applyFill="0" applyBorder="0" applyAlignment="0" applyProtection="0"/>
    <xf numFmtId="0" fontId="4" fillId="0" borderId="0"/>
    <xf numFmtId="0" fontId="3" fillId="0" borderId="0"/>
    <xf numFmtId="0" fontId="12" fillId="0" borderId="0" applyNumberFormat="0" applyFill="0" applyBorder="0" applyAlignment="0" applyProtection="0">
      <alignment vertical="top"/>
      <protection locked="0"/>
    </xf>
    <xf numFmtId="0" fontId="3" fillId="0" borderId="0"/>
    <xf numFmtId="0" fontId="91" fillId="0" borderId="0" applyNumberFormat="0" applyFill="0" applyBorder="0" applyAlignment="0" applyProtection="0"/>
    <xf numFmtId="0" fontId="2" fillId="0" borderId="0"/>
    <xf numFmtId="0" fontId="2" fillId="0" borderId="0"/>
    <xf numFmtId="44" fontId="11" fillId="0" borderId="0" applyFont="0" applyFill="0" applyBorder="0" applyAlignment="0" applyProtection="0"/>
  </cellStyleXfs>
  <cellXfs count="1119">
    <xf numFmtId="0" fontId="0" fillId="0" borderId="0" xfId="0"/>
    <xf numFmtId="0" fontId="0" fillId="0" borderId="0" xfId="0" quotePrefix="1"/>
    <xf numFmtId="0" fontId="0" fillId="3" borderId="0" xfId="0" applyFill="1"/>
    <xf numFmtId="0" fontId="14" fillId="0" borderId="0" xfId="0" applyFont="1"/>
    <xf numFmtId="0" fontId="14" fillId="0" borderId="0" xfId="0" applyFont="1" applyAlignment="1">
      <alignment vertical="center"/>
    </xf>
    <xf numFmtId="0" fontId="20" fillId="5" borderId="0" xfId="0" applyFont="1" applyFill="1" applyAlignment="1">
      <alignment horizontal="center" vertical="center" wrapText="1"/>
    </xf>
    <xf numFmtId="0" fontId="17" fillId="5" borderId="0" xfId="0" applyFont="1" applyFill="1" applyAlignment="1">
      <alignment vertical="center"/>
    </xf>
    <xf numFmtId="0" fontId="20" fillId="5" borderId="0" xfId="0" applyFont="1" applyFill="1" applyAlignment="1">
      <alignment vertical="center"/>
    </xf>
    <xf numFmtId="0" fontId="17" fillId="5" borderId="0" xfId="0" applyFont="1" applyFill="1" applyAlignment="1">
      <alignment horizontal="left" vertical="top" wrapText="1"/>
    </xf>
    <xf numFmtId="0" fontId="17" fillId="5" borderId="0" xfId="0" applyFont="1" applyFill="1" applyAlignment="1" applyProtection="1">
      <alignment horizontal="left" vertical="top" wrapText="1"/>
      <protection hidden="1"/>
    </xf>
    <xf numFmtId="0" fontId="17" fillId="5" borderId="0" xfId="0" applyFont="1" applyFill="1" applyAlignment="1">
      <alignment vertical="center" wrapText="1"/>
    </xf>
    <xf numFmtId="0" fontId="17" fillId="5" borderId="0" xfId="0" applyFont="1" applyFill="1"/>
    <xf numFmtId="0" fontId="17" fillId="5" borderId="0" xfId="0" applyFont="1" applyFill="1" applyAlignment="1">
      <alignment wrapText="1"/>
    </xf>
    <xf numFmtId="0" fontId="22" fillId="3" borderId="0" xfId="0" applyFont="1" applyFill="1"/>
    <xf numFmtId="0" fontId="23" fillId="3" borderId="0" xfId="0" applyFont="1" applyFill="1" applyAlignment="1">
      <alignment vertical="top"/>
    </xf>
    <xf numFmtId="0" fontId="24" fillId="3" borderId="0" xfId="0" applyFont="1" applyFill="1" applyAlignment="1">
      <alignment horizontal="left" vertical="top"/>
    </xf>
    <xf numFmtId="0" fontId="17" fillId="0" borderId="0" xfId="0" applyFont="1" applyAlignment="1">
      <alignment horizontal="center"/>
    </xf>
    <xf numFmtId="166" fontId="17" fillId="0" borderId="0" xfId="0" applyNumberFormat="1" applyFont="1" applyAlignment="1">
      <alignment horizontal="center"/>
    </xf>
    <xf numFmtId="0" fontId="17" fillId="0" borderId="0" xfId="0" applyFont="1" applyAlignment="1">
      <alignment horizontal="left" wrapText="1"/>
    </xf>
    <xf numFmtId="1" fontId="17" fillId="0" borderId="0" xfId="0" applyNumberFormat="1" applyFont="1" applyAlignment="1">
      <alignment horizontal="center"/>
    </xf>
    <xf numFmtId="0" fontId="17" fillId="0" borderId="0" xfId="0" applyFont="1" applyAlignment="1">
      <alignment horizontal="left"/>
    </xf>
    <xf numFmtId="5" fontId="17" fillId="0" borderId="0" xfId="1" applyNumberFormat="1" applyFont="1"/>
    <xf numFmtId="164" fontId="17" fillId="0" borderId="0" xfId="0" applyNumberFormat="1" applyFont="1"/>
    <xf numFmtId="0" fontId="17" fillId="0" borderId="0" xfId="0" applyFont="1"/>
    <xf numFmtId="0" fontId="17" fillId="0" borderId="0" xfId="0" applyFont="1" applyAlignment="1">
      <alignment vertical="center"/>
    </xf>
    <xf numFmtId="0" fontId="20" fillId="5" borderId="0" xfId="0" applyFont="1" applyFill="1" applyAlignment="1" applyProtection="1">
      <alignment horizontal="left" vertical="top" wrapText="1"/>
      <protection hidden="1"/>
    </xf>
    <xf numFmtId="0" fontId="0" fillId="5" borderId="0" xfId="0" applyFill="1"/>
    <xf numFmtId="0" fontId="20" fillId="5" borderId="0" xfId="0" applyFont="1" applyFill="1" applyAlignment="1">
      <alignment horizontal="left" vertical="top" wrapText="1"/>
    </xf>
    <xf numFmtId="0" fontId="22" fillId="5" borderId="0" xfId="13" applyFill="1" applyAlignment="1" applyProtection="1">
      <alignment horizontal="left" vertical="top"/>
      <protection hidden="1"/>
    </xf>
    <xf numFmtId="0" fontId="22" fillId="5" borderId="0" xfId="13" applyFill="1" applyAlignment="1" applyProtection="1">
      <alignment horizontal="left" vertical="top" wrapText="1"/>
      <protection hidden="1"/>
    </xf>
    <xf numFmtId="0" fontId="17" fillId="5" borderId="1" xfId="0" applyFont="1" applyFill="1" applyBorder="1" applyAlignment="1" applyProtection="1">
      <alignment horizontal="left" vertical="top" wrapText="1"/>
      <protection hidden="1"/>
    </xf>
    <xf numFmtId="14" fontId="17" fillId="5" borderId="0" xfId="0" applyNumberFormat="1" applyFont="1" applyFill="1" applyAlignment="1">
      <alignment vertical="center"/>
    </xf>
    <xf numFmtId="0" fontId="30" fillId="4" borderId="1" xfId="0" applyFont="1" applyFill="1" applyBorder="1" applyAlignment="1" applyProtection="1">
      <alignment vertical="top" wrapText="1"/>
      <protection locked="0" hidden="1"/>
    </xf>
    <xf numFmtId="0" fontId="17" fillId="0" borderId="0" xfId="0" applyFont="1" applyAlignment="1" applyProtection="1">
      <alignment vertical="top" wrapText="1"/>
      <protection locked="0" hidden="1"/>
    </xf>
    <xf numFmtId="0" fontId="17" fillId="2" borderId="1" xfId="0" applyFont="1" applyFill="1" applyBorder="1" applyAlignment="1" applyProtection="1">
      <alignment horizontal="left" vertical="top" wrapText="1"/>
      <protection locked="0" hidden="1"/>
    </xf>
    <xf numFmtId="1" fontId="17" fillId="0" borderId="0" xfId="0" applyNumberFormat="1" applyFont="1" applyAlignment="1" applyProtection="1">
      <alignment vertical="top" wrapText="1"/>
      <protection locked="0" hidden="1"/>
    </xf>
    <xf numFmtId="5" fontId="17" fillId="0" borderId="0" xfId="0" applyNumberFormat="1" applyFont="1" applyAlignment="1" applyProtection="1">
      <alignment vertical="top" wrapText="1"/>
      <protection locked="0" hidden="1"/>
    </xf>
    <xf numFmtId="9" fontId="17" fillId="0" borderId="0" xfId="0" applyNumberFormat="1" applyFont="1" applyAlignment="1" applyProtection="1">
      <alignment vertical="top" wrapText="1"/>
      <protection locked="0" hidden="1"/>
    </xf>
    <xf numFmtId="2" fontId="17" fillId="0" borderId="0" xfId="0" applyNumberFormat="1" applyFont="1" applyAlignment="1" applyProtection="1">
      <alignment vertical="top" wrapText="1"/>
      <protection locked="0" hidden="1"/>
    </xf>
    <xf numFmtId="43" fontId="17" fillId="0" borderId="0" xfId="0" applyNumberFormat="1" applyFont="1" applyAlignment="1" applyProtection="1">
      <alignment vertical="top" wrapText="1"/>
      <protection locked="0" hidden="1"/>
    </xf>
    <xf numFmtId="0" fontId="31" fillId="0" borderId="0" xfId="0" applyFont="1" applyAlignment="1" applyProtection="1">
      <alignment vertical="top" wrapText="1"/>
      <protection locked="0" hidden="1"/>
    </xf>
    <xf numFmtId="0" fontId="30" fillId="4" borderId="1" xfId="0" applyFont="1" applyFill="1" applyBorder="1" applyAlignment="1" applyProtection="1">
      <alignment horizontal="left" vertical="top" wrapText="1"/>
      <protection locked="0" hidden="1"/>
    </xf>
    <xf numFmtId="14" fontId="17" fillId="2" borderId="1" xfId="0" applyNumberFormat="1" applyFont="1" applyFill="1" applyBorder="1" applyAlignment="1" applyProtection="1">
      <alignment horizontal="left" vertical="top" wrapText="1"/>
      <protection locked="0" hidden="1"/>
    </xf>
    <xf numFmtId="1" fontId="17" fillId="2" borderId="1" xfId="0" applyNumberFormat="1" applyFont="1" applyFill="1" applyBorder="1" applyAlignment="1" applyProtection="1">
      <alignment horizontal="left" vertical="top" wrapText="1"/>
      <protection locked="0" hidden="1"/>
    </xf>
    <xf numFmtId="171" fontId="17" fillId="2" borderId="1" xfId="0" applyNumberFormat="1" applyFont="1" applyFill="1" applyBorder="1" applyAlignment="1" applyProtection="1">
      <alignment horizontal="left" vertical="top" wrapText="1"/>
      <protection locked="0" hidden="1"/>
    </xf>
    <xf numFmtId="9" fontId="17" fillId="2" borderId="1" xfId="5" applyFont="1" applyFill="1" applyBorder="1" applyAlignment="1" applyProtection="1">
      <alignment horizontal="left" vertical="top" wrapText="1"/>
      <protection locked="0" hidden="1"/>
    </xf>
    <xf numFmtId="0" fontId="32" fillId="2" borderId="1" xfId="0" applyFont="1" applyFill="1" applyBorder="1" applyAlignment="1" applyProtection="1">
      <alignment horizontal="left" vertical="top" wrapText="1"/>
      <protection locked="0" hidden="1"/>
    </xf>
    <xf numFmtId="9" fontId="32" fillId="2" borderId="1" xfId="5" applyFont="1" applyFill="1" applyBorder="1" applyAlignment="1" applyProtection="1">
      <alignment horizontal="left" vertical="top" wrapText="1"/>
      <protection locked="0" hidden="1"/>
    </xf>
    <xf numFmtId="2" fontId="17" fillId="2" borderId="1" xfId="0" applyNumberFormat="1" applyFont="1" applyFill="1" applyBorder="1" applyAlignment="1" applyProtection="1">
      <alignment horizontal="left" vertical="top" wrapText="1"/>
      <protection locked="0" hidden="1"/>
    </xf>
    <xf numFmtId="43" fontId="17" fillId="2" borderId="1" xfId="0" applyNumberFormat="1" applyFont="1" applyFill="1" applyBorder="1" applyAlignment="1" applyProtection="1">
      <alignment horizontal="left" vertical="top" wrapText="1"/>
      <protection locked="0" hidden="1"/>
    </xf>
    <xf numFmtId="43" fontId="17" fillId="2" borderId="1" xfId="1" applyFont="1" applyFill="1" applyBorder="1" applyAlignment="1" applyProtection="1">
      <alignment horizontal="left" vertical="top" wrapText="1"/>
      <protection locked="0" hidden="1"/>
    </xf>
    <xf numFmtId="10" fontId="17" fillId="2" borderId="1" xfId="0" applyNumberFormat="1" applyFont="1" applyFill="1" applyBorder="1" applyAlignment="1" applyProtection="1">
      <alignment horizontal="left" vertical="top" wrapText="1"/>
      <protection locked="0" hidden="1"/>
    </xf>
    <xf numFmtId="0" fontId="25" fillId="0" borderId="0" xfId="0" applyFont="1" applyAlignment="1" applyProtection="1">
      <alignment vertical="top" wrapText="1"/>
      <protection locked="0" hidden="1"/>
    </xf>
    <xf numFmtId="0" fontId="17" fillId="0" borderId="0" xfId="0" applyFont="1" applyAlignment="1">
      <alignment horizontal="left" vertical="top"/>
    </xf>
    <xf numFmtId="2" fontId="17" fillId="0" borderId="0" xfId="0" applyNumberFormat="1" applyFont="1"/>
    <xf numFmtId="0" fontId="21" fillId="0" borderId="0" xfId="0" applyFont="1" applyAlignment="1">
      <alignment horizontal="left" vertical="top"/>
    </xf>
    <xf numFmtId="0" fontId="20" fillId="0" borderId="0" xfId="0" applyFont="1" applyAlignment="1">
      <alignment horizontal="left" vertical="center"/>
    </xf>
    <xf numFmtId="0" fontId="20" fillId="0" borderId="0" xfId="0" applyFont="1" applyAlignment="1">
      <alignment vertical="center"/>
    </xf>
    <xf numFmtId="2" fontId="20" fillId="0" borderId="0" xfId="0" applyNumberFormat="1" applyFont="1" applyAlignment="1">
      <alignment vertical="center"/>
    </xf>
    <xf numFmtId="0" fontId="18" fillId="0" borderId="0" xfId="0" applyFont="1" applyAlignment="1">
      <alignment horizontal="left" vertical="top"/>
    </xf>
    <xf numFmtId="0" fontId="18" fillId="0" borderId="0" xfId="0" applyFont="1" applyAlignment="1">
      <alignment horizontal="left" vertical="top" wrapText="1"/>
    </xf>
    <xf numFmtId="0" fontId="17" fillId="0" borderId="0" xfId="0" applyFont="1" applyProtection="1">
      <protection hidden="1"/>
    </xf>
    <xf numFmtId="0" fontId="17" fillId="0" borderId="1" xfId="0" applyFont="1" applyBorder="1" applyProtection="1">
      <protection hidden="1"/>
    </xf>
    <xf numFmtId="2" fontId="17" fillId="0" borderId="0" xfId="0" applyNumberFormat="1" applyFont="1" applyProtection="1">
      <protection hidden="1"/>
    </xf>
    <xf numFmtId="43" fontId="17" fillId="0" borderId="0" xfId="0" applyNumberFormat="1" applyFont="1" applyProtection="1">
      <protection hidden="1"/>
    </xf>
    <xf numFmtId="2" fontId="17" fillId="9" borderId="0" xfId="0" applyNumberFormat="1" applyFont="1" applyFill="1"/>
    <xf numFmtId="0" fontId="17" fillId="9" borderId="0" xfId="0" applyFont="1" applyFill="1"/>
    <xf numFmtId="0" fontId="17" fillId="11" borderId="0" xfId="0" applyFont="1" applyFill="1"/>
    <xf numFmtId="2" fontId="17" fillId="12" borderId="0" xfId="0" applyNumberFormat="1" applyFont="1" applyFill="1"/>
    <xf numFmtId="0" fontId="17" fillId="12" borderId="0" xfId="0" applyFont="1" applyFill="1"/>
    <xf numFmtId="0" fontId="17" fillId="6" borderId="0" xfId="0" applyFont="1" applyFill="1"/>
    <xf numFmtId="2" fontId="17" fillId="10" borderId="0" xfId="0" applyNumberFormat="1" applyFont="1" applyFill="1"/>
    <xf numFmtId="0" fontId="17" fillId="10" borderId="0" xfId="0" applyFont="1" applyFill="1"/>
    <xf numFmtId="0" fontId="17" fillId="13" borderId="0" xfId="0" applyFont="1" applyFill="1"/>
    <xf numFmtId="0" fontId="17" fillId="13" borderId="0" xfId="0" applyFont="1" applyFill="1" applyAlignment="1">
      <alignment horizontal="center"/>
    </xf>
    <xf numFmtId="0" fontId="17" fillId="8" borderId="0" xfId="0" applyFont="1" applyFill="1"/>
    <xf numFmtId="0" fontId="17" fillId="2" borderId="0" xfId="0" applyFont="1" applyFill="1"/>
    <xf numFmtId="49" fontId="17" fillId="2" borderId="1" xfId="0" applyNumberFormat="1" applyFont="1" applyFill="1" applyBorder="1" applyAlignment="1" applyProtection="1">
      <alignment horizontal="left" vertical="top" wrapText="1"/>
      <protection locked="0" hidden="1"/>
    </xf>
    <xf numFmtId="0" fontId="22" fillId="5" borderId="76" xfId="13" applyFill="1" applyBorder="1" applyAlignment="1" applyProtection="1">
      <alignment horizontal="left" vertical="top" wrapText="1"/>
      <protection hidden="1"/>
    </xf>
    <xf numFmtId="0" fontId="39" fillId="5" borderId="77" xfId="13" applyFont="1" applyFill="1" applyBorder="1" applyAlignment="1" applyProtection="1">
      <alignment horizontal="left" vertical="top" wrapText="1"/>
      <protection hidden="1"/>
    </xf>
    <xf numFmtId="0" fontId="6" fillId="5" borderId="77" xfId="0" applyFont="1" applyFill="1" applyBorder="1" applyAlignment="1">
      <alignment vertical="center"/>
    </xf>
    <xf numFmtId="0" fontId="40" fillId="5" borderId="77" xfId="13" applyFont="1" applyFill="1" applyBorder="1" applyAlignment="1" applyProtection="1">
      <alignment horizontal="left" vertical="top" wrapText="1"/>
      <protection hidden="1"/>
    </xf>
    <xf numFmtId="0" fontId="6" fillId="5" borderId="77" xfId="13" applyFont="1" applyFill="1" applyBorder="1" applyAlignment="1" applyProtection="1">
      <alignment horizontal="left" vertical="top" wrapText="1"/>
      <protection hidden="1"/>
    </xf>
    <xf numFmtId="0" fontId="22" fillId="14" borderId="78" xfId="13" applyFill="1" applyBorder="1" applyAlignment="1" applyProtection="1">
      <alignment horizontal="left" vertical="top" wrapText="1"/>
      <protection hidden="1"/>
    </xf>
    <xf numFmtId="0" fontId="23" fillId="5" borderId="82" xfId="0" applyFont="1" applyFill="1" applyBorder="1" applyAlignment="1">
      <alignment vertical="top"/>
    </xf>
    <xf numFmtId="0" fontId="24" fillId="5" borderId="82" xfId="0" applyFont="1" applyFill="1" applyBorder="1" applyAlignment="1">
      <alignment horizontal="left" vertical="top"/>
    </xf>
    <xf numFmtId="0" fontId="41" fillId="5" borderId="0" xfId="0" applyFont="1" applyFill="1" applyAlignment="1">
      <alignment horizontal="left" vertical="top"/>
    </xf>
    <xf numFmtId="0" fontId="38" fillId="5" borderId="83" xfId="0" applyFont="1" applyFill="1" applyBorder="1"/>
    <xf numFmtId="0" fontId="42" fillId="5" borderId="0" xfId="0" applyFont="1" applyFill="1" applyAlignment="1">
      <alignment vertical="top"/>
    </xf>
    <xf numFmtId="0" fontId="38" fillId="5" borderId="0" xfId="0" applyFont="1" applyFill="1"/>
    <xf numFmtId="0" fontId="38" fillId="5" borderId="0" xfId="0" applyFont="1" applyFill="1" applyAlignment="1">
      <alignment horizontal="left" vertical="top" wrapText="1"/>
    </xf>
    <xf numFmtId="0" fontId="6" fillId="5" borderId="0" xfId="0" applyFont="1" applyFill="1" applyAlignment="1">
      <alignment horizontal="left" vertical="top" wrapText="1"/>
    </xf>
    <xf numFmtId="0" fontId="6" fillId="5" borderId="83" xfId="0" applyFont="1" applyFill="1" applyBorder="1" applyAlignment="1">
      <alignment horizontal="left" vertical="top" wrapText="1"/>
    </xf>
    <xf numFmtId="0" fontId="6" fillId="5" borderId="0" xfId="0" applyFont="1" applyFill="1"/>
    <xf numFmtId="0" fontId="6" fillId="5" borderId="83" xfId="0" applyFont="1" applyFill="1" applyBorder="1"/>
    <xf numFmtId="0" fontId="40" fillId="5" borderId="0" xfId="0" applyFont="1" applyFill="1" applyAlignment="1">
      <alignment horizontal="left" vertical="top"/>
    </xf>
    <xf numFmtId="165" fontId="36" fillId="5" borderId="1" xfId="1" applyNumberFormat="1" applyFont="1" applyFill="1" applyBorder="1" applyAlignment="1" applyProtection="1">
      <alignment horizontal="left" vertical="center"/>
      <protection hidden="1"/>
    </xf>
    <xf numFmtId="165" fontId="6" fillId="5" borderId="1" xfId="1" applyNumberFormat="1" applyFont="1" applyFill="1" applyBorder="1" applyAlignment="1" applyProtection="1">
      <alignment vertical="center"/>
      <protection hidden="1"/>
    </xf>
    <xf numFmtId="49" fontId="6" fillId="0" borderId="49" xfId="0" applyNumberFormat="1" applyFont="1" applyBorder="1" applyAlignment="1" applyProtection="1">
      <alignment horizontal="left" vertical="center" wrapText="1"/>
      <protection locked="0"/>
    </xf>
    <xf numFmtId="0" fontId="6" fillId="0" borderId="9" xfId="0" applyFont="1" applyBorder="1" applyAlignment="1" applyProtection="1">
      <alignment horizontal="center" vertical="center" wrapText="1"/>
      <protection locked="0"/>
    </xf>
    <xf numFmtId="2" fontId="6" fillId="0" borderId="36" xfId="0" applyNumberFormat="1" applyFont="1" applyBorder="1" applyAlignment="1" applyProtection="1">
      <alignment horizontal="center" vertical="center" wrapText="1"/>
      <protection locked="0"/>
    </xf>
    <xf numFmtId="2" fontId="6" fillId="0" borderId="58" xfId="0" applyNumberFormat="1" applyFont="1" applyBorder="1" applyAlignment="1" applyProtection="1">
      <alignment horizontal="center" vertical="center" wrapText="1"/>
      <protection locked="0"/>
    </xf>
    <xf numFmtId="165" fontId="6" fillId="0" borderId="36" xfId="1" applyNumberFormat="1" applyFont="1" applyBorder="1" applyAlignment="1" applyProtection="1">
      <alignment horizontal="center" vertical="center" wrapText="1"/>
      <protection locked="0"/>
    </xf>
    <xf numFmtId="165" fontId="6" fillId="0" borderId="9" xfId="1" applyNumberFormat="1" applyFont="1" applyBorder="1" applyAlignment="1" applyProtection="1">
      <alignment horizontal="center" vertical="center" wrapText="1"/>
      <protection locked="0"/>
    </xf>
    <xf numFmtId="171" fontId="6" fillId="0" borderId="70" xfId="1" applyNumberFormat="1" applyFont="1" applyBorder="1" applyAlignment="1" applyProtection="1">
      <alignment horizontal="center" vertical="center" wrapText="1"/>
      <protection locked="0"/>
    </xf>
    <xf numFmtId="14" fontId="6" fillId="0" borderId="75" xfId="0" applyNumberFormat="1" applyFont="1" applyBorder="1" applyAlignment="1" applyProtection="1">
      <alignment horizontal="center" vertical="center" wrapText="1"/>
      <protection locked="0"/>
    </xf>
    <xf numFmtId="14" fontId="6" fillId="0" borderId="74" xfId="0" applyNumberFormat="1" applyFont="1" applyBorder="1" applyAlignment="1" applyProtection="1">
      <alignment horizontal="center" vertical="center" wrapText="1"/>
      <protection locked="0"/>
    </xf>
    <xf numFmtId="14" fontId="6" fillId="0" borderId="36" xfId="0" applyNumberFormat="1" applyFont="1" applyBorder="1" applyAlignment="1" applyProtection="1">
      <alignment horizontal="center" vertical="center" wrapText="1"/>
      <protection locked="0"/>
    </xf>
    <xf numFmtId="0" fontId="6" fillId="5" borderId="0" xfId="0" applyFont="1" applyFill="1" applyAlignment="1">
      <alignment horizontal="center"/>
    </xf>
    <xf numFmtId="166" fontId="6" fillId="5" borderId="0" xfId="0" applyNumberFormat="1" applyFont="1" applyFill="1" applyAlignment="1">
      <alignment horizontal="center"/>
    </xf>
    <xf numFmtId="0" fontId="6" fillId="5" borderId="0" xfId="0" applyFont="1" applyFill="1" applyAlignment="1">
      <alignment horizontal="left" wrapText="1"/>
    </xf>
    <xf numFmtId="1" fontId="6" fillId="5" borderId="0" xfId="0" applyNumberFormat="1" applyFont="1" applyFill="1" applyAlignment="1">
      <alignment horizontal="center"/>
    </xf>
    <xf numFmtId="0" fontId="6" fillId="5" borderId="0" xfId="0" applyFont="1" applyFill="1" applyAlignment="1">
      <alignment horizontal="left"/>
    </xf>
    <xf numFmtId="5" fontId="6" fillId="5" borderId="0" xfId="1" applyNumberFormat="1" applyFont="1" applyFill="1"/>
    <xf numFmtId="164" fontId="6" fillId="5" borderId="0" xfId="0" applyNumberFormat="1" applyFont="1" applyFill="1"/>
    <xf numFmtId="165" fontId="34" fillId="14" borderId="18" xfId="1" applyNumberFormat="1" applyFont="1" applyFill="1" applyBorder="1" applyAlignment="1" applyProtection="1">
      <alignment vertical="center" wrapText="1"/>
      <protection hidden="1"/>
    </xf>
    <xf numFmtId="165" fontId="36" fillId="14" borderId="30" xfId="1" applyNumberFormat="1" applyFont="1" applyFill="1" applyBorder="1" applyAlignment="1" applyProtection="1">
      <alignment vertical="center"/>
      <protection hidden="1"/>
    </xf>
    <xf numFmtId="0" fontId="34" fillId="14" borderId="12" xfId="0" applyFont="1" applyFill="1" applyBorder="1" applyAlignment="1">
      <alignment horizontal="center" vertical="center" wrapText="1"/>
    </xf>
    <xf numFmtId="0" fontId="34" fillId="14" borderId="35" xfId="0" applyFont="1" applyFill="1" applyBorder="1" applyAlignment="1">
      <alignment vertical="center" wrapText="1"/>
    </xf>
    <xf numFmtId="0" fontId="34" fillId="14" borderId="35" xfId="0" applyFont="1" applyFill="1" applyBorder="1" applyAlignment="1">
      <alignment horizontal="center" vertical="center" wrapText="1"/>
    </xf>
    <xf numFmtId="0" fontId="34" fillId="14" borderId="56" xfId="0" applyFont="1" applyFill="1" applyBorder="1" applyAlignment="1">
      <alignment horizontal="center" vertical="center" wrapText="1"/>
    </xf>
    <xf numFmtId="0" fontId="34" fillId="14" borderId="13" xfId="0" applyFont="1" applyFill="1" applyBorder="1" applyAlignment="1">
      <alignment horizontal="center" vertical="center" wrapText="1"/>
    </xf>
    <xf numFmtId="0" fontId="34" fillId="14" borderId="6" xfId="0" applyFont="1" applyFill="1" applyBorder="1" applyAlignment="1">
      <alignment horizontal="center" vertical="center" wrapText="1"/>
    </xf>
    <xf numFmtId="165" fontId="34" fillId="14" borderId="12" xfId="1" applyNumberFormat="1" applyFont="1" applyFill="1" applyBorder="1" applyAlignment="1">
      <alignment horizontal="center" vertical="center" wrapText="1"/>
    </xf>
    <xf numFmtId="0" fontId="34" fillId="14" borderId="12" xfId="0" applyFont="1" applyFill="1" applyBorder="1" applyAlignment="1">
      <alignment horizontal="center" vertical="center"/>
    </xf>
    <xf numFmtId="0" fontId="34" fillId="14" borderId="17" xfId="0" applyFont="1" applyFill="1" applyBorder="1" applyAlignment="1">
      <alignment horizontal="center" vertical="center" wrapText="1"/>
    </xf>
    <xf numFmtId="9" fontId="6" fillId="15" borderId="59" xfId="5" applyFont="1" applyFill="1" applyBorder="1" applyAlignment="1" applyProtection="1">
      <alignment horizontal="center" vertical="center" wrapText="1"/>
      <protection hidden="1"/>
    </xf>
    <xf numFmtId="170" fontId="6" fillId="15" borderId="71" xfId="1" applyNumberFormat="1" applyFont="1" applyFill="1" applyBorder="1" applyAlignment="1" applyProtection="1">
      <alignment horizontal="center" vertical="center" wrapText="1"/>
      <protection hidden="1"/>
    </xf>
    <xf numFmtId="9" fontId="6" fillId="15" borderId="73" xfId="5" applyFont="1" applyFill="1" applyBorder="1" applyAlignment="1" applyProtection="1">
      <alignment horizontal="center" vertical="center" wrapText="1"/>
      <protection hidden="1"/>
    </xf>
    <xf numFmtId="170" fontId="6" fillId="15" borderId="49" xfId="1" applyNumberFormat="1" applyFont="1" applyFill="1" applyBorder="1" applyAlignment="1" applyProtection="1">
      <alignment horizontal="center" vertical="center" wrapText="1"/>
      <protection hidden="1"/>
    </xf>
    <xf numFmtId="9" fontId="6" fillId="15" borderId="46" xfId="5" applyFont="1" applyFill="1" applyBorder="1" applyAlignment="1" applyProtection="1">
      <alignment horizontal="center" vertical="center" wrapText="1"/>
      <protection hidden="1"/>
    </xf>
    <xf numFmtId="170" fontId="6" fillId="15" borderId="15" xfId="1" applyNumberFormat="1" applyFont="1" applyFill="1" applyBorder="1" applyAlignment="1" applyProtection="1">
      <alignment horizontal="center" vertical="center" wrapText="1"/>
      <protection hidden="1"/>
    </xf>
    <xf numFmtId="170" fontId="6" fillId="15" borderId="72" xfId="1" applyNumberFormat="1" applyFont="1" applyFill="1" applyBorder="1" applyAlignment="1" applyProtection="1">
      <alignment horizontal="center" vertical="center" wrapText="1"/>
      <protection hidden="1"/>
    </xf>
    <xf numFmtId="164" fontId="6" fillId="15" borderId="39" xfId="1" applyNumberFormat="1" applyFont="1" applyFill="1" applyBorder="1" applyAlignment="1" applyProtection="1">
      <alignment horizontal="center" vertical="center" wrapText="1"/>
      <protection hidden="1"/>
    </xf>
    <xf numFmtId="43" fontId="6" fillId="15" borderId="2" xfId="1" applyFont="1" applyFill="1" applyBorder="1" applyAlignment="1" applyProtection="1">
      <alignment horizontal="right" vertical="center" wrapText="1" indent="1"/>
      <protection hidden="1"/>
    </xf>
    <xf numFmtId="167" fontId="6" fillId="15" borderId="43" xfId="1" applyNumberFormat="1" applyFont="1" applyFill="1" applyBorder="1" applyAlignment="1" applyProtection="1">
      <alignment horizontal="right" vertical="center" wrapText="1" indent="1"/>
      <protection hidden="1"/>
    </xf>
    <xf numFmtId="43" fontId="6" fillId="15" borderId="40" xfId="1" applyFont="1" applyFill="1" applyBorder="1" applyAlignment="1" applyProtection="1">
      <alignment horizontal="right" vertical="center" wrapText="1" indent="1"/>
      <protection hidden="1"/>
    </xf>
    <xf numFmtId="43" fontId="6" fillId="15" borderId="3" xfId="1" applyFont="1" applyFill="1" applyBorder="1" applyAlignment="1" applyProtection="1">
      <alignment horizontal="right" vertical="center" wrapText="1" indent="1"/>
      <protection hidden="1"/>
    </xf>
    <xf numFmtId="164" fontId="6" fillId="15" borderId="41" xfId="1" applyNumberFormat="1" applyFont="1" applyFill="1" applyBorder="1" applyAlignment="1" applyProtection="1">
      <alignment horizontal="center" vertical="center" wrapText="1"/>
      <protection hidden="1"/>
    </xf>
    <xf numFmtId="43" fontId="6" fillId="15" borderId="44" xfId="1" applyFont="1" applyFill="1" applyBorder="1" applyAlignment="1" applyProtection="1">
      <alignment horizontal="right" vertical="center" wrapText="1" indent="1"/>
      <protection hidden="1"/>
    </xf>
    <xf numFmtId="43" fontId="6" fillId="15" borderId="42" xfId="1" applyFont="1" applyFill="1" applyBorder="1" applyAlignment="1" applyProtection="1">
      <alignment horizontal="right" vertical="center" wrapText="1" indent="1"/>
      <protection hidden="1"/>
    </xf>
    <xf numFmtId="43" fontId="6" fillId="15" borderId="45" xfId="1" applyFont="1" applyFill="1" applyBorder="1" applyAlignment="1" applyProtection="1">
      <alignment horizontal="right" vertical="center" wrapText="1" indent="1"/>
      <protection hidden="1"/>
    </xf>
    <xf numFmtId="164" fontId="6" fillId="5" borderId="0" xfId="1" applyNumberFormat="1" applyFont="1" applyFill="1" applyBorder="1" applyAlignment="1" applyProtection="1">
      <alignment horizontal="center" vertical="center" wrapText="1"/>
      <protection hidden="1"/>
    </xf>
    <xf numFmtId="43" fontId="6" fillId="5" borderId="0" xfId="1" applyFont="1" applyFill="1" applyBorder="1" applyAlignment="1" applyProtection="1">
      <alignment horizontal="right" vertical="center" wrapText="1" indent="2"/>
      <protection hidden="1"/>
    </xf>
    <xf numFmtId="167" fontId="6" fillId="5" borderId="0" xfId="1" applyNumberFormat="1" applyFont="1" applyFill="1" applyBorder="1" applyAlignment="1" applyProtection="1">
      <alignment horizontal="right" vertical="center" wrapText="1" indent="1"/>
      <protection hidden="1"/>
    </xf>
    <xf numFmtId="43" fontId="6" fillId="5" borderId="0" xfId="1" applyFont="1" applyFill="1" applyBorder="1" applyAlignment="1" applyProtection="1">
      <alignment horizontal="right" vertical="center" wrapText="1" indent="1"/>
      <protection hidden="1"/>
    </xf>
    <xf numFmtId="43" fontId="6" fillId="5" borderId="0" xfId="1" applyFont="1" applyFill="1" applyBorder="1" applyAlignment="1" applyProtection="1">
      <alignment horizontal="left" vertical="center" wrapText="1"/>
      <protection hidden="1"/>
    </xf>
    <xf numFmtId="0" fontId="36" fillId="5" borderId="0" xfId="0" applyFont="1" applyFill="1" applyAlignment="1" applyProtection="1">
      <alignment horizontal="center" vertical="center" wrapText="1"/>
      <protection hidden="1"/>
    </xf>
    <xf numFmtId="0" fontId="6" fillId="5" borderId="82" xfId="0" applyFont="1" applyFill="1" applyBorder="1" applyAlignment="1">
      <alignment horizontal="center" vertical="center"/>
    </xf>
    <xf numFmtId="0" fontId="6" fillId="0" borderId="82" xfId="0" applyFont="1" applyBorder="1" applyAlignment="1">
      <alignment horizontal="center" vertical="center"/>
    </xf>
    <xf numFmtId="0" fontId="6" fillId="0" borderId="88" xfId="0" applyFont="1" applyBorder="1" applyAlignment="1">
      <alignment horizontal="center" vertical="center"/>
    </xf>
    <xf numFmtId="0" fontId="6" fillId="0" borderId="89" xfId="0" applyFont="1" applyBorder="1" applyAlignment="1">
      <alignment horizontal="center" vertical="center"/>
    </xf>
    <xf numFmtId="0" fontId="6" fillId="0" borderId="82" xfId="0" applyFont="1" applyBorder="1" applyAlignment="1">
      <alignment vertical="center"/>
    </xf>
    <xf numFmtId="166" fontId="34" fillId="14" borderId="6" xfId="0" applyNumberFormat="1" applyFont="1" applyFill="1" applyBorder="1" applyAlignment="1">
      <alignment horizontal="center" vertical="center" wrapText="1"/>
    </xf>
    <xf numFmtId="14" fontId="38" fillId="0" borderId="65" xfId="10" applyNumberFormat="1" applyFont="1" applyBorder="1" applyAlignment="1" applyProtection="1">
      <alignment horizontal="center" vertical="center"/>
      <protection locked="0"/>
    </xf>
    <xf numFmtId="1" fontId="38" fillId="0" borderId="26" xfId="10" applyNumberFormat="1" applyFont="1" applyBorder="1" applyAlignment="1" applyProtection="1">
      <alignment horizontal="center" vertical="center"/>
      <protection locked="0"/>
    </xf>
    <xf numFmtId="14" fontId="38" fillId="0" borderId="30" xfId="10" applyNumberFormat="1" applyFont="1" applyBorder="1" applyAlignment="1" applyProtection="1">
      <alignment horizontal="center" vertical="center"/>
      <protection locked="0"/>
    </xf>
    <xf numFmtId="0" fontId="40" fillId="0" borderId="62" xfId="0" applyFont="1" applyBorder="1" applyAlignment="1" applyProtection="1">
      <alignment horizontal="right" vertical="center" wrapText="1"/>
      <protection hidden="1"/>
    </xf>
    <xf numFmtId="14" fontId="38" fillId="0" borderId="63" xfId="10" applyNumberFormat="1" applyFont="1" applyBorder="1" applyAlignment="1" applyProtection="1">
      <alignment horizontal="center" vertical="center"/>
      <protection locked="0"/>
    </xf>
    <xf numFmtId="1" fontId="38" fillId="0" borderId="90" xfId="10" applyNumberFormat="1" applyFont="1" applyBorder="1" applyAlignment="1" applyProtection="1">
      <alignment horizontal="center" vertical="center"/>
      <protection locked="0"/>
    </xf>
    <xf numFmtId="14" fontId="38" fillId="0" borderId="87" xfId="10" applyNumberFormat="1" applyFont="1" applyBorder="1" applyAlignment="1" applyProtection="1">
      <alignment horizontal="center" vertical="center"/>
      <protection locked="0"/>
    </xf>
    <xf numFmtId="0" fontId="43" fillId="0" borderId="0" xfId="2" applyFont="1" applyBorder="1" applyAlignment="1" applyProtection="1">
      <alignment vertical="center"/>
      <protection hidden="1"/>
    </xf>
    <xf numFmtId="15" fontId="63" fillId="14" borderId="53" xfId="0" applyNumberFormat="1" applyFont="1" applyFill="1" applyBorder="1" applyAlignment="1">
      <alignment horizontal="center"/>
    </xf>
    <xf numFmtId="0" fontId="63" fillId="14" borderId="54" xfId="0" applyFont="1" applyFill="1" applyBorder="1" applyAlignment="1">
      <alignment horizontal="center"/>
    </xf>
    <xf numFmtId="0" fontId="63" fillId="14" borderId="54" xfId="0" applyFont="1" applyFill="1" applyBorder="1" applyAlignment="1">
      <alignment horizontal="left"/>
    </xf>
    <xf numFmtId="0" fontId="63" fillId="14" borderId="55" xfId="0" applyFont="1" applyFill="1" applyBorder="1" applyAlignment="1">
      <alignment horizontal="left"/>
    </xf>
    <xf numFmtId="17" fontId="28" fillId="5" borderId="25" xfId="0" applyNumberFormat="1" applyFont="1" applyFill="1" applyBorder="1" applyAlignment="1">
      <alignment horizontal="center" vertical="top"/>
    </xf>
    <xf numFmtId="0" fontId="28" fillId="5" borderId="20" xfId="0" applyFont="1" applyFill="1" applyBorder="1" applyAlignment="1">
      <alignment horizontal="center" vertical="top"/>
    </xf>
    <xf numFmtId="0" fontId="28" fillId="5" borderId="20" xfId="0" applyFont="1" applyFill="1" applyBorder="1" applyAlignment="1">
      <alignment horizontal="left" vertical="top" wrapText="1"/>
    </xf>
    <xf numFmtId="0" fontId="28" fillId="5" borderId="26" xfId="0" applyFont="1" applyFill="1" applyBorder="1" applyAlignment="1">
      <alignment horizontal="left" vertical="top"/>
    </xf>
    <xf numFmtId="17" fontId="28" fillId="5" borderId="19" xfId="0" applyNumberFormat="1" applyFont="1" applyFill="1" applyBorder="1" applyAlignment="1">
      <alignment horizontal="center" vertical="top"/>
    </xf>
    <xf numFmtId="0" fontId="28" fillId="5" borderId="1" xfId="0" applyFont="1" applyFill="1" applyBorder="1" applyAlignment="1">
      <alignment horizontal="center" vertical="top"/>
    </xf>
    <xf numFmtId="0" fontId="28" fillId="5" borderId="1" xfId="0" applyFont="1" applyFill="1" applyBorder="1" applyAlignment="1">
      <alignment horizontal="left" vertical="top" wrapText="1"/>
    </xf>
    <xf numFmtId="0" fontId="28" fillId="5" borderId="21" xfId="0" applyFont="1" applyFill="1" applyBorder="1" applyAlignment="1">
      <alignment horizontal="left" vertical="top"/>
    </xf>
    <xf numFmtId="0" fontId="28" fillId="5" borderId="1" xfId="0" applyFont="1" applyFill="1" applyBorder="1" applyAlignment="1">
      <alignment horizontal="left" wrapText="1"/>
    </xf>
    <xf numFmtId="17" fontId="6" fillId="5" borderId="25" xfId="0" applyNumberFormat="1" applyFont="1" applyFill="1" applyBorder="1" applyAlignment="1">
      <alignment horizontal="center" vertical="top"/>
    </xf>
    <xf numFmtId="0" fontId="28" fillId="5" borderId="27" xfId="0" applyFont="1" applyFill="1" applyBorder="1" applyAlignment="1">
      <alignment horizontal="left" vertical="top" wrapText="1"/>
    </xf>
    <xf numFmtId="0" fontId="6" fillId="5" borderId="20" xfId="0" applyFont="1" applyFill="1" applyBorder="1" applyAlignment="1">
      <alignment horizontal="center" vertical="top"/>
    </xf>
    <xf numFmtId="0" fontId="6" fillId="5" borderId="20" xfId="0" applyFont="1" applyFill="1" applyBorder="1" applyAlignment="1">
      <alignment vertical="top" wrapText="1"/>
    </xf>
    <xf numFmtId="0" fontId="28" fillId="5" borderId="26" xfId="0" applyFont="1" applyFill="1" applyBorder="1" applyAlignment="1">
      <alignment vertical="top"/>
    </xf>
    <xf numFmtId="17" fontId="6" fillId="5" borderId="19" xfId="0" applyNumberFormat="1" applyFont="1" applyFill="1" applyBorder="1" applyAlignment="1">
      <alignment horizontal="center" vertical="top"/>
    </xf>
    <xf numFmtId="0" fontId="6" fillId="5" borderId="1" xfId="0" applyFont="1" applyFill="1" applyBorder="1" applyAlignment="1">
      <alignment horizontal="center" vertical="top"/>
    </xf>
    <xf numFmtId="0" fontId="6" fillId="5" borderId="1" xfId="0" applyFont="1" applyFill="1" applyBorder="1" applyAlignment="1">
      <alignment vertical="top" wrapText="1"/>
    </xf>
    <xf numFmtId="0" fontId="28" fillId="5" borderId="21" xfId="0" applyFont="1" applyFill="1" applyBorder="1" applyAlignment="1">
      <alignment vertical="top"/>
    </xf>
    <xf numFmtId="17" fontId="6" fillId="5" borderId="22" xfId="0" applyNumberFormat="1" applyFont="1" applyFill="1" applyBorder="1" applyAlignment="1">
      <alignment horizontal="center" vertical="top"/>
    </xf>
    <xf numFmtId="0" fontId="6" fillId="5" borderId="23" xfId="0" applyFont="1" applyFill="1" applyBorder="1" applyAlignment="1">
      <alignment horizontal="center" vertical="top"/>
    </xf>
    <xf numFmtId="0" fontId="6" fillId="5" borderId="23" xfId="0" applyFont="1" applyFill="1" applyBorder="1" applyAlignment="1">
      <alignment vertical="top" wrapText="1"/>
    </xf>
    <xf numFmtId="0" fontId="28" fillId="5" borderId="24" xfId="0" applyFont="1" applyFill="1" applyBorder="1" applyAlignment="1">
      <alignment vertical="top"/>
    </xf>
    <xf numFmtId="0" fontId="19" fillId="0" borderId="0" xfId="2" applyFont="1" applyFill="1" applyAlignment="1" applyProtection="1">
      <alignment vertical="center"/>
    </xf>
    <xf numFmtId="0" fontId="19" fillId="14" borderId="14" xfId="2" applyFont="1" applyFill="1" applyBorder="1" applyAlignment="1" applyProtection="1">
      <alignment vertical="center"/>
    </xf>
    <xf numFmtId="0" fontId="14" fillId="14" borderId="12" xfId="0" applyFont="1" applyFill="1" applyBorder="1" applyAlignment="1">
      <alignment vertical="center"/>
    </xf>
    <xf numFmtId="0" fontId="14" fillId="14" borderId="17" xfId="0" applyFont="1" applyFill="1" applyBorder="1" applyAlignment="1">
      <alignment vertical="center"/>
    </xf>
    <xf numFmtId="0" fontId="19" fillId="0" borderId="0" xfId="2" applyFont="1" applyFill="1" applyAlignment="1" applyProtection="1"/>
    <xf numFmtId="0" fontId="28" fillId="0" borderId="50" xfId="4" applyFont="1" applyBorder="1" applyAlignment="1">
      <alignment horizontal="left" vertical="center"/>
    </xf>
    <xf numFmtId="169" fontId="28" fillId="0" borderId="31" xfId="0" applyNumberFormat="1" applyFont="1" applyBorder="1" applyAlignment="1">
      <alignment horizontal="center" vertical="center"/>
    </xf>
    <xf numFmtId="0" fontId="28" fillId="0" borderId="52" xfId="4" applyFont="1" applyBorder="1" applyAlignment="1">
      <alignment horizontal="left" vertical="center"/>
    </xf>
    <xf numFmtId="169" fontId="28" fillId="0" borderId="28" xfId="0" applyNumberFormat="1" applyFont="1" applyBorder="1" applyAlignment="1">
      <alignment horizontal="center" vertical="center"/>
    </xf>
    <xf numFmtId="0" fontId="6" fillId="0" borderId="51" xfId="0" applyFont="1" applyBorder="1" applyAlignment="1">
      <alignment horizontal="left" vertical="center"/>
    </xf>
    <xf numFmtId="0" fontId="28" fillId="0" borderId="51" xfId="4" applyFont="1" applyBorder="1" applyAlignment="1">
      <alignment horizontal="left" vertical="center"/>
    </xf>
    <xf numFmtId="169" fontId="28" fillId="0" borderId="28" xfId="4" applyNumberFormat="1" applyFont="1" applyBorder="1" applyAlignment="1">
      <alignment horizontal="center" vertical="center"/>
    </xf>
    <xf numFmtId="0" fontId="6" fillId="0" borderId="51" xfId="0" applyFont="1" applyBorder="1" applyAlignment="1">
      <alignment vertical="center"/>
    </xf>
    <xf numFmtId="0" fontId="6" fillId="0" borderId="15" xfId="0" applyFont="1" applyBorder="1" applyAlignment="1">
      <alignment vertical="center"/>
    </xf>
    <xf numFmtId="0" fontId="28" fillId="0" borderId="51" xfId="0" applyFont="1" applyBorder="1" applyAlignment="1">
      <alignment vertical="center"/>
    </xf>
    <xf numFmtId="169" fontId="28" fillId="0" borderId="29" xfId="4" applyNumberFormat="1" applyFont="1" applyBorder="1" applyAlignment="1">
      <alignment horizontal="center" vertical="center"/>
    </xf>
    <xf numFmtId="14" fontId="28" fillId="5" borderId="48" xfId="6" applyNumberFormat="1" applyFont="1" applyFill="1" applyBorder="1" applyAlignment="1">
      <alignment horizontal="left" vertical="center"/>
    </xf>
    <xf numFmtId="0" fontId="28" fillId="5" borderId="48" xfId="6" applyFont="1" applyFill="1" applyBorder="1" applyAlignment="1">
      <alignment horizontal="left" vertical="center"/>
    </xf>
    <xf numFmtId="0" fontId="28" fillId="5" borderId="32" xfId="6" applyFont="1" applyFill="1" applyBorder="1" applyAlignment="1">
      <alignment horizontal="left" vertical="center" wrapText="1"/>
    </xf>
    <xf numFmtId="0" fontId="28" fillId="5" borderId="34" xfId="6" applyFont="1" applyFill="1" applyBorder="1" applyAlignment="1">
      <alignment horizontal="left" vertical="center"/>
    </xf>
    <xf numFmtId="0" fontId="28" fillId="5" borderId="47" xfId="6" applyFont="1" applyFill="1" applyBorder="1" applyAlignment="1">
      <alignment horizontal="left" vertical="center"/>
    </xf>
    <xf numFmtId="0" fontId="28" fillId="5" borderId="33" xfId="6" applyFont="1" applyFill="1" applyBorder="1" applyAlignment="1">
      <alignment horizontal="left" vertical="center" wrapText="1"/>
    </xf>
    <xf numFmtId="0" fontId="36" fillId="5" borderId="8" xfId="0" applyFont="1" applyFill="1" applyBorder="1" applyAlignment="1">
      <alignment vertical="top" wrapText="1"/>
    </xf>
    <xf numFmtId="0" fontId="15" fillId="14" borderId="99" xfId="0" applyFont="1" applyFill="1" applyBorder="1" applyAlignment="1">
      <alignment vertical="top" wrapText="1"/>
    </xf>
    <xf numFmtId="0" fontId="15" fillId="14" borderId="100" xfId="0" applyFont="1" applyFill="1" applyBorder="1" applyAlignment="1">
      <alignment vertical="top" wrapText="1"/>
    </xf>
    <xf numFmtId="0" fontId="15" fillId="14" borderId="101" xfId="0" applyFont="1" applyFill="1" applyBorder="1" applyAlignment="1">
      <alignment vertical="top" wrapText="1"/>
    </xf>
    <xf numFmtId="164" fontId="66" fillId="14" borderId="14" xfId="1" applyNumberFormat="1" applyFont="1" applyFill="1" applyBorder="1" applyAlignment="1" applyProtection="1">
      <alignment horizontal="center" vertical="center" wrapText="1"/>
      <protection hidden="1"/>
    </xf>
    <xf numFmtId="0" fontId="6" fillId="14" borderId="14" xfId="0" applyFont="1" applyFill="1" applyBorder="1" applyAlignment="1">
      <alignment vertical="center"/>
    </xf>
    <xf numFmtId="0" fontId="6" fillId="14" borderId="12" xfId="0" applyFont="1" applyFill="1" applyBorder="1" applyAlignment="1">
      <alignment vertical="center"/>
    </xf>
    <xf numFmtId="0" fontId="6" fillId="14" borderId="17" xfId="0" applyFont="1" applyFill="1" applyBorder="1" applyAlignment="1">
      <alignment vertical="center"/>
    </xf>
    <xf numFmtId="171" fontId="6" fillId="5" borderId="5" xfId="1" applyNumberFormat="1" applyFont="1" applyFill="1" applyBorder="1" applyAlignment="1" applyProtection="1">
      <alignment horizontal="center" vertical="center" wrapText="1"/>
      <protection locked="0"/>
    </xf>
    <xf numFmtId="171" fontId="6" fillId="15" borderId="5" xfId="1" applyNumberFormat="1" applyFont="1" applyFill="1" applyBorder="1" applyAlignment="1" applyProtection="1">
      <alignment horizontal="center" vertical="center" wrapText="1"/>
      <protection hidden="1"/>
    </xf>
    <xf numFmtId="164" fontId="6" fillId="15" borderId="6" xfId="1" applyNumberFormat="1" applyFont="1" applyFill="1" applyBorder="1" applyAlignment="1" applyProtection="1">
      <alignment horizontal="center" vertical="center" wrapText="1"/>
      <protection hidden="1"/>
    </xf>
    <xf numFmtId="2" fontId="6" fillId="15" borderId="6" xfId="1" applyNumberFormat="1" applyFont="1" applyFill="1" applyBorder="1" applyAlignment="1" applyProtection="1">
      <alignment horizontal="center" vertical="center" wrapText="1"/>
      <protection hidden="1"/>
    </xf>
    <xf numFmtId="167" fontId="6" fillId="15" borderId="6" xfId="1" applyNumberFormat="1" applyFont="1" applyFill="1" applyBorder="1" applyAlignment="1" applyProtection="1">
      <alignment horizontal="right" vertical="center" wrapText="1" indent="1"/>
      <protection hidden="1"/>
    </xf>
    <xf numFmtId="43" fontId="6" fillId="15" borderId="6" xfId="1" applyFont="1" applyFill="1" applyBorder="1" applyAlignment="1" applyProtection="1">
      <alignment horizontal="right" vertical="center" wrapText="1" indent="1"/>
      <protection hidden="1"/>
    </xf>
    <xf numFmtId="43" fontId="6" fillId="15" borderId="6" xfId="1" applyFont="1" applyFill="1" applyBorder="1" applyAlignment="1" applyProtection="1">
      <alignment horizontal="left" vertical="center" wrapText="1"/>
      <protection hidden="1"/>
    </xf>
    <xf numFmtId="43" fontId="6" fillId="15" borderId="7" xfId="1" applyFont="1" applyFill="1" applyBorder="1" applyAlignment="1" applyProtection="1">
      <alignment horizontal="left" vertical="center" wrapText="1"/>
      <protection hidden="1"/>
    </xf>
    <xf numFmtId="0" fontId="36" fillId="15" borderId="7" xfId="0" applyFont="1" applyFill="1" applyBorder="1" applyAlignment="1" applyProtection="1">
      <alignment horizontal="center" vertical="center" wrapText="1"/>
      <protection hidden="1"/>
    </xf>
    <xf numFmtId="164" fontId="34" fillId="14" borderId="14" xfId="0" applyNumberFormat="1" applyFont="1" applyFill="1" applyBorder="1" applyAlignment="1">
      <alignment horizontal="center" vertical="center" wrapText="1"/>
    </xf>
    <xf numFmtId="164" fontId="34" fillId="14" borderId="12" xfId="0" applyNumberFormat="1" applyFont="1" applyFill="1" applyBorder="1" applyAlignment="1">
      <alignment horizontal="center" vertical="center" wrapText="1"/>
    </xf>
    <xf numFmtId="0" fontId="34" fillId="14" borderId="17" xfId="0" applyFont="1" applyFill="1" applyBorder="1" applyAlignment="1">
      <alignment horizontal="center" vertical="center"/>
    </xf>
    <xf numFmtId="165" fontId="34" fillId="14" borderId="14" xfId="1" applyNumberFormat="1" applyFont="1" applyFill="1" applyBorder="1" applyAlignment="1">
      <alignment horizontal="center" vertical="center" wrapText="1"/>
    </xf>
    <xf numFmtId="165" fontId="34" fillId="14" borderId="17" xfId="1" applyNumberFormat="1" applyFont="1" applyFill="1" applyBorder="1" applyAlignment="1">
      <alignment horizontal="center" vertical="center" wrapText="1"/>
    </xf>
    <xf numFmtId="9" fontId="36" fillId="0" borderId="15" xfId="5" applyFont="1" applyBorder="1" applyAlignment="1" applyProtection="1">
      <alignment horizontal="center" vertical="center" wrapText="1"/>
      <protection hidden="1"/>
    </xf>
    <xf numFmtId="49" fontId="6" fillId="0" borderId="35" xfId="0" applyNumberFormat="1" applyFont="1" applyBorder="1" applyAlignment="1" applyProtection="1">
      <alignment horizontal="left" vertical="center" wrapText="1"/>
      <protection locked="0"/>
    </xf>
    <xf numFmtId="1" fontId="6" fillId="0" borderId="35" xfId="0" applyNumberFormat="1" applyFont="1" applyBorder="1" applyAlignment="1" applyProtection="1">
      <alignment horizontal="center" vertical="center" wrapText="1"/>
      <protection locked="0"/>
    </xf>
    <xf numFmtId="14" fontId="38" fillId="0" borderId="105" xfId="10" applyNumberFormat="1" applyFont="1" applyBorder="1" applyAlignment="1" applyProtection="1">
      <alignment horizontal="center" vertical="center"/>
      <protection locked="0"/>
    </xf>
    <xf numFmtId="1" fontId="38" fillId="0" borderId="106" xfId="10" applyNumberFormat="1" applyFont="1" applyBorder="1" applyAlignment="1" applyProtection="1">
      <alignment horizontal="center" vertical="center"/>
      <protection locked="0"/>
    </xf>
    <xf numFmtId="14" fontId="38" fillId="0" borderId="107" xfId="10" applyNumberFormat="1" applyFont="1" applyBorder="1" applyAlignment="1" applyProtection="1">
      <alignment horizontal="center" vertical="center"/>
      <protection locked="0"/>
    </xf>
    <xf numFmtId="14" fontId="38" fillId="0" borderId="108" xfId="10" applyNumberFormat="1" applyFont="1" applyBorder="1" applyAlignment="1" applyProtection="1">
      <alignment horizontal="center" vertical="center"/>
      <protection locked="0"/>
    </xf>
    <xf numFmtId="1" fontId="38" fillId="0" borderId="109" xfId="10" applyNumberFormat="1" applyFont="1" applyBorder="1" applyAlignment="1" applyProtection="1">
      <alignment horizontal="center" vertical="center"/>
      <protection locked="0"/>
    </xf>
    <xf numFmtId="14" fontId="38" fillId="0" borderId="111" xfId="10" applyNumberFormat="1" applyFont="1" applyBorder="1" applyAlignment="1" applyProtection="1">
      <alignment horizontal="center" vertical="center"/>
      <protection locked="0"/>
    </xf>
    <xf numFmtId="14" fontId="38" fillId="0" borderId="112" xfId="10" applyNumberFormat="1" applyFont="1" applyBorder="1" applyAlignment="1" applyProtection="1">
      <alignment horizontal="center" vertical="center"/>
      <protection locked="0"/>
    </xf>
    <xf numFmtId="1" fontId="38" fillId="0" borderId="113" xfId="10" applyNumberFormat="1" applyFont="1" applyBorder="1" applyAlignment="1" applyProtection="1">
      <alignment horizontal="center" vertical="center"/>
      <protection locked="0"/>
    </xf>
    <xf numFmtId="0" fontId="6" fillId="5" borderId="12" xfId="0" applyFont="1" applyFill="1" applyBorder="1"/>
    <xf numFmtId="0" fontId="6" fillId="5" borderId="17" xfId="0" applyFont="1" applyFill="1" applyBorder="1"/>
    <xf numFmtId="0" fontId="39" fillId="0" borderId="14" xfId="0" applyFont="1" applyBorder="1" applyAlignment="1">
      <alignment horizontal="left" vertical="center"/>
    </xf>
    <xf numFmtId="0" fontId="6" fillId="0" borderId="12" xfId="0" applyFont="1" applyBorder="1"/>
    <xf numFmtId="0" fontId="6" fillId="0" borderId="17" xfId="0" applyFont="1" applyBorder="1"/>
    <xf numFmtId="0" fontId="39" fillId="5" borderId="14" xfId="0" applyFont="1" applyFill="1" applyBorder="1" applyAlignment="1">
      <alignment horizontal="left" vertical="center"/>
    </xf>
    <xf numFmtId="0" fontId="22" fillId="0" borderId="0" xfId="18" applyFont="1" applyAlignment="1" applyProtection="1">
      <alignment vertical="center"/>
      <protection hidden="1"/>
    </xf>
    <xf numFmtId="0" fontId="27" fillId="0" borderId="0" xfId="18" applyFont="1" applyAlignment="1" applyProtection="1">
      <alignment vertical="center"/>
      <protection hidden="1"/>
    </xf>
    <xf numFmtId="0" fontId="17" fillId="0" borderId="0" xfId="18" applyFont="1" applyAlignment="1" applyProtection="1">
      <alignment vertical="center"/>
      <protection hidden="1"/>
    </xf>
    <xf numFmtId="0" fontId="27" fillId="0" borderId="79" xfId="18" applyFont="1" applyBorder="1" applyAlignment="1" applyProtection="1">
      <alignment vertical="center"/>
      <protection hidden="1"/>
    </xf>
    <xf numFmtId="0" fontId="27" fillId="0" borderId="82" xfId="18" applyFont="1" applyBorder="1" applyAlignment="1" applyProtection="1">
      <alignment vertical="center"/>
      <protection hidden="1"/>
    </xf>
    <xf numFmtId="0" fontId="27" fillId="5" borderId="82" xfId="18" applyFont="1" applyFill="1" applyBorder="1" applyAlignment="1" applyProtection="1">
      <alignment vertical="center"/>
      <protection hidden="1"/>
    </xf>
    <xf numFmtId="0" fontId="40" fillId="0" borderId="82" xfId="18" applyFont="1" applyBorder="1" applyAlignment="1" applyProtection="1">
      <alignment vertical="center"/>
      <protection hidden="1"/>
    </xf>
    <xf numFmtId="0" fontId="68" fillId="0" borderId="82" xfId="18" applyFont="1" applyBorder="1" applyAlignment="1" applyProtection="1">
      <alignment vertical="center"/>
      <protection hidden="1"/>
    </xf>
    <xf numFmtId="0" fontId="40" fillId="0" borderId="0" xfId="18" applyFont="1" applyAlignment="1" applyProtection="1">
      <alignment vertical="center"/>
      <protection hidden="1"/>
    </xf>
    <xf numFmtId="0" fontId="6" fillId="0" borderId="82" xfId="18" applyFont="1" applyBorder="1" applyAlignment="1" applyProtection="1">
      <alignment vertical="center"/>
      <protection hidden="1"/>
    </xf>
    <xf numFmtId="0" fontId="36" fillId="0" borderId="82" xfId="18" applyFont="1" applyBorder="1" applyAlignment="1" applyProtection="1">
      <alignment vertical="center"/>
      <protection hidden="1"/>
    </xf>
    <xf numFmtId="0" fontId="6" fillId="0" borderId="0" xfId="18" applyFont="1" applyAlignment="1" applyProtection="1">
      <alignment vertical="center"/>
      <protection hidden="1"/>
    </xf>
    <xf numFmtId="0" fontId="28" fillId="0" borderId="82" xfId="17" applyFont="1" applyBorder="1" applyAlignment="1" applyProtection="1">
      <alignment vertical="center" wrapText="1"/>
      <protection hidden="1"/>
    </xf>
    <xf numFmtId="0" fontId="48" fillId="0" borderId="0" xfId="17" applyFont="1" applyAlignment="1" applyProtection="1">
      <alignment horizontal="center" vertical="center" wrapText="1"/>
      <protection hidden="1"/>
    </xf>
    <xf numFmtId="0" fontId="28" fillId="0" borderId="0" xfId="17" applyFont="1" applyAlignment="1" applyProtection="1">
      <alignment horizontal="left" vertical="top" wrapText="1"/>
      <protection hidden="1"/>
    </xf>
    <xf numFmtId="0" fontId="6" fillId="0" borderId="0" xfId="18" applyFont="1" applyAlignment="1" applyProtection="1">
      <alignment horizontal="left" vertical="top"/>
      <protection hidden="1"/>
    </xf>
    <xf numFmtId="0" fontId="6" fillId="0" borderId="83" xfId="18" applyFont="1" applyBorder="1" applyAlignment="1" applyProtection="1">
      <alignment horizontal="left" vertical="top"/>
      <protection hidden="1"/>
    </xf>
    <xf numFmtId="0" fontId="17" fillId="0" borderId="0" xfId="18" applyFont="1" applyAlignment="1" applyProtection="1">
      <alignment vertical="center" wrapText="1"/>
      <protection hidden="1"/>
    </xf>
    <xf numFmtId="0" fontId="28" fillId="0" borderId="0" xfId="17" applyFont="1" applyAlignment="1" applyProtection="1">
      <alignment vertical="center" wrapText="1"/>
      <protection hidden="1"/>
    </xf>
    <xf numFmtId="0" fontId="6" fillId="0" borderId="83" xfId="18" applyFont="1" applyBorder="1" applyAlignment="1" applyProtection="1">
      <alignment vertical="center"/>
      <protection hidden="1"/>
    </xf>
    <xf numFmtId="0" fontId="28" fillId="0" borderId="0" xfId="17" applyFont="1" applyAlignment="1" applyProtection="1">
      <alignment vertical="top" wrapText="1"/>
      <protection hidden="1"/>
    </xf>
    <xf numFmtId="0" fontId="6" fillId="0" borderId="0" xfId="18" applyFont="1" applyAlignment="1" applyProtection="1">
      <alignment vertical="top"/>
      <protection hidden="1"/>
    </xf>
    <xf numFmtId="0" fontId="6" fillId="0" borderId="83" xfId="18" applyFont="1" applyBorder="1" applyAlignment="1" applyProtection="1">
      <alignment vertical="top"/>
      <protection hidden="1"/>
    </xf>
    <xf numFmtId="0" fontId="37" fillId="16" borderId="96" xfId="17" applyFont="1" applyFill="1" applyBorder="1" applyAlignment="1" applyProtection="1">
      <alignment vertical="top" wrapText="1"/>
      <protection hidden="1"/>
    </xf>
    <xf numFmtId="0" fontId="69" fillId="0" borderId="82" xfId="18" applyFont="1" applyBorder="1" applyAlignment="1" applyProtection="1">
      <alignment horizontal="left" vertical="center"/>
      <protection hidden="1"/>
    </xf>
    <xf numFmtId="0" fontId="69" fillId="0" borderId="0" xfId="18" applyFont="1" applyAlignment="1" applyProtection="1">
      <alignment horizontal="left" vertical="center"/>
      <protection hidden="1"/>
    </xf>
    <xf numFmtId="0" fontId="69" fillId="0" borderId="83" xfId="18" applyFont="1" applyBorder="1" applyAlignment="1" applyProtection="1">
      <alignment horizontal="left" vertical="center"/>
      <protection hidden="1"/>
    </xf>
    <xf numFmtId="0" fontId="70" fillId="0" borderId="0" xfId="18" applyFont="1" applyAlignment="1" applyProtection="1">
      <alignment horizontal="left" vertical="center"/>
      <protection hidden="1"/>
    </xf>
    <xf numFmtId="0" fontId="40" fillId="0" borderId="82" xfId="18" applyFont="1" applyBorder="1" applyAlignment="1" applyProtection="1">
      <alignment horizontal="left" vertical="center"/>
      <protection hidden="1"/>
    </xf>
    <xf numFmtId="0" fontId="71" fillId="0" borderId="0" xfId="18" applyFont="1" applyAlignment="1" applyProtection="1">
      <alignment horizontal="left" vertical="center"/>
      <protection hidden="1"/>
    </xf>
    <xf numFmtId="0" fontId="71" fillId="0" borderId="83" xfId="18" applyFont="1" applyBorder="1" applyAlignment="1" applyProtection="1">
      <alignment horizontal="left" vertical="center"/>
      <protection hidden="1"/>
    </xf>
    <xf numFmtId="0" fontId="73" fillId="0" borderId="0" xfId="18" applyFont="1" applyAlignment="1" applyProtection="1">
      <alignment vertical="center"/>
      <protection hidden="1"/>
    </xf>
    <xf numFmtId="0" fontId="74" fillId="0" borderId="0" xfId="18" applyFont="1" applyAlignment="1" applyProtection="1">
      <alignment horizontal="center" vertical="center"/>
      <protection hidden="1"/>
    </xf>
    <xf numFmtId="9" fontId="74" fillId="0" borderId="0" xfId="19" applyFont="1" applyBorder="1" applyAlignment="1" applyProtection="1">
      <alignment horizontal="center" vertical="center"/>
      <protection hidden="1"/>
    </xf>
    <xf numFmtId="9" fontId="74" fillId="0" borderId="83" xfId="19" applyFont="1" applyBorder="1" applyAlignment="1" applyProtection="1">
      <alignment horizontal="center" vertical="center"/>
      <protection hidden="1"/>
    </xf>
    <xf numFmtId="0" fontId="75" fillId="0" borderId="0" xfId="18" applyFont="1" applyAlignment="1" applyProtection="1">
      <alignment vertical="center"/>
      <protection hidden="1"/>
    </xf>
    <xf numFmtId="9" fontId="75" fillId="0" borderId="0" xfId="18" applyNumberFormat="1" applyFont="1" applyAlignment="1" applyProtection="1">
      <alignment vertical="center"/>
      <protection hidden="1"/>
    </xf>
    <xf numFmtId="0" fontId="27" fillId="0" borderId="95" xfId="18" applyFont="1" applyBorder="1" applyAlignment="1" applyProtection="1">
      <alignment vertical="center"/>
      <protection hidden="1"/>
    </xf>
    <xf numFmtId="0" fontId="74" fillId="0" borderId="48" xfId="18" applyFont="1" applyBorder="1" applyAlignment="1" applyProtection="1">
      <alignment horizontal="center" vertical="center"/>
      <protection hidden="1"/>
    </xf>
    <xf numFmtId="9" fontId="74" fillId="0" borderId="48" xfId="19" applyFont="1" applyBorder="1" applyAlignment="1" applyProtection="1">
      <alignment horizontal="center" vertical="center"/>
      <protection hidden="1"/>
    </xf>
    <xf numFmtId="9" fontId="74" fillId="0" borderId="94" xfId="19" applyFont="1" applyBorder="1" applyAlignment="1" applyProtection="1">
      <alignment horizontal="center" vertical="center"/>
      <protection hidden="1"/>
    </xf>
    <xf numFmtId="0" fontId="36" fillId="0" borderId="82" xfId="18" applyFont="1" applyBorder="1" applyAlignment="1" applyProtection="1">
      <alignment vertical="top"/>
      <protection hidden="1"/>
    </xf>
    <xf numFmtId="0" fontId="48" fillId="0" borderId="82" xfId="17" applyFont="1" applyBorder="1" applyAlignment="1" applyProtection="1">
      <alignment horizontal="left" vertical="top" wrapText="1"/>
      <protection hidden="1"/>
    </xf>
    <xf numFmtId="0" fontId="36" fillId="0" borderId="0" xfId="18" applyFont="1" applyAlignment="1" applyProtection="1">
      <alignment horizontal="center" vertical="center"/>
      <protection hidden="1"/>
    </xf>
    <xf numFmtId="0" fontId="48" fillId="0" borderId="96" xfId="17" applyFont="1" applyBorder="1" applyAlignment="1" applyProtection="1">
      <alignment vertical="top" wrapText="1"/>
      <protection hidden="1"/>
    </xf>
    <xf numFmtId="1" fontId="36" fillId="0" borderId="1" xfId="18" applyNumberFormat="1" applyFont="1" applyBorder="1" applyAlignment="1" applyProtection="1">
      <alignment horizontal="center" vertical="center"/>
      <protection hidden="1"/>
    </xf>
    <xf numFmtId="0" fontId="76" fillId="0" borderId="0" xfId="18" applyFont="1" applyAlignment="1" applyProtection="1">
      <alignment vertical="center"/>
      <protection hidden="1"/>
    </xf>
    <xf numFmtId="0" fontId="76" fillId="0" borderId="83" xfId="18" applyFont="1" applyBorder="1" applyAlignment="1" applyProtection="1">
      <alignment vertical="center"/>
      <protection hidden="1"/>
    </xf>
    <xf numFmtId="0" fontId="77" fillId="0" borderId="82" xfId="17" applyFont="1" applyBorder="1" applyAlignment="1" applyProtection="1">
      <alignment vertical="center" wrapText="1"/>
      <protection hidden="1"/>
    </xf>
    <xf numFmtId="0" fontId="77" fillId="5" borderId="0" xfId="17" applyFont="1" applyFill="1" applyAlignment="1" applyProtection="1">
      <alignment horizontal="center" vertical="center" wrapText="1"/>
      <protection hidden="1"/>
    </xf>
    <xf numFmtId="0" fontId="77" fillId="5" borderId="0" xfId="17" applyFont="1" applyFill="1" applyAlignment="1" applyProtection="1">
      <alignment vertical="center" wrapText="1"/>
      <protection hidden="1"/>
    </xf>
    <xf numFmtId="0" fontId="78" fillId="0" borderId="0" xfId="18" applyFont="1" applyAlignment="1" applyProtection="1">
      <alignment vertical="center"/>
      <protection hidden="1"/>
    </xf>
    <xf numFmtId="0" fontId="33" fillId="0" borderId="0" xfId="18" applyFont="1" applyAlignment="1" applyProtection="1">
      <alignment vertical="center"/>
      <protection hidden="1"/>
    </xf>
    <xf numFmtId="49" fontId="6" fillId="0" borderId="0" xfId="18" applyNumberFormat="1" applyFont="1" applyAlignment="1" applyProtection="1">
      <alignment vertical="center" wrapText="1"/>
      <protection hidden="1"/>
    </xf>
    <xf numFmtId="0" fontId="6" fillId="0" borderId="27" xfId="18" applyFont="1" applyBorder="1" applyAlignment="1" applyProtection="1">
      <alignment vertical="center" wrapText="1"/>
      <protection hidden="1"/>
    </xf>
    <xf numFmtId="0" fontId="6" fillId="0" borderId="48" xfId="18" applyFont="1" applyBorder="1" applyAlignment="1" applyProtection="1">
      <alignment vertical="center" wrapText="1"/>
      <protection hidden="1"/>
    </xf>
    <xf numFmtId="0" fontId="6" fillId="0" borderId="83" xfId="18" applyFont="1" applyBorder="1" applyAlignment="1" applyProtection="1">
      <alignment horizontal="right" vertical="center"/>
      <protection hidden="1"/>
    </xf>
    <xf numFmtId="0" fontId="27" fillId="14" borderId="99" xfId="18" applyFont="1" applyFill="1" applyBorder="1" applyAlignment="1" applyProtection="1">
      <alignment vertical="center"/>
      <protection hidden="1"/>
    </xf>
    <xf numFmtId="0" fontId="78" fillId="0" borderId="57" xfId="0" applyFont="1" applyBorder="1" applyAlignment="1" applyProtection="1">
      <alignment horizontal="left" vertical="center" wrapText="1"/>
      <protection locked="0"/>
    </xf>
    <xf numFmtId="0" fontId="6" fillId="0" borderId="0" xfId="18" applyFont="1" applyAlignment="1" applyProtection="1">
      <alignment vertical="center" wrapText="1"/>
      <protection hidden="1"/>
    </xf>
    <xf numFmtId="0" fontId="6" fillId="0" borderId="0" xfId="18" applyFont="1" applyAlignment="1" applyProtection="1">
      <alignment horizontal="left" vertical="center"/>
      <protection hidden="1"/>
    </xf>
    <xf numFmtId="0" fontId="17" fillId="18" borderId="0" xfId="0" applyFont="1" applyFill="1"/>
    <xf numFmtId="0" fontId="6" fillId="0" borderId="0" xfId="0" applyFont="1"/>
    <xf numFmtId="0" fontId="34" fillId="14" borderId="14" xfId="0" applyFont="1" applyFill="1" applyBorder="1" applyAlignment="1">
      <alignment horizontal="center" vertical="center" wrapText="1"/>
    </xf>
    <xf numFmtId="0" fontId="34" fillId="14" borderId="38" xfId="0" applyFont="1" applyFill="1" applyBorder="1" applyAlignment="1">
      <alignment horizontal="center" vertical="center"/>
    </xf>
    <xf numFmtId="0" fontId="6" fillId="0" borderId="0" xfId="0" applyFont="1" applyAlignment="1">
      <alignment vertical="center"/>
    </xf>
    <xf numFmtId="0" fontId="37" fillId="0" borderId="0" xfId="0" applyFont="1" applyAlignment="1">
      <alignment vertical="center"/>
    </xf>
    <xf numFmtId="0" fontId="6" fillId="0" borderId="0" xfId="0" applyFont="1" applyAlignment="1">
      <alignment horizontal="center" vertical="center" wrapText="1"/>
    </xf>
    <xf numFmtId="2" fontId="6" fillId="0" borderId="0" xfId="0" applyNumberFormat="1" applyFont="1" applyAlignment="1">
      <alignment horizontal="center" vertical="center" wrapText="1"/>
    </xf>
    <xf numFmtId="2" fontId="6" fillId="0" borderId="0" xfId="0" applyNumberFormat="1" applyFont="1" applyAlignment="1">
      <alignment horizontal="left" vertical="center" wrapText="1"/>
    </xf>
    <xf numFmtId="170" fontId="6" fillId="0" borderId="0" xfId="1" applyNumberFormat="1" applyFont="1" applyBorder="1" applyAlignment="1" applyProtection="1">
      <alignment horizontal="center" vertical="center" wrapText="1"/>
    </xf>
    <xf numFmtId="0" fontId="6" fillId="5" borderId="0" xfId="0" applyFont="1" applyFill="1" applyAlignment="1">
      <alignment horizontal="center" vertical="center" wrapText="1"/>
    </xf>
    <xf numFmtId="2" fontId="6" fillId="5" borderId="0" xfId="0" applyNumberFormat="1" applyFont="1" applyFill="1" applyAlignment="1">
      <alignment horizontal="center" vertical="center" wrapText="1"/>
    </xf>
    <xf numFmtId="2" fontId="6" fillId="5" borderId="0" xfId="0" applyNumberFormat="1" applyFont="1" applyFill="1" applyAlignment="1">
      <alignment horizontal="left" vertical="center" wrapText="1"/>
    </xf>
    <xf numFmtId="170" fontId="6" fillId="5" borderId="0" xfId="1" applyNumberFormat="1" applyFont="1" applyFill="1" applyBorder="1" applyAlignment="1" applyProtection="1">
      <alignment horizontal="center" vertical="center" wrapText="1"/>
    </xf>
    <xf numFmtId="9" fontId="6" fillId="5" borderId="0" xfId="1" applyNumberFormat="1" applyFont="1" applyFill="1" applyBorder="1" applyAlignment="1" applyProtection="1">
      <alignment horizontal="center" vertical="center" wrapText="1"/>
    </xf>
    <xf numFmtId="0" fontId="6" fillId="0" borderId="11" xfId="0" applyFont="1" applyBorder="1" applyAlignment="1">
      <alignment horizontal="center" vertical="center"/>
    </xf>
    <xf numFmtId="0" fontId="6" fillId="0" borderId="0" xfId="0" applyFont="1" applyAlignment="1">
      <alignment horizontal="center" vertical="center"/>
    </xf>
    <xf numFmtId="0" fontId="54" fillId="0" borderId="0" xfId="0" applyFont="1" applyAlignment="1">
      <alignment horizontal="left" vertical="top" wrapText="1"/>
    </xf>
    <xf numFmtId="0" fontId="6" fillId="5" borderId="0" xfId="0" applyFont="1" applyFill="1" applyAlignment="1">
      <alignment vertical="center"/>
    </xf>
    <xf numFmtId="166" fontId="51" fillId="5" borderId="6" xfId="0" applyNumberFormat="1" applyFont="1" applyFill="1" applyBorder="1" applyAlignment="1">
      <alignment horizontal="center"/>
    </xf>
    <xf numFmtId="0" fontId="51" fillId="5" borderId="6" xfId="0" applyFont="1" applyFill="1" applyBorder="1" applyAlignment="1">
      <alignment horizontal="left" wrapText="1"/>
    </xf>
    <xf numFmtId="1" fontId="51" fillId="5" borderId="6" xfId="0" applyNumberFormat="1" applyFont="1" applyFill="1" applyBorder="1" applyAlignment="1">
      <alignment horizontal="center"/>
    </xf>
    <xf numFmtId="0" fontId="51" fillId="5" borderId="6" xfId="0" applyFont="1" applyFill="1" applyBorder="1" applyAlignment="1">
      <alignment horizontal="left"/>
    </xf>
    <xf numFmtId="5" fontId="51" fillId="5" borderId="6" xfId="1" applyNumberFormat="1" applyFont="1" applyFill="1" applyBorder="1" applyProtection="1"/>
    <xf numFmtId="166" fontId="49" fillId="5" borderId="15" xfId="0" applyNumberFormat="1" applyFont="1" applyFill="1" applyBorder="1"/>
    <xf numFmtId="5" fontId="6" fillId="5" borderId="0" xfId="1" applyNumberFormat="1" applyFont="1" applyFill="1" applyBorder="1" applyAlignment="1" applyProtection="1">
      <alignment vertical="center"/>
    </xf>
    <xf numFmtId="0" fontId="28" fillId="5" borderId="6" xfId="0" applyFont="1" applyFill="1" applyBorder="1"/>
    <xf numFmtId="0" fontId="28" fillId="5" borderId="6" xfId="0" applyFont="1" applyFill="1" applyBorder="1" applyAlignment="1">
      <alignment horizontal="left"/>
    </xf>
    <xf numFmtId="5" fontId="36" fillId="0" borderId="0" xfId="1" applyNumberFormat="1" applyFont="1" applyBorder="1" applyAlignment="1" applyProtection="1">
      <alignment horizontal="center" vertical="center" wrapText="1"/>
    </xf>
    <xf numFmtId="0" fontId="14" fillId="7" borderId="0" xfId="0" applyFont="1" applyFill="1" applyProtection="1">
      <protection hidden="1"/>
    </xf>
    <xf numFmtId="15" fontId="14" fillId="7" borderId="0" xfId="0" applyNumberFormat="1" applyFont="1" applyFill="1" applyAlignment="1" applyProtection="1">
      <alignment horizontal="center"/>
      <protection hidden="1"/>
    </xf>
    <xf numFmtId="0" fontId="16" fillId="7" borderId="0" xfId="0" applyFont="1" applyFill="1" applyAlignment="1" applyProtection="1">
      <alignment vertical="top"/>
      <protection hidden="1"/>
    </xf>
    <xf numFmtId="0" fontId="14" fillId="7" borderId="0" xfId="0" applyFont="1" applyFill="1" applyAlignment="1" applyProtection="1">
      <alignment vertical="top"/>
      <protection hidden="1"/>
    </xf>
    <xf numFmtId="0" fontId="14" fillId="7" borderId="0" xfId="0" applyFont="1" applyFill="1" applyAlignment="1" applyProtection="1">
      <alignment horizontal="center" vertical="top"/>
      <protection hidden="1"/>
    </xf>
    <xf numFmtId="0" fontId="14" fillId="19" borderId="0" xfId="0" applyFont="1" applyFill="1" applyProtection="1">
      <protection hidden="1"/>
    </xf>
    <xf numFmtId="0" fontId="14" fillId="5" borderId="0" xfId="0" applyFont="1" applyFill="1" applyProtection="1">
      <protection hidden="1"/>
    </xf>
    <xf numFmtId="168" fontId="80" fillId="0" borderId="115" xfId="1" applyNumberFormat="1" applyFont="1" applyBorder="1" applyAlignment="1" applyProtection="1">
      <alignment horizontal="left" vertical="center" indent="1"/>
      <protection hidden="1"/>
    </xf>
    <xf numFmtId="0" fontId="81" fillId="0" borderId="116" xfId="0" applyFont="1" applyBorder="1" applyAlignment="1" applyProtection="1">
      <alignment horizontal="center" vertical="center"/>
      <protection hidden="1"/>
    </xf>
    <xf numFmtId="0" fontId="81" fillId="0" borderId="117" xfId="0" applyFont="1" applyBorder="1" applyAlignment="1" applyProtection="1">
      <alignment horizontal="left" vertical="center" indent="1"/>
      <protection hidden="1"/>
    </xf>
    <xf numFmtId="0" fontId="81" fillId="0" borderId="118" xfId="0" applyFont="1" applyBorder="1" applyAlignment="1" applyProtection="1">
      <alignment horizontal="left" vertical="center" indent="1"/>
      <protection hidden="1"/>
    </xf>
    <xf numFmtId="0" fontId="6" fillId="19" borderId="0" xfId="0" applyFont="1" applyFill="1" applyProtection="1">
      <protection hidden="1"/>
    </xf>
    <xf numFmtId="0" fontId="6" fillId="5" borderId="0" xfId="0" applyFont="1" applyFill="1" applyProtection="1">
      <protection hidden="1"/>
    </xf>
    <xf numFmtId="168" fontId="80" fillId="0" borderId="119" xfId="1" applyNumberFormat="1" applyFont="1" applyBorder="1" applyAlignment="1" applyProtection="1">
      <alignment horizontal="left" vertical="center" indent="1"/>
      <protection hidden="1"/>
    </xf>
    <xf numFmtId="0" fontId="81" fillId="0" borderId="120" xfId="0" applyFont="1" applyBorder="1" applyAlignment="1" applyProtection="1">
      <alignment horizontal="center" vertical="center"/>
      <protection hidden="1"/>
    </xf>
    <xf numFmtId="0" fontId="81" fillId="0" borderId="121" xfId="0" applyFont="1" applyBorder="1" applyAlignment="1" applyProtection="1">
      <alignment horizontal="left" vertical="center" indent="1"/>
      <protection hidden="1"/>
    </xf>
    <xf numFmtId="0" fontId="81" fillId="0" borderId="122" xfId="0" applyFont="1" applyBorder="1" applyAlignment="1" applyProtection="1">
      <alignment horizontal="left" vertical="center" indent="1"/>
      <protection hidden="1"/>
    </xf>
    <xf numFmtId="0" fontId="6" fillId="19" borderId="0" xfId="0" applyFont="1" applyFill="1" applyAlignment="1" applyProtection="1">
      <alignment horizontal="center"/>
      <protection hidden="1"/>
    </xf>
    <xf numFmtId="0" fontId="6" fillId="5" borderId="0" xfId="0" applyFont="1" applyFill="1" applyAlignment="1" applyProtection="1">
      <alignment horizontal="center"/>
      <protection hidden="1"/>
    </xf>
    <xf numFmtId="0" fontId="80" fillId="0" borderId="122" xfId="0" applyFont="1" applyBorder="1" applyAlignment="1" applyProtection="1">
      <alignment horizontal="left" vertical="center" indent="1"/>
      <protection hidden="1"/>
    </xf>
    <xf numFmtId="168" fontId="80" fillId="0" borderId="123" xfId="1" applyNumberFormat="1" applyFont="1" applyBorder="1" applyAlignment="1" applyProtection="1">
      <alignment horizontal="left" vertical="center" indent="1"/>
      <protection hidden="1"/>
    </xf>
    <xf numFmtId="0" fontId="81" fillId="0" borderId="124" xfId="0" applyFont="1" applyBorder="1" applyAlignment="1" applyProtection="1">
      <alignment horizontal="center" vertical="center"/>
      <protection hidden="1"/>
    </xf>
    <xf numFmtId="0" fontId="81" fillId="0" borderId="125" xfId="0" applyFont="1" applyBorder="1" applyAlignment="1" applyProtection="1">
      <alignment horizontal="left" vertical="center" indent="1"/>
      <protection hidden="1"/>
    </xf>
    <xf numFmtId="0" fontId="80" fillId="0" borderId="126" xfId="0" applyFont="1" applyBorder="1" applyAlignment="1" applyProtection="1">
      <alignment horizontal="left" vertical="center" indent="1"/>
      <protection hidden="1"/>
    </xf>
    <xf numFmtId="0" fontId="80" fillId="0" borderId="118" xfId="0" applyFont="1" applyBorder="1" applyAlignment="1" applyProtection="1">
      <alignment horizontal="left" vertical="center" indent="1"/>
      <protection hidden="1"/>
    </xf>
    <xf numFmtId="168" fontId="80" fillId="0" borderId="127" xfId="1" applyNumberFormat="1" applyFont="1" applyBorder="1" applyAlignment="1" applyProtection="1">
      <alignment horizontal="left" vertical="center" indent="1"/>
      <protection hidden="1"/>
    </xf>
    <xf numFmtId="0" fontId="81" fillId="0" borderId="128" xfId="0" applyFont="1" applyBorder="1" applyAlignment="1" applyProtection="1">
      <alignment horizontal="center" vertical="center"/>
      <protection hidden="1"/>
    </xf>
    <xf numFmtId="0" fontId="81" fillId="0" borderId="129" xfId="0" applyFont="1" applyBorder="1" applyAlignment="1" applyProtection="1">
      <alignment horizontal="left" vertical="center" indent="1"/>
      <protection hidden="1"/>
    </xf>
    <xf numFmtId="0" fontId="80" fillId="0" borderId="130" xfId="0" applyFont="1" applyBorder="1" applyAlignment="1" applyProtection="1">
      <alignment horizontal="left" vertical="center" indent="1"/>
      <protection hidden="1"/>
    </xf>
    <xf numFmtId="168" fontId="80" fillId="0" borderId="131" xfId="1" applyNumberFormat="1" applyFont="1" applyBorder="1" applyAlignment="1" applyProtection="1">
      <alignment horizontal="left" vertical="center" indent="1"/>
      <protection hidden="1"/>
    </xf>
    <xf numFmtId="0" fontId="81" fillId="0" borderId="132" xfId="0" applyFont="1" applyBorder="1" applyAlignment="1" applyProtection="1">
      <alignment horizontal="center" vertical="center"/>
      <protection hidden="1"/>
    </xf>
    <xf numFmtId="0" fontId="81" fillId="0" borderId="133" xfId="0" applyFont="1" applyBorder="1" applyAlignment="1" applyProtection="1">
      <alignment horizontal="left" vertical="center" indent="1"/>
      <protection hidden="1"/>
    </xf>
    <xf numFmtId="0" fontId="80" fillId="0" borderId="134" xfId="0" applyFont="1" applyBorder="1" applyAlignment="1" applyProtection="1">
      <alignment horizontal="left" vertical="center" indent="1"/>
      <protection hidden="1"/>
    </xf>
    <xf numFmtId="168" fontId="80" fillId="0" borderId="115" xfId="1" applyNumberFormat="1" applyFont="1" applyFill="1" applyBorder="1" applyAlignment="1" applyProtection="1">
      <alignment horizontal="left" vertical="center" indent="1"/>
      <protection hidden="1"/>
    </xf>
    <xf numFmtId="0" fontId="81" fillId="0" borderId="135" xfId="0" applyFont="1" applyBorder="1" applyAlignment="1" applyProtection="1">
      <alignment horizontal="center" vertical="center"/>
      <protection hidden="1"/>
    </xf>
    <xf numFmtId="0" fontId="81" fillId="0" borderId="136" xfId="0" applyFont="1" applyBorder="1" applyAlignment="1" applyProtection="1">
      <alignment horizontal="left" vertical="center" indent="1"/>
      <protection hidden="1"/>
    </xf>
    <xf numFmtId="0" fontId="81" fillId="0" borderId="137" xfId="0" applyFont="1" applyBorder="1" applyAlignment="1" applyProtection="1">
      <alignment horizontal="left" vertical="center" indent="1"/>
      <protection hidden="1"/>
    </xf>
    <xf numFmtId="0" fontId="81" fillId="0" borderId="116" xfId="0" applyFont="1" applyBorder="1" applyAlignment="1" applyProtection="1">
      <alignment horizontal="center" vertical="center" wrapText="1"/>
      <protection hidden="1"/>
    </xf>
    <xf numFmtId="0" fontId="81" fillId="0" borderId="117" xfId="0" applyFont="1" applyBorder="1" applyAlignment="1" applyProtection="1">
      <alignment horizontal="left" vertical="center" wrapText="1" indent="1"/>
      <protection hidden="1"/>
    </xf>
    <xf numFmtId="0" fontId="81" fillId="0" borderId="124" xfId="0" applyFont="1" applyBorder="1" applyAlignment="1" applyProtection="1">
      <alignment horizontal="center" vertical="center" wrapText="1"/>
      <protection hidden="1"/>
    </xf>
    <xf numFmtId="0" fontId="81" fillId="0" borderId="125" xfId="0" applyFont="1" applyBorder="1" applyAlignment="1" applyProtection="1">
      <alignment horizontal="left" vertical="center" wrapText="1" indent="1"/>
      <protection hidden="1"/>
    </xf>
    <xf numFmtId="0" fontId="81" fillId="0" borderId="120" xfId="0" applyFont="1" applyBorder="1" applyAlignment="1" applyProtection="1">
      <alignment horizontal="center" vertical="center" wrapText="1"/>
      <protection hidden="1"/>
    </xf>
    <xf numFmtId="0" fontId="81" fillId="0" borderId="121" xfId="0" applyFont="1" applyBorder="1" applyAlignment="1" applyProtection="1">
      <alignment horizontal="left" vertical="center" wrapText="1" indent="1"/>
      <protection hidden="1"/>
    </xf>
    <xf numFmtId="0" fontId="80" fillId="0" borderId="138" xfId="0" applyFont="1" applyBorder="1" applyAlignment="1" applyProtection="1">
      <alignment horizontal="left" vertical="center" indent="1"/>
      <protection hidden="1"/>
    </xf>
    <xf numFmtId="0" fontId="81" fillId="0" borderId="139" xfId="0" applyFont="1" applyBorder="1" applyAlignment="1" applyProtection="1">
      <alignment horizontal="center" vertical="center"/>
      <protection hidden="1"/>
    </xf>
    <xf numFmtId="168" fontId="80" fillId="20" borderId="119" xfId="1" applyNumberFormat="1" applyFont="1" applyFill="1" applyBorder="1" applyAlignment="1" applyProtection="1">
      <alignment horizontal="left" vertical="center" indent="1"/>
      <protection hidden="1"/>
    </xf>
    <xf numFmtId="0" fontId="81" fillId="20" borderId="121" xfId="0" applyFont="1" applyFill="1" applyBorder="1" applyAlignment="1" applyProtection="1">
      <alignment horizontal="left" vertical="center" indent="1"/>
      <protection hidden="1"/>
    </xf>
    <xf numFmtId="0" fontId="80" fillId="20" borderId="122" xfId="0" applyFont="1" applyFill="1" applyBorder="1" applyAlignment="1" applyProtection="1">
      <alignment horizontal="left" vertical="center" indent="1"/>
      <protection hidden="1"/>
    </xf>
    <xf numFmtId="168" fontId="80" fillId="20" borderId="127" xfId="1" applyNumberFormat="1" applyFont="1" applyFill="1" applyBorder="1" applyAlignment="1" applyProtection="1">
      <alignment horizontal="left" vertical="center" indent="1"/>
      <protection hidden="1"/>
    </xf>
    <xf numFmtId="0" fontId="81" fillId="20" borderId="129" xfId="0" applyFont="1" applyFill="1" applyBorder="1" applyAlignment="1" applyProtection="1">
      <alignment horizontal="left" vertical="center" indent="1"/>
      <protection hidden="1"/>
    </xf>
    <xf numFmtId="0" fontId="82" fillId="20" borderId="122" xfId="0" applyFont="1" applyFill="1" applyBorder="1" applyAlignment="1" applyProtection="1">
      <alignment horizontal="left" indent="1"/>
      <protection hidden="1"/>
    </xf>
    <xf numFmtId="0" fontId="80" fillId="20" borderId="138" xfId="0" applyFont="1" applyFill="1" applyBorder="1" applyAlignment="1" applyProtection="1">
      <alignment horizontal="left" vertical="center" indent="1"/>
      <protection hidden="1"/>
    </xf>
    <xf numFmtId="0" fontId="81" fillId="0" borderId="125" xfId="0" applyFont="1" applyBorder="1" applyAlignment="1" applyProtection="1">
      <alignment horizontal="center" vertical="center"/>
      <protection hidden="1"/>
    </xf>
    <xf numFmtId="0" fontId="81" fillId="0" borderId="140" xfId="0" applyFont="1" applyBorder="1" applyAlignment="1" applyProtection="1">
      <alignment horizontal="center" vertical="center"/>
      <protection hidden="1"/>
    </xf>
    <xf numFmtId="0" fontId="81" fillId="5" borderId="121" xfId="0" applyFont="1" applyFill="1" applyBorder="1" applyAlignment="1" applyProtection="1">
      <alignment horizontal="left" vertical="center" indent="1"/>
      <protection hidden="1"/>
    </xf>
    <xf numFmtId="168" fontId="80" fillId="0" borderId="141" xfId="1" applyNumberFormat="1" applyFont="1" applyBorder="1" applyAlignment="1" applyProtection="1">
      <alignment horizontal="left" vertical="center" indent="1"/>
      <protection hidden="1"/>
    </xf>
    <xf numFmtId="0" fontId="81" fillId="0" borderId="140" xfId="0" applyFont="1" applyBorder="1" applyAlignment="1" applyProtection="1">
      <alignment horizontal="left" vertical="center" indent="1"/>
      <protection hidden="1"/>
    </xf>
    <xf numFmtId="0" fontId="80" fillId="0" borderId="142" xfId="0" applyFont="1" applyBorder="1" applyAlignment="1" applyProtection="1">
      <alignment horizontal="left" vertical="center" indent="1"/>
      <protection hidden="1"/>
    </xf>
    <xf numFmtId="0" fontId="80" fillId="0" borderId="126" xfId="0" applyFont="1" applyBorder="1" applyAlignment="1" applyProtection="1">
      <alignment horizontal="left" vertical="center" wrapText="1" indent="1"/>
      <protection hidden="1"/>
    </xf>
    <xf numFmtId="0" fontId="83" fillId="14" borderId="143" xfId="0" applyFont="1" applyFill="1" applyBorder="1" applyAlignment="1" applyProtection="1">
      <alignment horizontal="left" vertical="center" wrapText="1" indent="1"/>
      <protection hidden="1"/>
    </xf>
    <xf numFmtId="0" fontId="83" fillId="14" borderId="144" xfId="0" applyFont="1" applyFill="1" applyBorder="1" applyAlignment="1" applyProtection="1">
      <alignment horizontal="left" vertical="center" wrapText="1" indent="1"/>
      <protection hidden="1"/>
    </xf>
    <xf numFmtId="0" fontId="83" fillId="14" borderId="145" xfId="0" applyFont="1" applyFill="1" applyBorder="1" applyAlignment="1" applyProtection="1">
      <alignment horizontal="left" vertical="center" indent="1"/>
      <protection hidden="1"/>
    </xf>
    <xf numFmtId="0" fontId="83" fillId="14" borderId="146" xfId="0" applyFont="1" applyFill="1" applyBorder="1" applyAlignment="1" applyProtection="1">
      <alignment horizontal="left" vertical="center" indent="1"/>
      <protection hidden="1"/>
    </xf>
    <xf numFmtId="0" fontId="81" fillId="0" borderId="116" xfId="0" applyFont="1" applyBorder="1" applyAlignment="1" applyProtection="1">
      <alignment horizontal="left" vertical="center" indent="1"/>
      <protection hidden="1"/>
    </xf>
    <xf numFmtId="168" fontId="80" fillId="0" borderId="141" xfId="1" applyNumberFormat="1" applyFont="1" applyFill="1" applyBorder="1" applyAlignment="1" applyProtection="1">
      <alignment horizontal="left" vertical="center" indent="1"/>
      <protection hidden="1"/>
    </xf>
    <xf numFmtId="0" fontId="81" fillId="0" borderId="139" xfId="0" applyFont="1" applyBorder="1" applyAlignment="1" applyProtection="1">
      <alignment horizontal="left" vertical="center" indent="1"/>
      <protection hidden="1"/>
    </xf>
    <xf numFmtId="0" fontId="84" fillId="7" borderId="0" xfId="0" applyFont="1" applyFill="1" applyAlignment="1" applyProtection="1">
      <alignment wrapText="1"/>
      <protection hidden="1"/>
    </xf>
    <xf numFmtId="0" fontId="84" fillId="19" borderId="0" xfId="0" applyFont="1" applyFill="1" applyProtection="1">
      <protection hidden="1"/>
    </xf>
    <xf numFmtId="0" fontId="76" fillId="19" borderId="0" xfId="0" applyFont="1" applyFill="1" applyAlignment="1" applyProtection="1">
      <alignment horizontal="center"/>
      <protection hidden="1"/>
    </xf>
    <xf numFmtId="0" fontId="76" fillId="5" borderId="0" xfId="0" applyFont="1" applyFill="1" applyAlignment="1" applyProtection="1">
      <alignment horizontal="center"/>
      <protection hidden="1"/>
    </xf>
    <xf numFmtId="0" fontId="84" fillId="5" borderId="0" xfId="0" applyFont="1" applyFill="1" applyAlignment="1" applyProtection="1">
      <alignment wrapText="1"/>
      <protection hidden="1"/>
    </xf>
    <xf numFmtId="0" fontId="84" fillId="19" borderId="0" xfId="0" applyFont="1" applyFill="1" applyAlignment="1" applyProtection="1">
      <alignment wrapText="1"/>
      <protection hidden="1"/>
    </xf>
    <xf numFmtId="0" fontId="14" fillId="7" borderId="0" xfId="0" applyFont="1" applyFill="1" applyAlignment="1" applyProtection="1">
      <alignment wrapText="1"/>
      <protection hidden="1"/>
    </xf>
    <xf numFmtId="168" fontId="80" fillId="0" borderId="119" xfId="1" applyNumberFormat="1" applyFont="1" applyFill="1" applyBorder="1" applyAlignment="1" applyProtection="1">
      <alignment horizontal="left" vertical="center" indent="1"/>
      <protection hidden="1"/>
    </xf>
    <xf numFmtId="0" fontId="81" fillId="0" borderId="120" xfId="0" applyFont="1" applyBorder="1" applyAlignment="1" applyProtection="1">
      <alignment horizontal="left" vertical="center" indent="1"/>
      <protection hidden="1"/>
    </xf>
    <xf numFmtId="0" fontId="14" fillId="5" borderId="0" xfId="0" applyFont="1" applyFill="1" applyAlignment="1" applyProtection="1">
      <alignment wrapText="1"/>
      <protection hidden="1"/>
    </xf>
    <xf numFmtId="0" fontId="14" fillId="19" borderId="0" xfId="0" applyFont="1" applyFill="1" applyAlignment="1" applyProtection="1">
      <alignment wrapText="1"/>
      <protection hidden="1"/>
    </xf>
    <xf numFmtId="0" fontId="81" fillId="0" borderId="128" xfId="0" applyFont="1" applyBorder="1" applyAlignment="1" applyProtection="1">
      <alignment horizontal="left" vertical="center" indent="1"/>
      <protection hidden="1"/>
    </xf>
    <xf numFmtId="0" fontId="81" fillId="0" borderId="124" xfId="0" applyFont="1" applyBorder="1" applyAlignment="1" applyProtection="1">
      <alignment horizontal="left" vertical="center" indent="1"/>
      <protection hidden="1"/>
    </xf>
    <xf numFmtId="0" fontId="84" fillId="7" borderId="0" xfId="0" applyFont="1" applyFill="1" applyProtection="1">
      <protection hidden="1"/>
    </xf>
    <xf numFmtId="0" fontId="83" fillId="14" borderId="144" xfId="0" applyFont="1" applyFill="1" applyBorder="1" applyAlignment="1" applyProtection="1">
      <alignment horizontal="left" vertical="center" indent="1"/>
      <protection hidden="1"/>
    </xf>
    <xf numFmtId="0" fontId="84" fillId="5" borderId="0" xfId="0" applyFont="1" applyFill="1" applyProtection="1">
      <protection hidden="1"/>
    </xf>
    <xf numFmtId="0" fontId="46" fillId="0" borderId="148" xfId="0" applyFont="1" applyBorder="1" applyAlignment="1" applyProtection="1">
      <alignment horizontal="left" vertical="center"/>
      <protection hidden="1"/>
    </xf>
    <xf numFmtId="0" fontId="87" fillId="0" borderId="0" xfId="0" applyFont="1" applyAlignment="1" applyProtection="1">
      <alignment vertical="center"/>
      <protection hidden="1"/>
    </xf>
    <xf numFmtId="15" fontId="14" fillId="19" borderId="0" xfId="0" applyNumberFormat="1" applyFont="1" applyFill="1" applyAlignment="1" applyProtection="1">
      <alignment horizontal="center"/>
      <protection hidden="1"/>
    </xf>
    <xf numFmtId="15" fontId="14" fillId="5" borderId="0" xfId="0" applyNumberFormat="1" applyFont="1" applyFill="1" applyAlignment="1" applyProtection="1">
      <alignment horizontal="center"/>
      <protection hidden="1"/>
    </xf>
    <xf numFmtId="0" fontId="16" fillId="5" borderId="0" xfId="0" applyFont="1" applyFill="1" applyAlignment="1" applyProtection="1">
      <alignment vertical="top"/>
      <protection hidden="1"/>
    </xf>
    <xf numFmtId="0" fontId="14" fillId="5" borderId="0" xfId="0" applyFont="1" applyFill="1" applyAlignment="1" applyProtection="1">
      <alignment vertical="top"/>
      <protection hidden="1"/>
    </xf>
    <xf numFmtId="0" fontId="16" fillId="19" borderId="0" xfId="0" applyFont="1" applyFill="1" applyAlignment="1" applyProtection="1">
      <alignment vertical="top"/>
      <protection hidden="1"/>
    </xf>
    <xf numFmtId="0" fontId="14" fillId="19" borderId="0" xfId="0" applyFont="1" applyFill="1" applyAlignment="1" applyProtection="1">
      <alignment vertical="top"/>
      <protection hidden="1"/>
    </xf>
    <xf numFmtId="0" fontId="14" fillId="19" borderId="0" xfId="0" applyFont="1" applyFill="1" applyAlignment="1" applyProtection="1">
      <alignment horizontal="center" vertical="top"/>
      <protection hidden="1"/>
    </xf>
    <xf numFmtId="0" fontId="6" fillId="17" borderId="96" xfId="17" applyFont="1" applyFill="1" applyBorder="1" applyAlignment="1" applyProtection="1">
      <alignment horizontal="left" vertical="top" wrapText="1"/>
      <protection hidden="1"/>
    </xf>
    <xf numFmtId="0" fontId="6" fillId="0" borderId="0" xfId="18" applyFont="1" applyAlignment="1" applyProtection="1">
      <alignment horizontal="left" vertical="center" wrapText="1"/>
      <protection hidden="1"/>
    </xf>
    <xf numFmtId="0" fontId="37" fillId="16" borderId="96" xfId="17" applyFont="1" applyFill="1" applyBorder="1" applyAlignment="1" applyProtection="1">
      <alignment horizontal="left" vertical="top" wrapText="1"/>
      <protection hidden="1"/>
    </xf>
    <xf numFmtId="0" fontId="6" fillId="14" borderId="96" xfId="17" applyFont="1" applyFill="1" applyBorder="1" applyAlignment="1" applyProtection="1">
      <alignment horizontal="left" vertical="top" wrapText="1"/>
      <protection hidden="1"/>
    </xf>
    <xf numFmtId="0" fontId="34" fillId="0" borderId="30" xfId="17" applyFont="1" applyBorder="1" applyAlignment="1" applyProtection="1">
      <alignment horizontal="center" vertical="center" wrapText="1"/>
      <protection locked="0"/>
    </xf>
    <xf numFmtId="0" fontId="30" fillId="21" borderId="149" xfId="20" applyFont="1" applyFill="1" applyBorder="1"/>
    <xf numFmtId="0" fontId="88" fillId="21" borderId="149" xfId="20" applyFont="1" applyFill="1" applyBorder="1" applyAlignment="1">
      <alignment vertical="center"/>
    </xf>
    <xf numFmtId="0" fontId="17" fillId="22" borderId="87" xfId="20" applyFont="1" applyFill="1" applyBorder="1"/>
    <xf numFmtId="0" fontId="17" fillId="0" borderId="87" xfId="20" applyFont="1" applyBorder="1"/>
    <xf numFmtId="0" fontId="17" fillId="0" borderId="150" xfId="20" applyFont="1" applyBorder="1" applyAlignment="1">
      <alignment vertical="top" wrapText="1"/>
    </xf>
    <xf numFmtId="0" fontId="20" fillId="0" borderId="150" xfId="20" applyFont="1" applyBorder="1" applyAlignment="1">
      <alignment vertical="top" wrapText="1"/>
    </xf>
    <xf numFmtId="0" fontId="34" fillId="0" borderId="1" xfId="17" applyFont="1" applyBorder="1" applyAlignment="1" applyProtection="1">
      <alignment horizontal="center" vertical="center" wrapText="1"/>
      <protection locked="0"/>
    </xf>
    <xf numFmtId="0" fontId="34" fillId="0" borderId="34" xfId="17" applyFont="1" applyBorder="1" applyAlignment="1" applyProtection="1">
      <alignment horizontal="center" vertical="center" wrapText="1"/>
      <protection locked="0"/>
    </xf>
    <xf numFmtId="0" fontId="21" fillId="23" borderId="13" xfId="0" applyFont="1" applyFill="1" applyBorder="1" applyAlignment="1">
      <alignment horizontal="center" vertical="center"/>
    </xf>
    <xf numFmtId="0" fontId="14" fillId="3" borderId="0" xfId="0" applyFont="1" applyFill="1"/>
    <xf numFmtId="169" fontId="17" fillId="24" borderId="151" xfId="0" applyNumberFormat="1" applyFont="1" applyFill="1" applyBorder="1" applyAlignment="1">
      <alignment horizontal="center" vertical="center"/>
    </xf>
    <xf numFmtId="169" fontId="17" fillId="24" borderId="28" xfId="0" applyNumberFormat="1" applyFont="1" applyFill="1" applyBorder="1" applyAlignment="1">
      <alignment horizontal="center" vertical="center"/>
    </xf>
    <xf numFmtId="0" fontId="17" fillId="24" borderId="28" xfId="0" applyFont="1" applyFill="1" applyBorder="1" applyAlignment="1">
      <alignment horizontal="center" vertical="center"/>
    </xf>
    <xf numFmtId="169" fontId="18" fillId="24" borderId="28" xfId="4" applyNumberFormat="1" applyFont="1" applyFill="1" applyBorder="1" applyAlignment="1">
      <alignment horizontal="center" vertical="center"/>
    </xf>
    <xf numFmtId="173" fontId="18" fillId="24" borderId="29" xfId="4" applyNumberFormat="1" applyFont="1" applyFill="1" applyBorder="1" applyAlignment="1">
      <alignment horizontal="center" vertical="center"/>
    </xf>
    <xf numFmtId="165" fontId="6" fillId="5" borderId="1" xfId="1" applyNumberFormat="1" applyFont="1" applyFill="1" applyBorder="1" applyAlignment="1" applyProtection="1">
      <alignment vertical="center" wrapText="1"/>
      <protection hidden="1"/>
    </xf>
    <xf numFmtId="0" fontId="87" fillId="0" borderId="0" xfId="0" applyFont="1" applyAlignment="1" applyProtection="1">
      <alignment horizontal="left" vertical="center" wrapText="1"/>
      <protection hidden="1"/>
    </xf>
    <xf numFmtId="0" fontId="87" fillId="0" borderId="148" xfId="0" applyFont="1" applyBorder="1" applyAlignment="1" applyProtection="1">
      <alignment horizontal="left" vertical="center" wrapText="1"/>
      <protection hidden="1"/>
    </xf>
    <xf numFmtId="0" fontId="46" fillId="5" borderId="14" xfId="0" applyFont="1" applyFill="1" applyBorder="1" applyAlignment="1">
      <alignment vertical="center"/>
    </xf>
    <xf numFmtId="0" fontId="34" fillId="14" borderId="5" xfId="0" applyFont="1" applyFill="1" applyBorder="1" applyAlignment="1">
      <alignment vertical="center" wrapText="1"/>
    </xf>
    <xf numFmtId="0" fontId="66" fillId="14" borderId="10" xfId="0" applyFont="1" applyFill="1" applyBorder="1" applyAlignment="1">
      <alignment horizontal="center" vertical="center"/>
    </xf>
    <xf numFmtId="0" fontId="37" fillId="14" borderId="7" xfId="0" applyFont="1" applyFill="1" applyBorder="1" applyAlignment="1">
      <alignment vertical="center"/>
    </xf>
    <xf numFmtId="166" fontId="51" fillId="5" borderId="0" xfId="0" applyNumberFormat="1" applyFont="1" applyFill="1" applyAlignment="1">
      <alignment horizontal="center"/>
    </xf>
    <xf numFmtId="0" fontId="6" fillId="0" borderId="13" xfId="0" applyFont="1" applyBorder="1" applyAlignment="1">
      <alignment horizontal="center" vertical="center"/>
    </xf>
    <xf numFmtId="0" fontId="37" fillId="14" borderId="13" xfId="0" applyFont="1" applyFill="1" applyBorder="1" applyAlignment="1">
      <alignment horizontal="center" vertical="center"/>
    </xf>
    <xf numFmtId="0" fontId="17" fillId="0" borderId="16" xfId="0" applyFont="1" applyBorder="1" applyAlignment="1">
      <alignment horizontal="center"/>
    </xf>
    <xf numFmtId="166" fontId="17" fillId="0" borderId="2" xfId="0" applyNumberFormat="1" applyFont="1" applyBorder="1" applyAlignment="1">
      <alignment horizontal="center"/>
    </xf>
    <xf numFmtId="0" fontId="17" fillId="0" borderId="2" xfId="0" applyFont="1" applyBorder="1" applyAlignment="1">
      <alignment horizontal="left" wrapText="1"/>
    </xf>
    <xf numFmtId="1" fontId="17" fillId="0" borderId="2" xfId="0" applyNumberFormat="1" applyFont="1" applyBorder="1" applyAlignment="1">
      <alignment horizontal="center"/>
    </xf>
    <xf numFmtId="0" fontId="17" fillId="0" borderId="2" xfId="0" applyFont="1" applyBorder="1" applyAlignment="1">
      <alignment horizontal="left"/>
    </xf>
    <xf numFmtId="5" fontId="17" fillId="0" borderId="2" xfId="1" applyNumberFormat="1" applyFont="1" applyBorder="1" applyProtection="1"/>
    <xf numFmtId="164" fontId="17" fillId="0" borderId="2" xfId="0" applyNumberFormat="1" applyFont="1" applyBorder="1"/>
    <xf numFmtId="0" fontId="17" fillId="0" borderId="2" xfId="0" applyFont="1" applyBorder="1"/>
    <xf numFmtId="0" fontId="17" fillId="0" borderId="2" xfId="0" applyFont="1" applyBorder="1" applyAlignment="1">
      <alignment horizontal="center"/>
    </xf>
    <xf numFmtId="0" fontId="17" fillId="0" borderId="3" xfId="0" applyFont="1" applyBorder="1"/>
    <xf numFmtId="166" fontId="47" fillId="5" borderId="15" xfId="0" applyNumberFormat="1" applyFont="1" applyFill="1" applyBorder="1" applyAlignment="1">
      <alignment horizontal="left" vertical="center"/>
    </xf>
    <xf numFmtId="0" fontId="28" fillId="5" borderId="0" xfId="0" applyFont="1" applyFill="1" applyAlignment="1" applyProtection="1">
      <alignment vertical="center"/>
      <protection hidden="1"/>
    </xf>
    <xf numFmtId="166" fontId="49" fillId="5" borderId="0" xfId="0" applyNumberFormat="1" applyFont="1" applyFill="1" applyAlignment="1">
      <alignment horizontal="left"/>
    </xf>
    <xf numFmtId="166" fontId="46" fillId="5" borderId="0" xfId="0" applyNumberFormat="1" applyFont="1" applyFill="1" applyAlignment="1">
      <alignment horizontal="left"/>
    </xf>
    <xf numFmtId="0" fontId="28" fillId="5" borderId="0" xfId="0" applyFont="1" applyFill="1" applyAlignment="1">
      <alignment horizontal="left"/>
    </xf>
    <xf numFmtId="164" fontId="28" fillId="5" borderId="0" xfId="0" applyNumberFormat="1" applyFont="1" applyFill="1"/>
    <xf numFmtId="0" fontId="48" fillId="5" borderId="0" xfId="0" applyFont="1" applyFill="1" applyAlignment="1">
      <alignment horizontal="center" vertical="center"/>
    </xf>
    <xf numFmtId="0" fontId="6" fillId="0" borderId="0" xfId="0" applyFont="1" applyAlignment="1">
      <alignment vertical="center" wrapText="1"/>
    </xf>
    <xf numFmtId="0" fontId="48" fillId="5" borderId="0" xfId="0" applyFont="1" applyFill="1" applyAlignment="1">
      <alignment horizontal="left" vertical="center" wrapText="1"/>
    </xf>
    <xf numFmtId="0" fontId="28" fillId="5" borderId="0" xfId="0" applyFont="1" applyFill="1"/>
    <xf numFmtId="166" fontId="47" fillId="5" borderId="15" xfId="0" applyNumberFormat="1" applyFont="1" applyFill="1" applyBorder="1" applyAlignment="1">
      <alignment vertical="center"/>
    </xf>
    <xf numFmtId="14" fontId="28" fillId="5" borderId="0" xfId="0" applyNumberFormat="1" applyFont="1" applyFill="1" applyAlignment="1" applyProtection="1">
      <alignment vertical="center"/>
      <protection hidden="1"/>
    </xf>
    <xf numFmtId="166" fontId="46" fillId="5" borderId="0" xfId="0" applyNumberFormat="1" applyFont="1" applyFill="1"/>
    <xf numFmtId="0" fontId="28" fillId="5" borderId="0" xfId="0" applyFont="1" applyFill="1" applyAlignment="1">
      <alignment vertical="center"/>
    </xf>
    <xf numFmtId="0" fontId="28" fillId="5" borderId="0" xfId="0" applyFont="1" applyFill="1" applyAlignment="1">
      <alignment horizontal="left" vertical="center"/>
    </xf>
    <xf numFmtId="166" fontId="49" fillId="5" borderId="0" xfId="0" applyNumberFormat="1" applyFont="1" applyFill="1"/>
    <xf numFmtId="0" fontId="47" fillId="5" borderId="15" xfId="0" applyFont="1" applyFill="1" applyBorder="1" applyAlignment="1">
      <alignment horizontal="left" vertical="center"/>
    </xf>
    <xf numFmtId="0" fontId="51" fillId="5" borderId="15" xfId="0" applyFont="1" applyFill="1" applyBorder="1" applyAlignment="1">
      <alignment horizontal="center"/>
    </xf>
    <xf numFmtId="166" fontId="49" fillId="5" borderId="15" xfId="0" applyNumberFormat="1" applyFont="1" applyFill="1" applyBorder="1" applyAlignment="1">
      <alignment horizontal="left"/>
    </xf>
    <xf numFmtId="0" fontId="36" fillId="0" borderId="0" xfId="0" applyFont="1" applyAlignment="1" applyProtection="1">
      <alignment wrapText="1"/>
      <protection hidden="1"/>
    </xf>
    <xf numFmtId="0" fontId="36" fillId="0" borderId="4" xfId="0" applyFont="1" applyBorder="1" applyAlignment="1" applyProtection="1">
      <alignment wrapText="1"/>
      <protection hidden="1"/>
    </xf>
    <xf numFmtId="0" fontId="35" fillId="0" borderId="5" xfId="0" applyFont="1" applyBorder="1"/>
    <xf numFmtId="0" fontId="90" fillId="16" borderId="153" xfId="0" applyFont="1" applyFill="1" applyBorder="1" applyAlignment="1" applyProtection="1">
      <alignment horizontal="left" vertical="center" wrapText="1"/>
      <protection hidden="1"/>
    </xf>
    <xf numFmtId="43" fontId="17" fillId="0" borderId="39" xfId="1" applyFont="1" applyFill="1" applyBorder="1" applyAlignment="1" applyProtection="1">
      <alignment horizontal="right" vertical="center" wrapText="1" indent="1"/>
      <protection hidden="1"/>
    </xf>
    <xf numFmtId="0" fontId="17" fillId="0" borderId="155" xfId="0" applyFont="1" applyBorder="1" applyAlignment="1">
      <alignment vertical="center"/>
    </xf>
    <xf numFmtId="43" fontId="17" fillId="0" borderId="41" xfId="1" applyFont="1" applyFill="1" applyBorder="1" applyAlignment="1" applyProtection="1">
      <alignment horizontal="right" vertical="center" wrapText="1" indent="1"/>
      <protection hidden="1"/>
    </xf>
    <xf numFmtId="0" fontId="17" fillId="0" borderId="152" xfId="0" applyFont="1" applyBorder="1" applyAlignment="1">
      <alignment vertical="center"/>
    </xf>
    <xf numFmtId="43" fontId="17" fillId="0" borderId="158" xfId="1" applyFont="1" applyFill="1" applyBorder="1" applyAlignment="1" applyProtection="1">
      <alignment horizontal="right" vertical="center" wrapText="1" indent="1"/>
      <protection hidden="1"/>
    </xf>
    <xf numFmtId="0" fontId="17" fillId="0" borderId="159" xfId="0" applyFont="1" applyBorder="1" applyAlignment="1">
      <alignment vertical="center"/>
    </xf>
    <xf numFmtId="0" fontId="90" fillId="16" borderId="153" xfId="0" applyFont="1" applyFill="1" applyBorder="1" applyAlignment="1" applyProtection="1">
      <alignment horizontal="center" vertical="center"/>
      <protection hidden="1"/>
    </xf>
    <xf numFmtId="0" fontId="90" fillId="16" borderId="154" xfId="0" applyFont="1" applyFill="1" applyBorder="1" applyAlignment="1" applyProtection="1">
      <alignment horizontal="center" vertical="center" wrapText="1"/>
      <protection hidden="1"/>
    </xf>
    <xf numFmtId="0" fontId="90" fillId="16" borderId="153" xfId="0" applyFont="1" applyFill="1" applyBorder="1" applyAlignment="1" applyProtection="1">
      <alignment horizontal="center" vertical="center" wrapText="1"/>
      <protection hidden="1"/>
    </xf>
    <xf numFmtId="0" fontId="17" fillId="0" borderId="10" xfId="0" applyFont="1" applyBorder="1"/>
    <xf numFmtId="1" fontId="34" fillId="14" borderId="35" xfId="0" applyNumberFormat="1" applyFont="1" applyFill="1" applyBorder="1" applyAlignment="1">
      <alignment horizontal="center" vertical="center" wrapText="1"/>
    </xf>
    <xf numFmtId="166" fontId="34" fillId="14" borderId="35" xfId="0" applyNumberFormat="1" applyFont="1" applyFill="1" applyBorder="1" applyAlignment="1">
      <alignment horizontal="center" vertical="center" wrapText="1"/>
    </xf>
    <xf numFmtId="0" fontId="34" fillId="14" borderId="110" xfId="0" applyFont="1" applyFill="1" applyBorder="1" applyAlignment="1">
      <alignment horizontal="center" vertical="center" wrapText="1"/>
    </xf>
    <xf numFmtId="170" fontId="17" fillId="0" borderId="0" xfId="0" applyNumberFormat="1" applyFont="1" applyAlignment="1">
      <alignment vertical="center"/>
    </xf>
    <xf numFmtId="43" fontId="17" fillId="0" borderId="0" xfId="0" applyNumberFormat="1" applyFont="1" applyAlignment="1">
      <alignment vertical="center"/>
    </xf>
    <xf numFmtId="0" fontId="90" fillId="16" borderId="160" xfId="0" applyFont="1" applyFill="1" applyBorder="1" applyAlignment="1" applyProtection="1">
      <alignment horizontal="center" vertical="center" wrapText="1"/>
      <protection hidden="1"/>
    </xf>
    <xf numFmtId="170" fontId="17" fillId="0" borderId="161" xfId="0" applyNumberFormat="1" applyFont="1" applyBorder="1" applyAlignment="1">
      <alignment vertical="center"/>
    </xf>
    <xf numFmtId="43" fontId="17" fillId="0" borderId="162" xfId="0" applyNumberFormat="1" applyFont="1" applyBorder="1" applyAlignment="1">
      <alignment vertical="center"/>
    </xf>
    <xf numFmtId="43" fontId="17" fillId="0" borderId="163" xfId="0" applyNumberFormat="1" applyFont="1" applyBorder="1" applyAlignment="1">
      <alignment vertical="center"/>
    </xf>
    <xf numFmtId="0" fontId="90" fillId="16" borderId="156" xfId="0" applyFont="1" applyFill="1" applyBorder="1" applyAlignment="1" applyProtection="1">
      <alignment horizontal="center" vertical="center" wrapText="1"/>
      <protection hidden="1"/>
    </xf>
    <xf numFmtId="174" fontId="17" fillId="0" borderId="157" xfId="0" applyNumberFormat="1" applyFont="1" applyBorder="1" applyAlignment="1">
      <alignment vertical="center"/>
    </xf>
    <xf numFmtId="0" fontId="26" fillId="25" borderId="1" xfId="0" applyFont="1" applyFill="1" applyBorder="1" applyAlignment="1" applyProtection="1">
      <alignment vertical="top"/>
      <protection hidden="1"/>
    </xf>
    <xf numFmtId="0" fontId="26" fillId="25" borderId="1" xfId="0" applyFont="1" applyFill="1" applyBorder="1" applyProtection="1">
      <protection hidden="1"/>
    </xf>
    <xf numFmtId="0" fontId="34" fillId="14" borderId="6" xfId="0" applyFont="1" applyFill="1" applyBorder="1" applyAlignment="1">
      <alignment horizontal="left" vertical="center"/>
    </xf>
    <xf numFmtId="0" fontId="77" fillId="0" borderId="0" xfId="0" applyFont="1" applyAlignment="1" applyProtection="1">
      <alignment vertical="top" wrapText="1"/>
      <protection hidden="1"/>
    </xf>
    <xf numFmtId="167" fontId="6" fillId="15" borderId="42" xfId="1" applyNumberFormat="1" applyFont="1" applyFill="1" applyBorder="1" applyAlignment="1" applyProtection="1">
      <alignment horizontal="right" vertical="center" wrapText="1" indent="1"/>
      <protection hidden="1"/>
    </xf>
    <xf numFmtId="49" fontId="38" fillId="0" borderId="53" xfId="8" applyNumberFormat="1" applyFont="1" applyBorder="1" applyAlignment="1" applyProtection="1">
      <alignment horizontal="left" vertical="top" wrapText="1"/>
      <protection locked="0"/>
    </xf>
    <xf numFmtId="49" fontId="40" fillId="0" borderId="54" xfId="8" applyNumberFormat="1" applyFont="1" applyBorder="1" applyAlignment="1" applyProtection="1">
      <alignment horizontal="center" vertical="center" wrapText="1"/>
      <protection locked="0"/>
    </xf>
    <xf numFmtId="49" fontId="38" fillId="0" borderId="19" xfId="8" applyNumberFormat="1" applyFont="1" applyBorder="1" applyAlignment="1" applyProtection="1">
      <alignment horizontal="left" vertical="top" wrapText="1"/>
      <protection locked="0"/>
    </xf>
    <xf numFmtId="49" fontId="38" fillId="0" borderId="22" xfId="8" applyNumberFormat="1" applyFont="1" applyBorder="1" applyAlignment="1" applyProtection="1">
      <alignment horizontal="left" vertical="top" wrapText="1"/>
      <protection locked="0"/>
    </xf>
    <xf numFmtId="0" fontId="34" fillId="14" borderId="13" xfId="0" applyFont="1" applyFill="1" applyBorder="1" applyAlignment="1" applyProtection="1">
      <alignment horizontal="center" vertical="center" wrapText="1"/>
      <protection hidden="1"/>
    </xf>
    <xf numFmtId="0" fontId="53" fillId="15" borderId="166" xfId="0" applyFont="1" applyFill="1" applyBorder="1" applyAlignment="1" applyProtection="1">
      <alignment horizontal="center" vertical="center" wrapText="1"/>
      <protection hidden="1"/>
    </xf>
    <xf numFmtId="0" fontId="53" fillId="15" borderId="167" xfId="0" applyFont="1" applyFill="1" applyBorder="1" applyAlignment="1" applyProtection="1">
      <alignment horizontal="center" vertical="center" wrapText="1"/>
      <protection hidden="1"/>
    </xf>
    <xf numFmtId="0" fontId="92" fillId="0" borderId="20" xfId="0" applyFont="1" applyBorder="1" applyAlignment="1">
      <alignment horizontal="left" vertical="top" wrapText="1"/>
    </xf>
    <xf numFmtId="49" fontId="92" fillId="0" borderId="25" xfId="0" applyNumberFormat="1" applyFont="1" applyBorder="1" applyAlignment="1">
      <alignment horizontal="center" vertical="top" wrapText="1"/>
    </xf>
    <xf numFmtId="0" fontId="92" fillId="0" borderId="20" xfId="0" applyFont="1" applyBorder="1" applyAlignment="1">
      <alignment horizontal="center" vertical="top" wrapText="1"/>
    </xf>
    <xf numFmtId="0" fontId="92" fillId="0" borderId="26" xfId="0" applyFont="1" applyBorder="1" applyAlignment="1">
      <alignment horizontal="left" vertical="top" wrapText="1"/>
    </xf>
    <xf numFmtId="0" fontId="79" fillId="5" borderId="0" xfId="0" applyFont="1" applyFill="1" applyAlignment="1">
      <alignment horizontal="left" vertical="center"/>
    </xf>
    <xf numFmtId="0" fontId="95" fillId="5" borderId="148" xfId="0" applyFont="1" applyFill="1" applyBorder="1"/>
    <xf numFmtId="44" fontId="98" fillId="5" borderId="0" xfId="1" applyNumberFormat="1" applyFont="1" applyFill="1" applyBorder="1" applyAlignment="1" applyProtection="1">
      <alignment horizontal="right" wrapText="1"/>
      <protection hidden="1"/>
    </xf>
    <xf numFmtId="1" fontId="99" fillId="5" borderId="0" xfId="1" applyNumberFormat="1" applyFont="1" applyFill="1" applyBorder="1" applyAlignment="1" applyProtection="1">
      <alignment horizontal="center" vertical="center" wrapText="1"/>
      <protection locked="0" hidden="1"/>
    </xf>
    <xf numFmtId="44" fontId="98" fillId="5" borderId="0" xfId="1" applyNumberFormat="1" applyFont="1" applyFill="1" applyBorder="1" applyAlignment="1" applyProtection="1">
      <alignment horizontal="center" vertical="center" wrapText="1"/>
      <protection hidden="1"/>
    </xf>
    <xf numFmtId="44" fontId="99" fillId="5" borderId="0" xfId="1" applyNumberFormat="1" applyFont="1" applyFill="1" applyBorder="1" applyAlignment="1" applyProtection="1">
      <alignment horizontal="center" vertical="center" wrapText="1"/>
      <protection hidden="1"/>
    </xf>
    <xf numFmtId="0" fontId="99" fillId="5" borderId="1" xfId="1" applyNumberFormat="1" applyFont="1" applyFill="1" applyBorder="1" applyAlignment="1" applyProtection="1">
      <alignment horizontal="center" vertical="center" wrapText="1"/>
      <protection locked="0" hidden="1"/>
    </xf>
    <xf numFmtId="0" fontId="98" fillId="5" borderId="0" xfId="1" applyNumberFormat="1" applyFont="1" applyFill="1" applyBorder="1" applyAlignment="1" applyProtection="1">
      <alignment horizontal="center" vertical="center" wrapText="1"/>
      <protection hidden="1"/>
    </xf>
    <xf numFmtId="0" fontId="106" fillId="5" borderId="47" xfId="0" applyFont="1" applyFill="1" applyBorder="1" applyAlignment="1" applyProtection="1">
      <alignment vertical="center" wrapText="1"/>
      <protection hidden="1"/>
    </xf>
    <xf numFmtId="44" fontId="106" fillId="5" borderId="47" xfId="0" applyNumberFormat="1" applyFont="1" applyFill="1" applyBorder="1" applyAlignment="1" applyProtection="1">
      <alignment horizontal="right" vertical="center"/>
      <protection hidden="1"/>
    </xf>
    <xf numFmtId="44" fontId="106" fillId="5" borderId="0" xfId="1" applyNumberFormat="1" applyFont="1" applyFill="1" applyBorder="1" applyAlignment="1" applyProtection="1">
      <alignment horizontal="center" vertical="center" wrapText="1"/>
      <protection hidden="1"/>
    </xf>
    <xf numFmtId="2" fontId="106" fillId="5" borderId="0" xfId="1" applyNumberFormat="1" applyFont="1" applyFill="1" applyBorder="1" applyAlignment="1" applyProtection="1">
      <alignment horizontal="center" vertical="center" wrapText="1"/>
      <protection hidden="1"/>
    </xf>
    <xf numFmtId="0" fontId="106" fillId="5" borderId="0" xfId="1" applyNumberFormat="1" applyFont="1" applyFill="1" applyBorder="1" applyAlignment="1" applyProtection="1">
      <alignment horizontal="center" vertical="center" wrapText="1"/>
      <protection hidden="1"/>
    </xf>
    <xf numFmtId="0" fontId="95" fillId="5" borderId="0" xfId="0" applyFont="1" applyFill="1" applyAlignment="1">
      <alignment vertical="center"/>
    </xf>
    <xf numFmtId="0" fontId="76" fillId="5" borderId="0" xfId="0" applyFont="1" applyFill="1" applyAlignment="1">
      <alignment vertical="center"/>
    </xf>
    <xf numFmtId="0" fontId="95" fillId="5" borderId="0" xfId="0" applyFont="1" applyFill="1"/>
    <xf numFmtId="0" fontId="76" fillId="5" borderId="0" xfId="0" applyFont="1" applyFill="1"/>
    <xf numFmtId="0" fontId="76" fillId="5" borderId="63" xfId="0" applyFont="1" applyFill="1" applyBorder="1"/>
    <xf numFmtId="166" fontId="96" fillId="5" borderId="0" xfId="25" quotePrefix="1" applyNumberFormat="1" applyFont="1" applyFill="1" applyAlignment="1" applyProtection="1">
      <alignment vertical="center"/>
      <protection hidden="1"/>
    </xf>
    <xf numFmtId="166" fontId="96" fillId="5" borderId="0" xfId="25" quotePrefix="1" applyNumberFormat="1" applyFont="1" applyFill="1" applyAlignment="1" applyProtection="1">
      <alignment horizontal="left" vertical="center"/>
      <protection hidden="1"/>
    </xf>
    <xf numFmtId="0" fontId="97" fillId="5" borderId="0" xfId="25" applyFont="1" applyFill="1" applyAlignment="1" applyProtection="1">
      <alignment vertical="top" wrapText="1"/>
      <protection hidden="1"/>
    </xf>
    <xf numFmtId="0" fontId="94" fillId="5" borderId="0" xfId="0" applyFont="1" applyFill="1"/>
    <xf numFmtId="0" fontId="100" fillId="5" borderId="0" xfId="25" applyFont="1" applyFill="1" applyAlignment="1" applyProtection="1">
      <alignment horizontal="left" vertical="top" wrapText="1"/>
      <protection hidden="1"/>
    </xf>
    <xf numFmtId="0" fontId="101" fillId="5" borderId="0" xfId="25" applyFont="1" applyFill="1" applyAlignment="1" applyProtection="1">
      <alignment horizontal="right" wrapText="1"/>
      <protection hidden="1"/>
    </xf>
    <xf numFmtId="0" fontId="77" fillId="5" borderId="0" xfId="25" applyFont="1" applyFill="1" applyAlignment="1" applyProtection="1">
      <alignment horizontal="center" vertical="center"/>
      <protection locked="0" hidden="1"/>
    </xf>
    <xf numFmtId="0" fontId="102" fillId="5" borderId="0" xfId="25" applyFont="1" applyFill="1" applyAlignment="1" applyProtection="1">
      <alignment vertical="top" wrapText="1"/>
      <protection hidden="1"/>
    </xf>
    <xf numFmtId="8" fontId="103" fillId="5" borderId="0" xfId="0" applyNumberFormat="1" applyFont="1" applyFill="1" applyAlignment="1">
      <alignment horizontal="center" vertical="center"/>
    </xf>
    <xf numFmtId="0" fontId="97" fillId="5" borderId="0" xfId="25" applyFont="1" applyFill="1" applyAlignment="1" applyProtection="1">
      <alignment horizontal="left" vertical="top" wrapText="1"/>
      <protection hidden="1"/>
    </xf>
    <xf numFmtId="0" fontId="104" fillId="5" borderId="0" xfId="25" applyFont="1" applyFill="1" applyAlignment="1" applyProtection="1">
      <alignment vertical="center"/>
      <protection hidden="1"/>
    </xf>
    <xf numFmtId="0" fontId="94" fillId="5" borderId="0" xfId="0" applyFont="1" applyFill="1" applyAlignment="1">
      <alignment horizontal="right"/>
    </xf>
    <xf numFmtId="44" fontId="103" fillId="5" borderId="0" xfId="0" applyNumberFormat="1" applyFont="1" applyFill="1" applyAlignment="1">
      <alignment horizontal="center" vertical="center"/>
    </xf>
    <xf numFmtId="0" fontId="66" fillId="5" borderId="0" xfId="25" applyFont="1" applyFill="1" applyAlignment="1" applyProtection="1">
      <alignment vertical="center" wrapText="1"/>
      <protection hidden="1"/>
    </xf>
    <xf numFmtId="0" fontId="81" fillId="5" borderId="0" xfId="26" applyFont="1" applyFill="1" applyAlignment="1" applyProtection="1">
      <alignment vertical="top" wrapText="1"/>
      <protection hidden="1"/>
    </xf>
    <xf numFmtId="0" fontId="81" fillId="5" borderId="0" xfId="26" applyFont="1" applyFill="1" applyAlignment="1" applyProtection="1">
      <alignment horizontal="left" vertical="center" wrapText="1"/>
      <protection hidden="1"/>
    </xf>
    <xf numFmtId="0" fontId="81" fillId="5" borderId="0" xfId="26" applyFont="1" applyFill="1" applyAlignment="1" applyProtection="1">
      <alignment vertical="center" wrapText="1"/>
      <protection hidden="1"/>
    </xf>
    <xf numFmtId="0" fontId="105" fillId="5" borderId="0" xfId="25" applyFont="1" applyFill="1" applyAlignment="1" applyProtection="1">
      <alignment horizontal="center" vertical="center"/>
      <protection locked="0" hidden="1"/>
    </xf>
    <xf numFmtId="0" fontId="105" fillId="5" borderId="0" xfId="0" applyFont="1" applyFill="1"/>
    <xf numFmtId="0" fontId="105" fillId="5" borderId="0" xfId="26" applyFont="1" applyFill="1" applyAlignment="1" applyProtection="1">
      <alignment vertical="top" wrapText="1"/>
      <protection locked="0"/>
    </xf>
    <xf numFmtId="0" fontId="52" fillId="5" borderId="0" xfId="26" applyFont="1" applyFill="1" applyAlignment="1" applyProtection="1">
      <alignment vertical="center" wrapText="1"/>
      <protection hidden="1"/>
    </xf>
    <xf numFmtId="0" fontId="105" fillId="5" borderId="0" xfId="25" applyFont="1" applyFill="1" applyAlignment="1" applyProtection="1">
      <alignment horizontal="center" vertical="center"/>
      <protection hidden="1"/>
    </xf>
    <xf numFmtId="0" fontId="105" fillId="5" borderId="0" xfId="0" applyFont="1" applyFill="1" applyProtection="1">
      <protection hidden="1"/>
    </xf>
    <xf numFmtId="0" fontId="52" fillId="5" borderId="0" xfId="0" applyFont="1" applyFill="1"/>
    <xf numFmtId="0" fontId="105" fillId="5" borderId="0" xfId="26" applyFont="1" applyFill="1" applyAlignment="1" applyProtection="1">
      <alignment vertical="center" wrapText="1"/>
      <protection hidden="1"/>
    </xf>
    <xf numFmtId="0" fontId="106" fillId="5" borderId="0" xfId="0" applyFont="1" applyFill="1" applyAlignment="1">
      <alignment vertical="center" wrapText="1"/>
    </xf>
    <xf numFmtId="44" fontId="106" fillId="5" borderId="0" xfId="0" applyNumberFormat="1" applyFont="1" applyFill="1" applyAlignment="1">
      <alignment horizontal="center" vertical="center"/>
    </xf>
    <xf numFmtId="0" fontId="105" fillId="5" borderId="0" xfId="0" applyFont="1" applyFill="1" applyAlignment="1">
      <alignment horizontal="left"/>
    </xf>
    <xf numFmtId="2" fontId="105" fillId="5" borderId="0" xfId="0" applyNumberFormat="1" applyFont="1" applyFill="1" applyAlignment="1">
      <alignment horizontal="left"/>
    </xf>
    <xf numFmtId="0" fontId="52" fillId="5" borderId="0" xfId="0" applyFont="1" applyFill="1" applyAlignment="1">
      <alignment horizontal="left"/>
    </xf>
    <xf numFmtId="0" fontId="103" fillId="5" borderId="0" xfId="0" applyFont="1" applyFill="1" applyAlignment="1">
      <alignment vertical="center" wrapText="1"/>
    </xf>
    <xf numFmtId="0" fontId="52" fillId="5" borderId="0" xfId="26" applyFont="1" applyFill="1" applyAlignment="1" applyProtection="1">
      <alignment horizontal="center" vertical="center"/>
      <protection hidden="1"/>
    </xf>
    <xf numFmtId="0" fontId="106" fillId="5" borderId="0" xfId="0" applyFont="1" applyFill="1" applyAlignment="1" applyProtection="1">
      <alignment vertical="center" wrapText="1"/>
      <protection hidden="1"/>
    </xf>
    <xf numFmtId="0" fontId="52" fillId="5" borderId="0" xfId="26" applyFont="1" applyFill="1" applyAlignment="1" applyProtection="1">
      <alignment horizontal="right" vertical="center" wrapText="1"/>
      <protection hidden="1"/>
    </xf>
    <xf numFmtId="171" fontId="47" fillId="5" borderId="0" xfId="0" applyNumberFormat="1" applyFont="1" applyFill="1" applyAlignment="1">
      <alignment horizontal="center" vertical="center"/>
    </xf>
    <xf numFmtId="0" fontId="106" fillId="5" borderId="0" xfId="0" applyFont="1" applyFill="1" applyAlignment="1">
      <alignment vertical="center"/>
    </xf>
    <xf numFmtId="0" fontId="52" fillId="5" borderId="0" xfId="26" applyFont="1" applyFill="1" applyAlignment="1" applyProtection="1">
      <alignment horizontal="left" vertical="center" wrapText="1"/>
      <protection hidden="1"/>
    </xf>
    <xf numFmtId="0" fontId="103" fillId="5" borderId="0" xfId="0" applyFont="1" applyFill="1" applyAlignment="1">
      <alignment vertical="center"/>
    </xf>
    <xf numFmtId="0" fontId="34" fillId="5" borderId="0" xfId="0" applyFont="1" applyFill="1" applyAlignment="1">
      <alignment horizontal="left" vertical="center"/>
    </xf>
    <xf numFmtId="0" fontId="93" fillId="5" borderId="0" xfId="0" applyFont="1" applyFill="1" applyAlignment="1">
      <alignment horizontal="center" vertical="center" wrapText="1"/>
    </xf>
    <xf numFmtId="0" fontId="66" fillId="5" borderId="0" xfId="0" applyFont="1" applyFill="1" applyAlignment="1">
      <alignment vertical="center" wrapText="1"/>
    </xf>
    <xf numFmtId="0" fontId="108" fillId="5" borderId="0" xfId="0" applyFont="1" applyFill="1" applyAlignment="1">
      <alignment vertical="center" wrapText="1"/>
    </xf>
    <xf numFmtId="0" fontId="109" fillId="5" borderId="0" xfId="0" applyFont="1" applyFill="1" applyAlignment="1">
      <alignment vertical="center" wrapText="1"/>
    </xf>
    <xf numFmtId="10" fontId="103" fillId="5" borderId="0" xfId="0" applyNumberFormat="1" applyFont="1" applyFill="1" applyAlignment="1">
      <alignment horizontal="right" vertical="center"/>
    </xf>
    <xf numFmtId="14" fontId="106" fillId="5" borderId="0" xfId="0" applyNumberFormat="1" applyFont="1" applyFill="1" applyAlignment="1">
      <alignment horizontal="right" vertical="center"/>
    </xf>
    <xf numFmtId="166" fontId="115" fillId="5" borderId="0" xfId="25" quotePrefix="1" applyNumberFormat="1" applyFont="1" applyFill="1" applyAlignment="1" applyProtection="1">
      <alignment horizontal="left" vertical="center"/>
      <protection hidden="1"/>
    </xf>
    <xf numFmtId="1" fontId="116" fillId="5" borderId="0" xfId="1" applyNumberFormat="1" applyFont="1" applyFill="1" applyBorder="1" applyAlignment="1" applyProtection="1">
      <alignment horizontal="center" vertical="center" wrapText="1"/>
      <protection hidden="1"/>
    </xf>
    <xf numFmtId="0" fontId="100" fillId="5" borderId="0" xfId="25" applyFont="1" applyFill="1" applyAlignment="1" applyProtection="1">
      <alignment vertical="top" wrapText="1"/>
      <protection hidden="1"/>
    </xf>
    <xf numFmtId="0" fontId="95" fillId="5" borderId="177" xfId="0" applyFont="1" applyFill="1" applyBorder="1"/>
    <xf numFmtId="0" fontId="22" fillId="28" borderId="0" xfId="8" applyFont="1" applyFill="1" applyAlignment="1" applyProtection="1">
      <alignment vertical="center"/>
      <protection hidden="1"/>
    </xf>
    <xf numFmtId="0" fontId="27" fillId="28" borderId="0" xfId="8" applyFont="1" applyFill="1" applyAlignment="1" applyProtection="1">
      <alignment vertical="center"/>
      <protection hidden="1"/>
    </xf>
    <xf numFmtId="0" fontId="22" fillId="28" borderId="0" xfId="8" applyFont="1" applyFill="1" applyProtection="1">
      <protection hidden="1"/>
    </xf>
    <xf numFmtId="166" fontId="6" fillId="0" borderId="0" xfId="8" applyNumberFormat="1" applyFont="1" applyAlignment="1" applyProtection="1">
      <alignment horizontal="center"/>
      <protection hidden="1"/>
    </xf>
    <xf numFmtId="0" fontId="38" fillId="0" borderId="0" xfId="8" applyFont="1" applyAlignment="1" applyProtection="1">
      <alignment vertical="center"/>
      <protection hidden="1"/>
    </xf>
    <xf numFmtId="0" fontId="40" fillId="0" borderId="0" xfId="8" applyFont="1" applyAlignment="1" applyProtection="1">
      <alignment vertical="center"/>
      <protection hidden="1"/>
    </xf>
    <xf numFmtId="0" fontId="57" fillId="0" borderId="0" xfId="8" applyFont="1" applyAlignment="1" applyProtection="1">
      <alignment horizontal="left" vertical="center" wrapText="1"/>
      <protection hidden="1"/>
    </xf>
    <xf numFmtId="0" fontId="36" fillId="0" borderId="0" xfId="8" applyFont="1" applyAlignment="1" applyProtection="1">
      <alignment vertical="center"/>
      <protection hidden="1"/>
    </xf>
    <xf numFmtId="172" fontId="39" fillId="0" borderId="0" xfId="8" applyNumberFormat="1" applyFont="1" applyAlignment="1" applyProtection="1">
      <alignment horizontal="left" vertical="center"/>
      <protection locked="0"/>
    </xf>
    <xf numFmtId="0" fontId="58" fillId="0" borderId="0" xfId="8" applyFont="1" applyAlignment="1" applyProtection="1">
      <alignment horizontal="right"/>
      <protection hidden="1"/>
    </xf>
    <xf numFmtId="0" fontId="40" fillId="0" borderId="0" xfId="0" applyFont="1" applyAlignment="1" applyProtection="1">
      <alignment vertical="center" wrapText="1"/>
      <protection hidden="1"/>
    </xf>
    <xf numFmtId="0" fontId="6" fillId="0" borderId="0" xfId="8" applyFont="1" applyAlignment="1" applyProtection="1">
      <alignment vertical="center"/>
      <protection hidden="1"/>
    </xf>
    <xf numFmtId="0" fontId="40" fillId="0" borderId="0" xfId="0" applyFont="1" applyAlignment="1" applyProtection="1">
      <alignment horizontal="right" vertical="center" wrapText="1"/>
      <protection hidden="1"/>
    </xf>
    <xf numFmtId="0" fontId="6" fillId="0" borderId="0" xfId="0" applyFont="1" applyAlignment="1" applyProtection="1">
      <alignment horizontal="left" vertical="center" wrapText="1"/>
      <protection hidden="1"/>
    </xf>
    <xf numFmtId="171" fontId="6" fillId="0" borderId="0" xfId="0" applyNumberFormat="1" applyFont="1" applyAlignment="1" applyProtection="1">
      <alignment horizontal="right" vertical="center" wrapText="1"/>
      <protection hidden="1"/>
    </xf>
    <xf numFmtId="171" fontId="40" fillId="0" borderId="0" xfId="0" applyNumberFormat="1" applyFont="1" applyAlignment="1" applyProtection="1">
      <alignment horizontal="right" vertical="center" wrapText="1"/>
      <protection hidden="1"/>
    </xf>
    <xf numFmtId="171" fontId="6" fillId="0" borderId="0" xfId="0" applyNumberFormat="1" applyFont="1" applyAlignment="1" applyProtection="1">
      <alignment horizontal="left" vertical="center" wrapText="1"/>
      <protection hidden="1"/>
    </xf>
    <xf numFmtId="0" fontId="6" fillId="0" borderId="0" xfId="8" applyFont="1" applyAlignment="1" applyProtection="1">
      <alignment horizontal="left" vertical="center"/>
      <protection hidden="1"/>
    </xf>
    <xf numFmtId="0" fontId="38" fillId="0" borderId="0" xfId="8" applyFont="1" applyAlignment="1" applyProtection="1">
      <alignment horizontal="right" vertical="center"/>
      <protection hidden="1"/>
    </xf>
    <xf numFmtId="171" fontId="6" fillId="0" borderId="0" xfId="0" applyNumberFormat="1" applyFont="1" applyAlignment="1">
      <alignment horizontal="left" vertical="center" wrapText="1"/>
    </xf>
    <xf numFmtId="171" fontId="38" fillId="0" borderId="0" xfId="0" applyNumberFormat="1" applyFont="1" applyAlignment="1">
      <alignment horizontal="right" vertical="center" wrapText="1"/>
    </xf>
    <xf numFmtId="49" fontId="44" fillId="0" borderId="0" xfId="8" applyNumberFormat="1" applyFont="1" applyAlignment="1" applyProtection="1">
      <alignment horizontal="left" vertical="center" wrapText="1"/>
      <protection hidden="1"/>
    </xf>
    <xf numFmtId="49" fontId="38" fillId="0" borderId="0" xfId="8" applyNumberFormat="1" applyFont="1" applyAlignment="1">
      <alignment horizontal="left" vertical="top" wrapText="1"/>
    </xf>
    <xf numFmtId="1" fontId="62" fillId="0" borderId="0" xfId="8" applyNumberFormat="1" applyFont="1" applyAlignment="1" applyProtection="1">
      <alignment vertical="center"/>
      <protection hidden="1"/>
    </xf>
    <xf numFmtId="0" fontId="6" fillId="0" borderId="0" xfId="8" applyFont="1" applyAlignment="1" applyProtection="1">
      <alignment horizontal="center" vertical="center"/>
      <protection hidden="1"/>
    </xf>
    <xf numFmtId="0" fontId="27" fillId="5" borderId="0" xfId="8" applyFont="1" applyFill="1" applyAlignment="1" applyProtection="1">
      <alignment vertical="center"/>
      <protection hidden="1"/>
    </xf>
    <xf numFmtId="0" fontId="117" fillId="0" borderId="0" xfId="8" applyFont="1" applyAlignment="1" applyProtection="1">
      <alignment vertical="center"/>
      <protection hidden="1"/>
    </xf>
    <xf numFmtId="0" fontId="86" fillId="0" borderId="0" xfId="8" applyFont="1" applyAlignment="1" applyProtection="1">
      <alignment vertical="center"/>
      <protection hidden="1"/>
    </xf>
    <xf numFmtId="0" fontId="118" fillId="0" borderId="0" xfId="8" applyFont="1" applyAlignment="1" applyProtection="1">
      <alignment vertical="center"/>
      <protection hidden="1"/>
    </xf>
    <xf numFmtId="0" fontId="118" fillId="0" borderId="0" xfId="0" applyFont="1" applyAlignment="1" applyProtection="1">
      <alignment horizontal="left" vertical="center" wrapText="1"/>
      <protection hidden="1"/>
    </xf>
    <xf numFmtId="49" fontId="119" fillId="0" borderId="0" xfId="8" applyNumberFormat="1" applyFont="1" applyAlignment="1" applyProtection="1">
      <alignment horizontal="left" vertical="center" wrapText="1"/>
      <protection hidden="1"/>
    </xf>
    <xf numFmtId="0" fontId="117" fillId="0" borderId="0" xfId="0" applyFont="1" applyAlignment="1" applyProtection="1">
      <alignment horizontal="right" vertical="center" wrapText="1"/>
      <protection hidden="1"/>
    </xf>
    <xf numFmtId="0" fontId="86" fillId="0" borderId="0" xfId="8" applyFont="1" applyAlignment="1" applyProtection="1">
      <alignment horizontal="right" vertical="center"/>
      <protection hidden="1"/>
    </xf>
    <xf numFmtId="171" fontId="86" fillId="0" borderId="0" xfId="0" applyNumberFormat="1" applyFont="1" applyAlignment="1">
      <alignment horizontal="right" vertical="center" wrapText="1"/>
    </xf>
    <xf numFmtId="0" fontId="118" fillId="0" borderId="0" xfId="8" applyFont="1" applyAlignment="1" applyProtection="1">
      <alignment horizontal="right" vertical="center"/>
      <protection hidden="1"/>
    </xf>
    <xf numFmtId="0" fontId="117" fillId="0" borderId="0" xfId="8" applyFont="1" applyProtection="1">
      <protection hidden="1"/>
    </xf>
    <xf numFmtId="49" fontId="86" fillId="0" borderId="0" xfId="8" applyNumberFormat="1" applyFont="1" applyAlignment="1">
      <alignment horizontal="left" vertical="top" wrapText="1"/>
    </xf>
    <xf numFmtId="0" fontId="86" fillId="0" borderId="0" xfId="8" applyFont="1" applyAlignment="1" applyProtection="1">
      <alignment horizontal="left" vertical="center" wrapText="1"/>
      <protection hidden="1"/>
    </xf>
    <xf numFmtId="0" fontId="86" fillId="0" borderId="0" xfId="8" applyFont="1" applyProtection="1">
      <protection hidden="1"/>
    </xf>
    <xf numFmtId="1" fontId="86" fillId="0" borderId="0" xfId="8" applyNumberFormat="1" applyFont="1" applyAlignment="1" applyProtection="1">
      <alignment vertical="center"/>
      <protection hidden="1"/>
    </xf>
    <xf numFmtId="0" fontId="121" fillId="0" borderId="0" xfId="2" applyFont="1" applyBorder="1" applyAlignment="1" applyProtection="1">
      <protection locked="0" hidden="1"/>
    </xf>
    <xf numFmtId="0" fontId="118" fillId="0" borderId="0" xfId="0" applyFont="1"/>
    <xf numFmtId="0" fontId="100" fillId="0" borderId="0" xfId="8" applyFont="1" applyAlignment="1" applyProtection="1">
      <alignment vertical="center"/>
      <protection hidden="1"/>
    </xf>
    <xf numFmtId="0" fontId="100" fillId="0" borderId="0" xfId="8" applyFont="1" applyProtection="1">
      <protection hidden="1"/>
    </xf>
    <xf numFmtId="0" fontId="34" fillId="14" borderId="114" xfId="10" applyFont="1" applyFill="1" applyBorder="1" applyAlignment="1" applyProtection="1">
      <alignment horizontal="center" vertical="center" wrapText="1"/>
      <protection hidden="1"/>
    </xf>
    <xf numFmtId="0" fontId="34" fillId="14" borderId="66" xfId="10" applyFont="1" applyFill="1" applyBorder="1" applyAlignment="1" applyProtection="1">
      <alignment horizontal="center" vertical="center" wrapText="1"/>
      <protection hidden="1"/>
    </xf>
    <xf numFmtId="0" fontId="34" fillId="14" borderId="183" xfId="10" applyFont="1" applyFill="1" applyBorder="1" applyAlignment="1" applyProtection="1">
      <alignment horizontal="center" vertical="center" wrapText="1"/>
      <protection hidden="1"/>
    </xf>
    <xf numFmtId="0" fontId="34" fillId="14" borderId="181" xfId="10" applyFont="1" applyFill="1" applyBorder="1" applyAlignment="1" applyProtection="1">
      <alignment horizontal="center" vertical="center" wrapText="1"/>
      <protection hidden="1"/>
    </xf>
    <xf numFmtId="49" fontId="40" fillId="0" borderId="1" xfId="8" applyNumberFormat="1" applyFont="1" applyBorder="1" applyAlignment="1" applyProtection="1">
      <alignment horizontal="center" vertical="center" wrapText="1"/>
      <protection locked="0"/>
    </xf>
    <xf numFmtId="49" fontId="40" fillId="0" borderId="23" xfId="8" applyNumberFormat="1" applyFont="1" applyBorder="1" applyAlignment="1" applyProtection="1">
      <alignment horizontal="center" vertical="center" wrapText="1"/>
      <protection locked="0"/>
    </xf>
    <xf numFmtId="0" fontId="34" fillId="14" borderId="67" xfId="10" applyFont="1" applyFill="1" applyBorder="1" applyAlignment="1" applyProtection="1">
      <alignment horizontal="center" vertical="center" wrapText="1"/>
      <protection hidden="1"/>
    </xf>
    <xf numFmtId="0" fontId="34" fillId="14" borderId="68" xfId="10" applyFont="1" applyFill="1" applyBorder="1" applyAlignment="1" applyProtection="1">
      <alignment horizontal="center" vertical="center" wrapText="1"/>
      <protection hidden="1"/>
    </xf>
    <xf numFmtId="14" fontId="38" fillId="14" borderId="65" xfId="10" applyNumberFormat="1" applyFont="1" applyFill="1" applyBorder="1" applyAlignment="1" applyProtection="1">
      <alignment horizontal="center" vertical="center"/>
      <protection locked="0"/>
    </xf>
    <xf numFmtId="1" fontId="38" fillId="14" borderId="26" xfId="10" applyNumberFormat="1" applyFont="1" applyFill="1" applyBorder="1" applyAlignment="1" applyProtection="1">
      <alignment horizontal="center" vertical="center"/>
      <protection locked="0"/>
    </xf>
    <xf numFmtId="0" fontId="6" fillId="29" borderId="182" xfId="10" applyFont="1" applyFill="1" applyBorder="1" applyAlignment="1" applyProtection="1">
      <alignment vertical="center"/>
      <protection hidden="1"/>
    </xf>
    <xf numFmtId="0" fontId="6" fillId="29" borderId="32" xfId="10" applyFont="1" applyFill="1" applyBorder="1" applyAlignment="1" applyProtection="1">
      <alignment vertical="center"/>
      <protection hidden="1"/>
    </xf>
    <xf numFmtId="0" fontId="6" fillId="29" borderId="33" xfId="10" applyFont="1" applyFill="1" applyBorder="1" applyAlignment="1" applyProtection="1">
      <alignment vertical="center"/>
      <protection hidden="1"/>
    </xf>
    <xf numFmtId="0" fontId="54" fillId="29" borderId="185" xfId="10" applyFont="1" applyFill="1" applyBorder="1" applyAlignment="1" applyProtection="1">
      <alignment horizontal="center" vertical="center"/>
      <protection hidden="1"/>
    </xf>
    <xf numFmtId="0" fontId="6" fillId="29" borderId="186" xfId="10" applyFont="1" applyFill="1" applyBorder="1" applyAlignment="1" applyProtection="1">
      <alignment vertical="center"/>
      <protection hidden="1"/>
    </xf>
    <xf numFmtId="0" fontId="54" fillId="29" borderId="187" xfId="10" applyFont="1" applyFill="1" applyBorder="1" applyAlignment="1" applyProtection="1">
      <alignment horizontal="center" vertical="center"/>
      <protection hidden="1"/>
    </xf>
    <xf numFmtId="0" fontId="6" fillId="29" borderId="189" xfId="10" applyFont="1" applyFill="1" applyBorder="1" applyAlignment="1" applyProtection="1">
      <alignment vertical="center"/>
      <protection hidden="1"/>
    </xf>
    <xf numFmtId="0" fontId="6" fillId="29" borderId="192" xfId="10" applyFont="1" applyFill="1" applyBorder="1" applyAlignment="1" applyProtection="1">
      <alignment vertical="center"/>
      <protection hidden="1"/>
    </xf>
    <xf numFmtId="0" fontId="61" fillId="14" borderId="114" xfId="10" applyFont="1" applyFill="1" applyBorder="1" applyAlignment="1" applyProtection="1">
      <alignment horizontal="center" vertical="center" wrapText="1"/>
      <protection hidden="1"/>
    </xf>
    <xf numFmtId="0" fontId="38" fillId="14" borderId="67" xfId="10" applyFont="1" applyFill="1" applyBorder="1" applyAlignment="1" applyProtection="1">
      <alignment vertical="center"/>
      <protection hidden="1"/>
    </xf>
    <xf numFmtId="0" fontId="54" fillId="29" borderId="193" xfId="10" applyFont="1" applyFill="1" applyBorder="1" applyAlignment="1" applyProtection="1">
      <alignment horizontal="center" vertical="center" wrapText="1"/>
      <protection hidden="1"/>
    </xf>
    <xf numFmtId="0" fontId="6" fillId="29" borderId="194" xfId="10" applyFont="1" applyFill="1" applyBorder="1" applyAlignment="1" applyProtection="1">
      <alignment vertical="center"/>
      <protection hidden="1"/>
    </xf>
    <xf numFmtId="166" fontId="17" fillId="14" borderId="0" xfId="8" applyNumberFormat="1" applyFont="1" applyFill="1" applyAlignment="1" applyProtection="1">
      <alignment horizontal="center"/>
      <protection hidden="1"/>
    </xf>
    <xf numFmtId="0" fontId="6" fillId="28" borderId="0" xfId="0" applyFont="1" applyFill="1" applyAlignment="1">
      <alignment horizontal="center"/>
    </xf>
    <xf numFmtId="166" fontId="6" fillId="28" borderId="0" xfId="0" applyNumberFormat="1" applyFont="1" applyFill="1" applyAlignment="1">
      <alignment horizontal="center"/>
    </xf>
    <xf numFmtId="0" fontId="6" fillId="28" borderId="0" xfId="0" applyFont="1" applyFill="1" applyAlignment="1">
      <alignment horizontal="left" wrapText="1"/>
    </xf>
    <xf numFmtId="1" fontId="6" fillId="28" borderId="0" xfId="0" applyNumberFormat="1" applyFont="1" applyFill="1" applyAlignment="1">
      <alignment horizontal="center"/>
    </xf>
    <xf numFmtId="0" fontId="6" fillId="28" borderId="0" xfId="0" applyFont="1" applyFill="1" applyAlignment="1">
      <alignment horizontal="left"/>
    </xf>
    <xf numFmtId="5" fontId="6" fillId="28" borderId="0" xfId="1" applyNumberFormat="1" applyFont="1" applyFill="1"/>
    <xf numFmtId="164" fontId="6" fillId="28" borderId="0" xfId="0" applyNumberFormat="1" applyFont="1" applyFill="1"/>
    <xf numFmtId="0" fontId="6" fillId="28" borderId="0" xfId="0" applyFont="1" applyFill="1"/>
    <xf numFmtId="0" fontId="17" fillId="28" borderId="0" xfId="0" applyFont="1" applyFill="1"/>
    <xf numFmtId="0" fontId="17" fillId="28" borderId="0" xfId="0" applyFont="1" applyFill="1" applyAlignment="1">
      <alignment horizontal="center"/>
    </xf>
    <xf numFmtId="166" fontId="17" fillId="28" borderId="0" xfId="0" applyNumberFormat="1" applyFont="1" applyFill="1" applyAlignment="1">
      <alignment horizontal="center"/>
    </xf>
    <xf numFmtId="0" fontId="17" fillId="28" borderId="0" xfId="0" applyFont="1" applyFill="1" applyAlignment="1">
      <alignment horizontal="left" wrapText="1"/>
    </xf>
    <xf numFmtId="1" fontId="17" fillId="28" borderId="0" xfId="0" applyNumberFormat="1" applyFont="1" applyFill="1" applyAlignment="1">
      <alignment horizontal="center"/>
    </xf>
    <xf numFmtId="0" fontId="17" fillId="28" borderId="0" xfId="0" applyFont="1" applyFill="1" applyAlignment="1">
      <alignment horizontal="left"/>
    </xf>
    <xf numFmtId="5" fontId="17" fillId="28" borderId="0" xfId="1" applyNumberFormat="1" applyFont="1" applyFill="1"/>
    <xf numFmtId="164" fontId="17" fillId="28" borderId="0" xfId="0" applyNumberFormat="1" applyFont="1" applyFill="1"/>
    <xf numFmtId="0" fontId="17" fillId="28" borderId="152" xfId="0" applyFont="1" applyFill="1" applyBorder="1"/>
    <xf numFmtId="169" fontId="89" fillId="28" borderId="152" xfId="0" applyNumberFormat="1" applyFont="1" applyFill="1" applyBorder="1" applyAlignment="1">
      <alignment horizontal="right" vertical="center"/>
    </xf>
    <xf numFmtId="0" fontId="17" fillId="28" borderId="0" xfId="0" applyFont="1" applyFill="1" applyAlignment="1">
      <alignment vertical="center"/>
    </xf>
    <xf numFmtId="0" fontId="54" fillId="0" borderId="2" xfId="0" applyFont="1" applyBorder="1" applyAlignment="1">
      <alignment horizontal="left" vertical="top" wrapText="1"/>
    </xf>
    <xf numFmtId="171" fontId="78" fillId="29" borderId="169" xfId="0" applyNumberFormat="1" applyFont="1" applyFill="1" applyBorder="1" applyAlignment="1" applyProtection="1">
      <alignment horizontal="center" vertical="center"/>
      <protection hidden="1"/>
    </xf>
    <xf numFmtId="0" fontId="81" fillId="5" borderId="0" xfId="0" applyFont="1" applyFill="1"/>
    <xf numFmtId="0" fontId="76" fillId="28" borderId="0" xfId="0" applyFont="1" applyFill="1"/>
    <xf numFmtId="0" fontId="76" fillId="28" borderId="0" xfId="0" applyFont="1" applyFill="1" applyAlignment="1">
      <alignment vertical="center"/>
    </xf>
    <xf numFmtId="0" fontId="86" fillId="0" borderId="177" xfId="8" applyFont="1" applyBorder="1" applyAlignment="1" applyProtection="1">
      <alignment horizontal="left" vertical="center"/>
      <protection hidden="1"/>
    </xf>
    <xf numFmtId="0" fontId="38" fillId="0" borderId="177" xfId="8" applyFont="1" applyBorder="1" applyAlignment="1" applyProtection="1">
      <alignment vertical="center"/>
      <protection hidden="1"/>
    </xf>
    <xf numFmtId="171" fontId="38" fillId="0" borderId="1" xfId="0" applyNumberFormat="1" applyFont="1" applyBorder="1" applyAlignment="1" applyProtection="1">
      <alignment horizontal="right" vertical="center" wrapText="1"/>
      <protection locked="0"/>
    </xf>
    <xf numFmtId="171" fontId="6" fillId="29" borderId="1" xfId="0" applyNumberFormat="1" applyFont="1" applyFill="1" applyBorder="1" applyAlignment="1">
      <alignment horizontal="right" vertical="center" wrapText="1"/>
    </xf>
    <xf numFmtId="166" fontId="96" fillId="14" borderId="0" xfId="25" quotePrefix="1" applyNumberFormat="1" applyFont="1" applyFill="1" applyAlignment="1" applyProtection="1">
      <alignment horizontal="left" vertical="center"/>
      <protection hidden="1"/>
    </xf>
    <xf numFmtId="166" fontId="96" fillId="14" borderId="0" xfId="25" quotePrefix="1" applyNumberFormat="1" applyFont="1" applyFill="1" applyAlignment="1" applyProtection="1">
      <alignment vertical="center"/>
      <protection hidden="1"/>
    </xf>
    <xf numFmtId="0" fontId="81" fillId="5" borderId="0" xfId="25" applyFont="1" applyFill="1" applyAlignment="1" applyProtection="1">
      <alignment horizontal="center" vertical="center"/>
      <protection locked="0" hidden="1"/>
    </xf>
    <xf numFmtId="0" fontId="81" fillId="5" borderId="0" xfId="0" applyFont="1" applyFill="1" applyAlignment="1">
      <alignment horizontal="left"/>
    </xf>
    <xf numFmtId="166" fontId="86" fillId="5" borderId="0" xfId="25" quotePrefix="1" applyNumberFormat="1" applyFont="1" applyFill="1" applyAlignment="1" applyProtection="1">
      <alignment vertical="center"/>
      <protection hidden="1"/>
    </xf>
    <xf numFmtId="14" fontId="123" fillId="5" borderId="0" xfId="0" applyNumberFormat="1" applyFont="1" applyFill="1" applyAlignment="1">
      <alignment vertical="center" wrapText="1"/>
    </xf>
    <xf numFmtId="14" fontId="81" fillId="5" borderId="0" xfId="0" applyNumberFormat="1" applyFont="1" applyFill="1" applyAlignment="1">
      <alignment horizontal="left"/>
    </xf>
    <xf numFmtId="175" fontId="39" fillId="0" borderId="1" xfId="8" applyNumberFormat="1" applyFont="1" applyBorder="1" applyAlignment="1" applyProtection="1">
      <alignment horizontal="left" vertical="center"/>
      <protection locked="0"/>
    </xf>
    <xf numFmtId="171" fontId="107" fillId="5" borderId="0" xfId="0" applyNumberFormat="1" applyFont="1" applyFill="1" applyAlignment="1" applyProtection="1">
      <alignment horizontal="right" vertical="center" wrapText="1"/>
      <protection hidden="1"/>
    </xf>
    <xf numFmtId="0" fontId="122" fillId="5" borderId="0" xfId="25" applyFont="1" applyFill="1" applyAlignment="1" applyProtection="1">
      <alignment horizontal="center" vertical="center" wrapText="1"/>
      <protection hidden="1"/>
    </xf>
    <xf numFmtId="171" fontId="99" fillId="5" borderId="1" xfId="27" applyNumberFormat="1" applyFont="1" applyFill="1" applyBorder="1" applyAlignment="1" applyProtection="1">
      <alignment horizontal="center" vertical="center" wrapText="1"/>
      <protection locked="0" hidden="1"/>
    </xf>
    <xf numFmtId="171" fontId="107" fillId="29" borderId="1" xfId="25" applyNumberFormat="1" applyFont="1" applyFill="1" applyBorder="1" applyAlignment="1" applyProtection="1">
      <alignment horizontal="center" vertical="center" wrapText="1"/>
      <protection hidden="1"/>
    </xf>
    <xf numFmtId="166" fontId="96" fillId="5" borderId="0" xfId="25" applyNumberFormat="1" applyFont="1" applyFill="1" applyAlignment="1" applyProtection="1">
      <alignment horizontal="left" vertical="center"/>
      <protection hidden="1"/>
    </xf>
    <xf numFmtId="44" fontId="98" fillId="5" borderId="0" xfId="1" applyNumberFormat="1" applyFont="1" applyFill="1" applyAlignment="1" applyProtection="1">
      <alignment horizontal="center" vertical="center" wrapText="1"/>
      <protection hidden="1"/>
    </xf>
    <xf numFmtId="0" fontId="100" fillId="5" borderId="0" xfId="25" applyFont="1" applyFill="1" applyAlignment="1" applyProtection="1">
      <alignment horizontal="left" vertical="top"/>
      <protection hidden="1"/>
    </xf>
    <xf numFmtId="0" fontId="86" fillId="5" borderId="0" xfId="25" applyFont="1" applyFill="1" applyAlignment="1" applyProtection="1">
      <alignment horizontal="left" vertical="top"/>
      <protection hidden="1"/>
    </xf>
    <xf numFmtId="0" fontId="122" fillId="5" borderId="0" xfId="25" applyFont="1" applyFill="1" applyAlignment="1" applyProtection="1">
      <alignment horizontal="left" wrapText="1"/>
      <protection hidden="1"/>
    </xf>
    <xf numFmtId="0" fontId="117" fillId="5" borderId="0" xfId="25" applyFont="1" applyFill="1" applyAlignment="1" applyProtection="1">
      <alignment horizontal="right" vertical="center" wrapText="1"/>
      <protection hidden="1"/>
    </xf>
    <xf numFmtId="0" fontId="125" fillId="5" borderId="0" xfId="0" applyFont="1" applyFill="1"/>
    <xf numFmtId="14" fontId="99" fillId="29" borderId="1" xfId="1" applyNumberFormat="1" applyFont="1" applyFill="1" applyBorder="1" applyAlignment="1" applyProtection="1">
      <alignment horizontal="center" vertical="center" wrapText="1"/>
      <protection hidden="1"/>
    </xf>
    <xf numFmtId="1" fontId="99" fillId="5" borderId="1" xfId="1" applyNumberFormat="1" applyFont="1" applyFill="1" applyBorder="1" applyAlignment="1" applyProtection="1">
      <alignment horizontal="center" vertical="center" wrapText="1"/>
      <protection locked="0" hidden="1"/>
    </xf>
    <xf numFmtId="44" fontId="122" fillId="5" borderId="0" xfId="0" applyNumberFormat="1" applyFont="1" applyFill="1" applyAlignment="1">
      <alignment vertical="center" wrapText="1"/>
    </xf>
    <xf numFmtId="44" fontId="122" fillId="5" borderId="0" xfId="0" applyNumberFormat="1" applyFont="1" applyFill="1" applyAlignment="1">
      <alignment horizontal="center" vertical="center" wrapText="1"/>
    </xf>
    <xf numFmtId="0" fontId="118" fillId="5" borderId="0" xfId="0" applyFont="1" applyFill="1" applyAlignment="1">
      <alignment horizontal="center" vertical="center"/>
    </xf>
    <xf numFmtId="2" fontId="120" fillId="5" borderId="0" xfId="0" applyNumberFormat="1" applyFont="1" applyFill="1" applyAlignment="1">
      <alignment horizontal="left" vertical="center"/>
    </xf>
    <xf numFmtId="0" fontId="122" fillId="5" borderId="0" xfId="0" applyFont="1" applyFill="1" applyAlignment="1">
      <alignment vertical="center"/>
    </xf>
    <xf numFmtId="0" fontId="126" fillId="5" borderId="0" xfId="0" applyFont="1" applyFill="1" applyAlignment="1">
      <alignment vertical="center" wrapText="1"/>
    </xf>
    <xf numFmtId="8" fontId="81" fillId="5" borderId="0" xfId="26" applyNumberFormat="1" applyFont="1" applyFill="1" applyAlignment="1" applyProtection="1">
      <alignment vertical="center" wrapText="1"/>
      <protection hidden="1"/>
    </xf>
    <xf numFmtId="171" fontId="81" fillId="5" borderId="0" xfId="26" applyNumberFormat="1" applyFont="1" applyFill="1" applyAlignment="1" applyProtection="1">
      <alignment vertical="center" wrapText="1"/>
      <protection hidden="1"/>
    </xf>
    <xf numFmtId="0" fontId="1" fillId="3" borderId="0" xfId="0" applyFont="1" applyFill="1"/>
    <xf numFmtId="0" fontId="1" fillId="5" borderId="82" xfId="0" applyFont="1" applyFill="1" applyBorder="1"/>
    <xf numFmtId="0" fontId="1" fillId="3" borderId="0" xfId="0" applyFont="1" applyFill="1" applyAlignment="1">
      <alignment vertical="top" wrapText="1"/>
    </xf>
    <xf numFmtId="0" fontId="1" fillId="5" borderId="0" xfId="0" applyFont="1" applyFill="1" applyAlignment="1">
      <alignment horizontal="left" vertical="top" wrapText="1"/>
    </xf>
    <xf numFmtId="0" fontId="1" fillId="5" borderId="83" xfId="0" applyFont="1" applyFill="1" applyBorder="1" applyAlignment="1">
      <alignment horizontal="left" vertical="top" wrapText="1"/>
    </xf>
    <xf numFmtId="0" fontId="1" fillId="5" borderId="0" xfId="0" applyFont="1" applyFill="1"/>
    <xf numFmtId="0" fontId="1" fillId="5" borderId="83" xfId="0" applyFont="1" applyFill="1" applyBorder="1"/>
    <xf numFmtId="0" fontId="1" fillId="0" borderId="0" xfId="8" applyFont="1" applyAlignment="1" applyProtection="1">
      <alignment vertical="center"/>
      <protection hidden="1"/>
    </xf>
    <xf numFmtId="0" fontId="1" fillId="28" borderId="0" xfId="8" applyFont="1" applyFill="1" applyAlignment="1" applyProtection="1">
      <alignment vertical="center"/>
      <protection hidden="1"/>
    </xf>
    <xf numFmtId="0" fontId="1" fillId="0" borderId="0" xfId="8" applyFont="1" applyAlignment="1" applyProtection="1">
      <alignment horizontal="center" vertical="center"/>
      <protection hidden="1"/>
    </xf>
    <xf numFmtId="0" fontId="1" fillId="28" borderId="0" xfId="8" applyFont="1" applyFill="1" applyAlignment="1" applyProtection="1">
      <alignment horizontal="center" vertical="center"/>
      <protection hidden="1"/>
    </xf>
    <xf numFmtId="0" fontId="1" fillId="0" borderId="0" xfId="8" applyFont="1" applyProtection="1">
      <protection hidden="1"/>
    </xf>
    <xf numFmtId="0" fontId="1" fillId="5" borderId="0" xfId="8" applyFont="1" applyFill="1" applyAlignment="1" applyProtection="1">
      <alignment vertical="center"/>
      <protection hidden="1"/>
    </xf>
    <xf numFmtId="1" fontId="78" fillId="29" borderId="169" xfId="0" applyNumberFormat="1" applyFont="1" applyFill="1" applyBorder="1" applyAlignment="1" applyProtection="1">
      <alignment horizontal="center" vertical="center"/>
      <protection hidden="1"/>
    </xf>
    <xf numFmtId="0" fontId="1" fillId="0" borderId="0" xfId="18" applyFont="1" applyAlignment="1" applyProtection="1">
      <alignment vertical="center"/>
      <protection hidden="1"/>
    </xf>
    <xf numFmtId="0" fontId="1" fillId="0" borderId="80" xfId="18" applyFont="1" applyBorder="1" applyAlignment="1" applyProtection="1">
      <alignment vertical="center"/>
      <protection hidden="1"/>
    </xf>
    <xf numFmtId="0" fontId="1" fillId="0" borderId="81" xfId="18" applyFont="1" applyBorder="1" applyAlignment="1" applyProtection="1">
      <alignment vertical="center"/>
      <protection hidden="1"/>
    </xf>
    <xf numFmtId="0" fontId="1" fillId="0" borderId="83" xfId="18" applyFont="1" applyBorder="1" applyAlignment="1" applyProtection="1">
      <alignment vertical="center"/>
      <protection hidden="1"/>
    </xf>
    <xf numFmtId="0" fontId="1" fillId="5" borderId="0" xfId="18" applyFont="1" applyFill="1" applyAlignment="1" applyProtection="1">
      <alignment vertical="center"/>
      <protection hidden="1"/>
    </xf>
    <xf numFmtId="0" fontId="1" fillId="5" borderId="83" xfId="18" applyFont="1" applyFill="1" applyBorder="1" applyAlignment="1" applyProtection="1">
      <alignment vertical="center"/>
      <protection hidden="1"/>
    </xf>
    <xf numFmtId="0" fontId="1" fillId="0" borderId="0" xfId="18" applyFont="1" applyAlignment="1" applyProtection="1">
      <alignment vertical="center" wrapText="1"/>
      <protection hidden="1"/>
    </xf>
    <xf numFmtId="0" fontId="1" fillId="0" borderId="0" xfId="18" applyFont="1" applyAlignment="1" applyProtection="1">
      <alignment vertical="top"/>
      <protection hidden="1"/>
    </xf>
    <xf numFmtId="0" fontId="1" fillId="0" borderId="83" xfId="18" applyFont="1" applyBorder="1" applyAlignment="1" applyProtection="1">
      <alignment vertical="top"/>
      <protection hidden="1"/>
    </xf>
    <xf numFmtId="0" fontId="1" fillId="0" borderId="48" xfId="18" applyFont="1" applyBorder="1" applyAlignment="1" applyProtection="1">
      <alignment vertical="center"/>
      <protection hidden="1"/>
    </xf>
    <xf numFmtId="0" fontId="1" fillId="0" borderId="0" xfId="18" applyFont="1" applyAlignment="1" applyProtection="1">
      <alignment horizontal="left" vertical="top"/>
      <protection hidden="1"/>
    </xf>
    <xf numFmtId="0" fontId="1" fillId="0" borderId="83" xfId="18" applyFont="1" applyBorder="1" applyAlignment="1" applyProtection="1">
      <alignment horizontal="left" vertical="top"/>
      <protection hidden="1"/>
    </xf>
    <xf numFmtId="0" fontId="1" fillId="14" borderId="100" xfId="18" applyFont="1" applyFill="1" applyBorder="1" applyAlignment="1" applyProtection="1">
      <alignment vertical="center"/>
      <protection hidden="1"/>
    </xf>
    <xf numFmtId="0" fontId="1" fillId="14" borderId="101" xfId="18" applyFont="1" applyFill="1" applyBorder="1" applyAlignment="1" applyProtection="1">
      <alignment vertical="center"/>
      <protection hidden="1"/>
    </xf>
    <xf numFmtId="0" fontId="1" fillId="22" borderId="87" xfId="20" applyFont="1" applyFill="1" applyBorder="1" applyAlignment="1">
      <alignment vertical="center"/>
    </xf>
    <xf numFmtId="0" fontId="1" fillId="0" borderId="150" xfId="20" applyFont="1" applyBorder="1" applyAlignment="1">
      <alignment vertical="center"/>
    </xf>
    <xf numFmtId="0" fontId="17" fillId="25" borderId="152" xfId="0" applyFont="1" applyFill="1" applyBorder="1"/>
    <xf numFmtId="169" fontId="28" fillId="0" borderId="28" xfId="4" applyNumberFormat="1" applyFont="1" applyBorder="1" applyAlignment="1">
      <alignment horizontal="center" vertical="center" wrapText="1"/>
    </xf>
    <xf numFmtId="0" fontId="6" fillId="0" borderId="82" xfId="17" applyFont="1" applyBorder="1" applyAlignment="1" applyProtection="1">
      <alignment horizontal="left" vertical="top" wrapText="1"/>
      <protection hidden="1"/>
    </xf>
    <xf numFmtId="49" fontId="38" fillId="0" borderId="47" xfId="8" applyNumberFormat="1" applyFont="1" applyBorder="1" applyAlignment="1" applyProtection="1">
      <alignment horizontal="left" vertical="top" wrapText="1"/>
      <protection locked="0"/>
    </xf>
    <xf numFmtId="0" fontId="6" fillId="5" borderId="0" xfId="0" applyFont="1" applyFill="1" applyAlignment="1">
      <alignment horizontal="left" vertical="center" wrapText="1"/>
    </xf>
    <xf numFmtId="171" fontId="6" fillId="5" borderId="0" xfId="1" applyNumberFormat="1" applyFont="1" applyFill="1" applyBorder="1" applyAlignment="1" applyProtection="1">
      <alignment horizontal="center" vertical="center" wrapText="1"/>
      <protection locked="0"/>
    </xf>
    <xf numFmtId="171" fontId="6" fillId="0" borderId="0" xfId="1" applyNumberFormat="1" applyFont="1" applyFill="1" applyBorder="1" applyAlignment="1" applyProtection="1">
      <alignment horizontal="center" vertical="center" wrapText="1"/>
      <protection hidden="1"/>
    </xf>
    <xf numFmtId="164" fontId="6" fillId="0" borderId="0" xfId="1" applyNumberFormat="1" applyFont="1" applyFill="1" applyBorder="1" applyAlignment="1" applyProtection="1">
      <alignment horizontal="center" vertical="center" wrapText="1"/>
      <protection hidden="1"/>
    </xf>
    <xf numFmtId="2" fontId="6" fillId="0" borderId="0" xfId="1" applyNumberFormat="1" applyFont="1" applyFill="1" applyBorder="1" applyAlignment="1" applyProtection="1">
      <alignment horizontal="center" vertical="center" wrapText="1"/>
      <protection hidden="1"/>
    </xf>
    <xf numFmtId="167" fontId="6" fillId="0" borderId="0" xfId="1" applyNumberFormat="1" applyFont="1" applyFill="1" applyBorder="1" applyAlignment="1" applyProtection="1">
      <alignment horizontal="right" vertical="center" wrapText="1" indent="1"/>
      <protection hidden="1"/>
    </xf>
    <xf numFmtId="43" fontId="6" fillId="0" borderId="0" xfId="1" applyFont="1" applyFill="1" applyBorder="1" applyAlignment="1" applyProtection="1">
      <alignment horizontal="right" vertical="center" wrapText="1" indent="1"/>
      <protection hidden="1"/>
    </xf>
    <xf numFmtId="43" fontId="6" fillId="0" borderId="0" xfId="1"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171" fontId="6" fillId="5" borderId="13" xfId="1" applyNumberFormat="1" applyFont="1" applyFill="1" applyBorder="1" applyAlignment="1" applyProtection="1">
      <alignment horizontal="center" vertical="center" wrapText="1"/>
      <protection locked="0"/>
    </xf>
    <xf numFmtId="0" fontId="92" fillId="0" borderId="15" xfId="0" applyFont="1" applyBorder="1" applyAlignment="1">
      <alignment vertical="center"/>
    </xf>
    <xf numFmtId="0" fontId="92" fillId="0" borderId="0" xfId="0" applyFont="1" applyAlignment="1">
      <alignment vertical="center"/>
    </xf>
    <xf numFmtId="0" fontId="128" fillId="31" borderId="13" xfId="0" applyFont="1" applyFill="1" applyBorder="1" applyAlignment="1">
      <alignment horizontal="center" vertical="center"/>
    </xf>
    <xf numFmtId="0" fontId="129" fillId="31" borderId="14" xfId="0" applyFont="1" applyFill="1" applyBorder="1" applyAlignment="1">
      <alignment horizontal="center" vertical="center" wrapText="1"/>
    </xf>
    <xf numFmtId="0" fontId="92" fillId="0" borderId="198" xfId="0" applyFont="1" applyBorder="1" applyAlignment="1">
      <alignment horizontal="center" vertical="center"/>
    </xf>
    <xf numFmtId="0" fontId="92" fillId="0" borderId="200" xfId="0" applyFont="1" applyBorder="1" applyAlignment="1">
      <alignment horizontal="center" vertical="center"/>
    </xf>
    <xf numFmtId="0" fontId="92" fillId="31" borderId="6" xfId="0" applyFont="1" applyFill="1" applyBorder="1" applyAlignment="1">
      <alignment vertical="center"/>
    </xf>
    <xf numFmtId="0" fontId="81" fillId="0" borderId="145" xfId="0" applyFont="1" applyBorder="1" applyAlignment="1" applyProtection="1">
      <alignment horizontal="center" vertical="center"/>
      <protection hidden="1"/>
    </xf>
    <xf numFmtId="168" fontId="80" fillId="0" borderId="207" xfId="1" applyNumberFormat="1" applyFont="1" applyBorder="1" applyAlignment="1" applyProtection="1">
      <alignment horizontal="left" vertical="center" indent="1"/>
      <protection hidden="1"/>
    </xf>
    <xf numFmtId="0" fontId="129" fillId="31" borderId="3" xfId="0" applyFont="1" applyFill="1" applyBorder="1" applyAlignment="1">
      <alignment horizontal="center" vertical="center" wrapText="1"/>
    </xf>
    <xf numFmtId="0" fontId="129" fillId="31" borderId="13" xfId="0" applyFont="1" applyFill="1" applyBorder="1" applyAlignment="1">
      <alignment horizontal="center" vertical="center" wrapText="1"/>
    </xf>
    <xf numFmtId="168" fontId="81" fillId="0" borderId="115" xfId="1" applyNumberFormat="1" applyFont="1" applyBorder="1" applyAlignment="1" applyProtection="1">
      <alignment horizontal="left" vertical="center" indent="1"/>
      <protection hidden="1"/>
    </xf>
    <xf numFmtId="0" fontId="6" fillId="5" borderId="83" xfId="0" applyFont="1" applyFill="1" applyBorder="1" applyAlignment="1">
      <alignment horizontal="left" vertical="center" wrapText="1"/>
    </xf>
    <xf numFmtId="0" fontId="30" fillId="17" borderId="1" xfId="0" applyFont="1" applyFill="1" applyBorder="1" applyAlignment="1" applyProtection="1">
      <alignment horizontal="left" vertical="top" wrapText="1"/>
      <protection locked="0" hidden="1"/>
    </xf>
    <xf numFmtId="0" fontId="30" fillId="14" borderId="1" xfId="0" applyFont="1" applyFill="1" applyBorder="1" applyAlignment="1" applyProtection="1">
      <alignment vertical="top" wrapText="1"/>
      <protection locked="0" hidden="1"/>
    </xf>
    <xf numFmtId="0" fontId="30" fillId="14" borderId="1" xfId="0" applyFont="1" applyFill="1" applyBorder="1" applyAlignment="1" applyProtection="1">
      <alignment horizontal="left" vertical="top" wrapText="1"/>
      <protection locked="0" hidden="1"/>
    </xf>
    <xf numFmtId="0" fontId="17" fillId="32" borderId="1" xfId="0" applyFont="1" applyFill="1" applyBorder="1" applyAlignment="1" applyProtection="1">
      <alignment horizontal="left" vertical="top" wrapText="1"/>
      <protection locked="0" hidden="1"/>
    </xf>
    <xf numFmtId="171" fontId="6" fillId="33" borderId="13" xfId="1" applyNumberFormat="1" applyFont="1" applyFill="1" applyBorder="1" applyAlignment="1" applyProtection="1">
      <alignment horizontal="center" vertical="center" wrapText="1"/>
    </xf>
    <xf numFmtId="171" fontId="6" fillId="15" borderId="13" xfId="1" applyNumberFormat="1" applyFont="1" applyFill="1" applyBorder="1" applyAlignment="1" applyProtection="1">
      <alignment horizontal="center" vertical="center" wrapText="1"/>
      <protection hidden="1"/>
    </xf>
    <xf numFmtId="0" fontId="31" fillId="0" borderId="0" xfId="0" applyFont="1" applyAlignment="1">
      <alignment vertical="top" wrapText="1"/>
    </xf>
    <xf numFmtId="14" fontId="17" fillId="32" borderId="1" xfId="0" applyNumberFormat="1" applyFont="1" applyFill="1" applyBorder="1" applyAlignment="1" applyProtection="1">
      <alignment horizontal="left" vertical="top" wrapText="1"/>
      <protection hidden="1"/>
    </xf>
    <xf numFmtId="0" fontId="17" fillId="32" borderId="1" xfId="0" applyFont="1" applyFill="1" applyBorder="1" applyAlignment="1" applyProtection="1">
      <alignment horizontal="left" vertical="top" wrapText="1"/>
      <protection hidden="1"/>
    </xf>
    <xf numFmtId="1" fontId="17" fillId="32" borderId="1" xfId="0" applyNumberFormat="1" applyFont="1" applyFill="1" applyBorder="1" applyAlignment="1" applyProtection="1">
      <alignment horizontal="left" vertical="top" wrapText="1"/>
      <protection hidden="1"/>
    </xf>
    <xf numFmtId="171" fontId="17" fillId="32" borderId="1" xfId="0" applyNumberFormat="1" applyFont="1" applyFill="1" applyBorder="1" applyAlignment="1" applyProtection="1">
      <alignment horizontal="left" vertical="top" wrapText="1"/>
      <protection hidden="1"/>
    </xf>
    <xf numFmtId="9" fontId="17" fillId="32" borderId="1" xfId="5" applyFont="1" applyFill="1" applyBorder="1" applyAlignment="1" applyProtection="1">
      <alignment horizontal="left" vertical="top" wrapText="1"/>
      <protection hidden="1"/>
    </xf>
    <xf numFmtId="170" fontId="17" fillId="32" borderId="1" xfId="1" applyNumberFormat="1" applyFont="1" applyFill="1" applyBorder="1" applyAlignment="1" applyProtection="1">
      <alignment horizontal="left" vertical="top" wrapText="1"/>
      <protection hidden="1"/>
    </xf>
    <xf numFmtId="2" fontId="17" fillId="32" borderId="1" xfId="0" applyNumberFormat="1" applyFont="1" applyFill="1" applyBorder="1" applyAlignment="1" applyProtection="1">
      <alignment horizontal="left" vertical="top" wrapText="1"/>
      <protection hidden="1"/>
    </xf>
    <xf numFmtId="43" fontId="17" fillId="32" borderId="1" xfId="0" applyNumberFormat="1" applyFont="1" applyFill="1" applyBorder="1" applyAlignment="1" applyProtection="1">
      <alignment horizontal="left" vertical="top" wrapText="1"/>
      <protection hidden="1"/>
    </xf>
    <xf numFmtId="43" fontId="17" fillId="32" borderId="1" xfId="1" applyFont="1" applyFill="1" applyBorder="1" applyAlignment="1" applyProtection="1">
      <alignment horizontal="left" vertical="top" wrapText="1"/>
      <protection hidden="1"/>
    </xf>
    <xf numFmtId="9" fontId="17" fillId="32" borderId="1" xfId="1" applyNumberFormat="1" applyFont="1" applyFill="1" applyBorder="1" applyAlignment="1" applyProtection="1">
      <alignment horizontal="left" vertical="top" wrapText="1"/>
      <protection hidden="1"/>
    </xf>
    <xf numFmtId="10" fontId="17" fillId="32" borderId="1" xfId="0" applyNumberFormat="1" applyFont="1" applyFill="1" applyBorder="1" applyAlignment="1" applyProtection="1">
      <alignment horizontal="left" vertical="top" wrapText="1"/>
      <protection hidden="1"/>
    </xf>
    <xf numFmtId="171" fontId="17" fillId="32" borderId="1" xfId="1" applyNumberFormat="1" applyFont="1" applyFill="1" applyBorder="1" applyAlignment="1" applyProtection="1">
      <alignment horizontal="left" vertical="top" wrapText="1"/>
      <protection hidden="1"/>
    </xf>
    <xf numFmtId="0" fontId="92" fillId="31" borderId="7" xfId="0" applyFont="1" applyFill="1" applyBorder="1" applyAlignment="1">
      <alignment vertical="center"/>
    </xf>
    <xf numFmtId="0" fontId="130" fillId="34" borderId="198" xfId="0" applyFont="1" applyFill="1" applyBorder="1" applyAlignment="1">
      <alignment horizontal="center" vertical="center" wrapText="1"/>
    </xf>
    <xf numFmtId="0" fontId="130" fillId="34" borderId="200" xfId="0" applyFont="1" applyFill="1" applyBorder="1" applyAlignment="1">
      <alignment horizontal="center" vertical="center" wrapText="1"/>
    </xf>
    <xf numFmtId="0" fontId="130" fillId="34" borderId="208" xfId="0" applyFont="1" applyFill="1" applyBorder="1" applyAlignment="1">
      <alignment horizontal="center" vertical="center" wrapText="1"/>
    </xf>
    <xf numFmtId="14" fontId="17" fillId="0" borderId="0" xfId="0" applyNumberFormat="1" applyFont="1"/>
    <xf numFmtId="14" fontId="17" fillId="0" borderId="0" xfId="0" applyNumberFormat="1" applyFont="1" applyAlignment="1">
      <alignment vertical="center"/>
    </xf>
    <xf numFmtId="1" fontId="17" fillId="0" borderId="0" xfId="0" applyNumberFormat="1" applyFont="1"/>
    <xf numFmtId="176" fontId="17" fillId="0" borderId="0" xfId="0" applyNumberFormat="1" applyFont="1"/>
    <xf numFmtId="0" fontId="34" fillId="5" borderId="0" xfId="0" applyFont="1" applyFill="1" applyAlignment="1">
      <alignment horizontal="center" vertical="center"/>
    </xf>
    <xf numFmtId="172" fontId="39" fillId="29" borderId="1" xfId="8" applyNumberFormat="1" applyFont="1" applyFill="1" applyBorder="1" applyAlignment="1" applyProtection="1">
      <alignment horizontal="left" vertical="center"/>
      <protection locked="0"/>
    </xf>
    <xf numFmtId="14" fontId="6" fillId="0" borderId="12" xfId="0" applyNumberFormat="1" applyFont="1" applyBorder="1" applyAlignment="1" applyProtection="1">
      <alignment horizontal="center" vertical="center" wrapText="1"/>
      <protection locked="0"/>
    </xf>
    <xf numFmtId="14" fontId="6" fillId="0" borderId="35" xfId="0" applyNumberFormat="1" applyFont="1" applyBorder="1" applyAlignment="1" applyProtection="1">
      <alignment horizontal="center" vertical="center" wrapText="1"/>
      <protection locked="0"/>
    </xf>
    <xf numFmtId="8" fontId="94" fillId="5" borderId="0" xfId="0" applyNumberFormat="1" applyFont="1" applyFill="1"/>
    <xf numFmtId="0" fontId="34" fillId="5" borderId="0" xfId="0" applyFont="1" applyFill="1" applyAlignment="1">
      <alignment vertical="center"/>
    </xf>
    <xf numFmtId="0" fontId="0" fillId="28" borderId="0" xfId="0" applyFill="1"/>
    <xf numFmtId="177" fontId="103" fillId="5" borderId="0" xfId="0" applyNumberFormat="1" applyFont="1" applyFill="1" applyAlignment="1">
      <alignment vertical="center" wrapText="1"/>
    </xf>
    <xf numFmtId="0" fontId="94" fillId="5" borderId="0" xfId="0" applyFont="1" applyFill="1" applyAlignment="1">
      <alignment vertical="center"/>
    </xf>
    <xf numFmtId="176" fontId="99" fillId="5" borderId="1" xfId="1" applyNumberFormat="1" applyFont="1" applyFill="1" applyBorder="1" applyAlignment="1" applyProtection="1">
      <alignment horizontal="center" vertical="center" wrapText="1"/>
      <protection locked="0" hidden="1"/>
    </xf>
    <xf numFmtId="0" fontId="110" fillId="14" borderId="20" xfId="0" applyFont="1" applyFill="1" applyBorder="1" applyAlignment="1">
      <alignment horizontal="center" vertical="center" wrapText="1"/>
    </xf>
    <xf numFmtId="0" fontId="110" fillId="30" borderId="65" xfId="0" applyFont="1" applyFill="1" applyBorder="1" applyAlignment="1">
      <alignment horizontal="center" vertical="center" wrapText="1"/>
    </xf>
    <xf numFmtId="0" fontId="110" fillId="30" borderId="20" xfId="0" applyFont="1" applyFill="1" applyBorder="1" applyAlignment="1">
      <alignment horizontal="center" vertical="center" wrapText="1"/>
    </xf>
    <xf numFmtId="0" fontId="111" fillId="14" borderId="20" xfId="0" applyFont="1" applyFill="1" applyBorder="1" applyAlignment="1">
      <alignment horizontal="center" vertical="center" wrapText="1"/>
    </xf>
    <xf numFmtId="0" fontId="111" fillId="14" borderId="27" xfId="0" applyFont="1" applyFill="1" applyBorder="1" applyAlignment="1">
      <alignment horizontal="center" vertical="center" wrapText="1"/>
    </xf>
    <xf numFmtId="0" fontId="110" fillId="30" borderId="27" xfId="0" applyFont="1" applyFill="1" applyBorder="1" applyAlignment="1">
      <alignment horizontal="center" vertical="center" wrapText="1"/>
    </xf>
    <xf numFmtId="0" fontId="106" fillId="14" borderId="27" xfId="0" applyFont="1" applyFill="1" applyBorder="1" applyAlignment="1">
      <alignment vertical="center" wrapText="1"/>
    </xf>
    <xf numFmtId="0" fontId="106" fillId="14" borderId="174" xfId="0" applyFont="1" applyFill="1" applyBorder="1" applyAlignment="1">
      <alignment vertical="center" wrapText="1"/>
    </xf>
    <xf numFmtId="0" fontId="106" fillId="14" borderId="175" xfId="0" applyFont="1" applyFill="1" applyBorder="1" applyAlignment="1">
      <alignment vertical="center" wrapText="1"/>
    </xf>
    <xf numFmtId="0" fontId="112" fillId="26" borderId="1" xfId="0" applyFont="1" applyFill="1" applyBorder="1" applyProtection="1">
      <protection hidden="1"/>
    </xf>
    <xf numFmtId="171" fontId="47" fillId="29" borderId="20" xfId="0" applyNumberFormat="1" applyFont="1" applyFill="1" applyBorder="1" applyAlignment="1" applyProtection="1">
      <alignment horizontal="right" vertical="center"/>
      <protection hidden="1"/>
    </xf>
    <xf numFmtId="171" fontId="47" fillId="29" borderId="1" xfId="0" applyNumberFormat="1" applyFont="1" applyFill="1" applyBorder="1" applyAlignment="1" applyProtection="1">
      <alignment horizontal="right" vertical="center"/>
      <protection hidden="1"/>
    </xf>
    <xf numFmtId="10" fontId="78" fillId="29" borderId="1" xfId="0" applyNumberFormat="1" applyFont="1" applyFill="1" applyBorder="1" applyAlignment="1" applyProtection="1">
      <alignment horizontal="right" vertical="center"/>
      <protection hidden="1"/>
    </xf>
    <xf numFmtId="14" fontId="78" fillId="29" borderId="1" xfId="0" applyNumberFormat="1" applyFont="1" applyFill="1" applyBorder="1" applyAlignment="1" applyProtection="1">
      <alignment horizontal="right" vertical="center"/>
      <protection hidden="1"/>
    </xf>
    <xf numFmtId="14" fontId="47" fillId="29" borderId="64" xfId="0" applyNumberFormat="1" applyFont="1" applyFill="1" applyBorder="1" applyAlignment="1" applyProtection="1">
      <alignment horizontal="right" vertical="center"/>
      <protection hidden="1"/>
    </xf>
    <xf numFmtId="171" fontId="107" fillId="29" borderId="1" xfId="0" applyNumberFormat="1" applyFont="1" applyFill="1" applyBorder="1" applyAlignment="1" applyProtection="1">
      <alignment horizontal="right" vertical="center" wrapText="1"/>
      <protection hidden="1"/>
    </xf>
    <xf numFmtId="14" fontId="47" fillId="29" borderId="173" xfId="0" applyNumberFormat="1" applyFont="1" applyFill="1" applyBorder="1" applyAlignment="1" applyProtection="1">
      <alignment horizontal="right" vertical="center"/>
      <protection hidden="1"/>
    </xf>
    <xf numFmtId="171" fontId="0" fillId="29" borderId="172" xfId="0" applyNumberFormat="1" applyFill="1" applyBorder="1" applyAlignment="1" applyProtection="1">
      <alignment horizontal="right" vertical="center"/>
      <protection hidden="1"/>
    </xf>
    <xf numFmtId="171" fontId="107" fillId="29" borderId="172" xfId="0" applyNumberFormat="1" applyFont="1" applyFill="1" applyBorder="1" applyAlignment="1" applyProtection="1">
      <alignment horizontal="right" vertical="center"/>
      <protection hidden="1"/>
    </xf>
    <xf numFmtId="14" fontId="112" fillId="27" borderId="30" xfId="0" applyNumberFormat="1" applyFont="1" applyFill="1" applyBorder="1" applyAlignment="1" applyProtection="1">
      <alignment horizontal="right" vertical="center" wrapText="1"/>
      <protection hidden="1"/>
    </xf>
    <xf numFmtId="14" fontId="112" fillId="27" borderId="1" xfId="0" applyNumberFormat="1" applyFont="1" applyFill="1" applyBorder="1" applyAlignment="1" applyProtection="1">
      <alignment horizontal="right" vertical="center" wrapText="1"/>
      <protection hidden="1"/>
    </xf>
    <xf numFmtId="0" fontId="113" fillId="26" borderId="1" xfId="0" applyFont="1" applyFill="1" applyBorder="1" applyAlignment="1" applyProtection="1">
      <alignment horizontal="right"/>
      <protection hidden="1"/>
    </xf>
    <xf numFmtId="0" fontId="113" fillId="5" borderId="1" xfId="0" applyFont="1" applyFill="1" applyBorder="1" applyAlignment="1" applyProtection="1">
      <alignment horizontal="right"/>
      <protection hidden="1"/>
    </xf>
    <xf numFmtId="1" fontId="112" fillId="26" borderId="1" xfId="0" applyNumberFormat="1" applyFont="1" applyFill="1" applyBorder="1" applyAlignment="1" applyProtection="1">
      <alignment horizontal="center"/>
      <protection hidden="1"/>
    </xf>
    <xf numFmtId="171" fontId="112" fillId="26" borderId="1" xfId="0" applyNumberFormat="1" applyFont="1" applyFill="1" applyBorder="1" applyAlignment="1" applyProtection="1">
      <alignment horizontal="right"/>
      <protection hidden="1"/>
    </xf>
    <xf numFmtId="171" fontId="112" fillId="26" borderId="1" xfId="0" applyNumberFormat="1" applyFont="1" applyFill="1" applyBorder="1" applyProtection="1">
      <protection hidden="1"/>
    </xf>
    <xf numFmtId="171" fontId="113" fillId="26" borderId="1" xfId="0" applyNumberFormat="1" applyFont="1" applyFill="1" applyBorder="1" applyAlignment="1" applyProtection="1">
      <alignment horizontal="right"/>
      <protection hidden="1"/>
    </xf>
    <xf numFmtId="171" fontId="112" fillId="35" borderId="1" xfId="0" applyNumberFormat="1" applyFont="1" applyFill="1" applyBorder="1" applyProtection="1">
      <protection locked="0" hidden="1"/>
    </xf>
    <xf numFmtId="171" fontId="112" fillId="26" borderId="1" xfId="0" applyNumberFormat="1" applyFont="1" applyFill="1" applyBorder="1" applyProtection="1">
      <protection locked="0" hidden="1"/>
    </xf>
    <xf numFmtId="44" fontId="99" fillId="5" borderId="1" xfId="0" applyNumberFormat="1" applyFont="1" applyFill="1" applyBorder="1" applyProtection="1">
      <protection hidden="1"/>
    </xf>
    <xf numFmtId="2" fontId="99" fillId="5" borderId="1" xfId="0" applyNumberFormat="1" applyFont="1" applyFill="1" applyBorder="1" applyProtection="1">
      <protection hidden="1"/>
    </xf>
    <xf numFmtId="2" fontId="99" fillId="5" borderId="18" xfId="0" applyNumberFormat="1" applyFont="1" applyFill="1" applyBorder="1" applyProtection="1">
      <protection hidden="1"/>
    </xf>
    <xf numFmtId="0" fontId="114" fillId="5" borderId="18" xfId="0" applyFont="1" applyFill="1" applyBorder="1" applyProtection="1">
      <protection hidden="1"/>
    </xf>
    <xf numFmtId="44" fontId="131" fillId="26" borderId="1" xfId="0" applyNumberFormat="1" applyFont="1" applyFill="1" applyBorder="1" applyProtection="1">
      <protection locked="0" hidden="1"/>
    </xf>
    <xf numFmtId="44" fontId="131" fillId="5" borderId="1" xfId="0" applyNumberFormat="1" applyFont="1" applyFill="1" applyBorder="1" applyProtection="1">
      <protection hidden="1"/>
    </xf>
    <xf numFmtId="1" fontId="112" fillId="27" borderId="1" xfId="0" applyNumberFormat="1" applyFont="1" applyFill="1" applyBorder="1" applyAlignment="1" applyProtection="1">
      <alignment horizontal="center"/>
      <protection hidden="1"/>
    </xf>
    <xf numFmtId="171" fontId="99" fillId="5" borderId="1" xfId="27" applyNumberFormat="1" applyFont="1" applyFill="1" applyBorder="1" applyAlignment="1" applyProtection="1">
      <alignment horizontal="center" vertical="center" wrapText="1"/>
      <protection locked="0"/>
    </xf>
    <xf numFmtId="0" fontId="92" fillId="0" borderId="49" xfId="0" applyFont="1" applyBorder="1" applyAlignment="1" applyProtection="1">
      <alignment horizontal="left" vertical="center" wrapText="1"/>
      <protection locked="0"/>
    </xf>
    <xf numFmtId="9" fontId="28" fillId="15" borderId="59" xfId="5" applyFont="1" applyFill="1" applyBorder="1" applyAlignment="1" applyProtection="1">
      <alignment horizontal="center" vertical="center" wrapText="1"/>
      <protection hidden="1"/>
    </xf>
    <xf numFmtId="166" fontId="96" fillId="14" borderId="0" xfId="25" quotePrefix="1" applyNumberFormat="1" applyFont="1" applyFill="1" applyAlignment="1" applyProtection="1">
      <alignment horizontal="left" vertical="center"/>
      <protection hidden="1"/>
    </xf>
    <xf numFmtId="0" fontId="83" fillId="14" borderId="18" xfId="0" applyFont="1" applyFill="1" applyBorder="1" applyAlignment="1" applyProtection="1">
      <alignment horizontal="center" vertical="center"/>
      <protection hidden="1"/>
    </xf>
    <xf numFmtId="0" fontId="83" fillId="14" borderId="30" xfId="0" applyFont="1" applyFill="1" applyBorder="1" applyAlignment="1" applyProtection="1">
      <alignment horizontal="center" vertical="center"/>
      <protection hidden="1"/>
    </xf>
    <xf numFmtId="0" fontId="83" fillId="14" borderId="171" xfId="0" applyFont="1" applyFill="1" applyBorder="1" applyAlignment="1" applyProtection="1">
      <alignment horizontal="center" vertical="center" wrapText="1"/>
      <protection hidden="1"/>
    </xf>
    <xf numFmtId="0" fontId="83" fillId="14" borderId="172" xfId="0" applyFont="1" applyFill="1" applyBorder="1" applyAlignment="1" applyProtection="1">
      <alignment horizontal="center" vertical="center" wrapText="1"/>
      <protection hidden="1"/>
    </xf>
    <xf numFmtId="0" fontId="83" fillId="14" borderId="1" xfId="0" applyFont="1" applyFill="1" applyBorder="1" applyAlignment="1" applyProtection="1">
      <alignment horizontal="center" vertical="center" wrapText="1"/>
      <protection hidden="1"/>
    </xf>
    <xf numFmtId="0" fontId="79" fillId="5" borderId="0" xfId="0" applyFont="1" applyFill="1" applyAlignment="1">
      <alignment horizontal="left" vertical="center"/>
    </xf>
    <xf numFmtId="0" fontId="81" fillId="0" borderId="0" xfId="26" applyFont="1" applyAlignment="1" applyProtection="1">
      <alignment horizontal="left" vertical="top" wrapText="1"/>
      <protection hidden="1"/>
    </xf>
    <xf numFmtId="0" fontId="77" fillId="5" borderId="47" xfId="26" applyFont="1" applyFill="1" applyBorder="1" applyAlignment="1" applyProtection="1">
      <alignment horizontal="left" vertical="top" wrapText="1"/>
      <protection locked="0"/>
    </xf>
    <xf numFmtId="0" fontId="77" fillId="5" borderId="176" xfId="26" applyFont="1" applyFill="1" applyBorder="1" applyAlignment="1" applyProtection="1">
      <alignment horizontal="left" vertical="top" wrapText="1"/>
      <protection locked="0"/>
    </xf>
    <xf numFmtId="0" fontId="77" fillId="5" borderId="0" xfId="26" applyFont="1" applyFill="1" applyAlignment="1" applyProtection="1">
      <alignment horizontal="left" vertical="top" wrapText="1"/>
      <protection locked="0"/>
    </xf>
    <xf numFmtId="0" fontId="77" fillId="5" borderId="63" xfId="26" applyFont="1" applyFill="1" applyBorder="1" applyAlignment="1" applyProtection="1">
      <alignment horizontal="left" vertical="top" wrapText="1"/>
      <protection locked="0"/>
    </xf>
    <xf numFmtId="0" fontId="77" fillId="5" borderId="48" xfId="26" applyFont="1" applyFill="1" applyBorder="1" applyAlignment="1" applyProtection="1">
      <alignment horizontal="left" vertical="top" wrapText="1"/>
      <protection locked="0"/>
    </xf>
    <xf numFmtId="0" fontId="77" fillId="5" borderId="65" xfId="26" applyFont="1" applyFill="1" applyBorder="1" applyAlignment="1" applyProtection="1">
      <alignment horizontal="left" vertical="top" wrapText="1"/>
      <protection locked="0"/>
    </xf>
    <xf numFmtId="0" fontId="100" fillId="5" borderId="0" xfId="25" applyFont="1" applyFill="1" applyAlignment="1" applyProtection="1">
      <alignment horizontal="left" vertical="top" wrapText="1"/>
      <protection hidden="1"/>
    </xf>
    <xf numFmtId="0" fontId="86" fillId="5" borderId="0" xfId="25" applyFont="1" applyFill="1" applyAlignment="1" applyProtection="1">
      <alignment horizontal="left" vertical="top" wrapText="1"/>
      <protection hidden="1"/>
    </xf>
    <xf numFmtId="0" fontId="87" fillId="5" borderId="0" xfId="0" applyFont="1" applyFill="1" applyAlignment="1">
      <alignment horizontal="left" vertical="center"/>
    </xf>
    <xf numFmtId="0" fontId="81" fillId="5" borderId="0" xfId="25" applyFont="1" applyFill="1" applyAlignment="1" applyProtection="1">
      <alignment horizontal="left" vertical="center" wrapText="1"/>
      <protection hidden="1"/>
    </xf>
    <xf numFmtId="0" fontId="86" fillId="0" borderId="0" xfId="25" applyFont="1" applyAlignment="1" applyProtection="1">
      <alignment horizontal="left" vertical="top" wrapText="1"/>
      <protection hidden="1"/>
    </xf>
    <xf numFmtId="0" fontId="122" fillId="29" borderId="64" xfId="25" applyFont="1" applyFill="1" applyBorder="1" applyAlignment="1" applyProtection="1">
      <alignment horizontal="center" vertical="center" wrapText="1"/>
      <protection hidden="1"/>
    </xf>
    <xf numFmtId="0" fontId="122" fillId="29" borderId="170" xfId="25" applyFont="1" applyFill="1" applyBorder="1" applyAlignment="1" applyProtection="1">
      <alignment horizontal="center" vertical="center" wrapText="1"/>
      <protection hidden="1"/>
    </xf>
    <xf numFmtId="0" fontId="122" fillId="29" borderId="20" xfId="25" applyFont="1" applyFill="1" applyBorder="1" applyAlignment="1" applyProtection="1">
      <alignment horizontal="center" vertical="center" wrapText="1"/>
      <protection hidden="1"/>
    </xf>
    <xf numFmtId="0" fontId="1" fillId="17" borderId="84" xfId="0" applyFont="1" applyFill="1" applyBorder="1" applyAlignment="1">
      <alignment horizontal="center"/>
    </xf>
    <xf numFmtId="0" fontId="1" fillId="17" borderId="85" xfId="0" applyFont="1" applyFill="1" applyBorder="1" applyAlignment="1">
      <alignment horizontal="center"/>
    </xf>
    <xf numFmtId="0" fontId="1" fillId="17" borderId="86" xfId="0" applyFont="1" applyFill="1" applyBorder="1" applyAlignment="1">
      <alignment horizontal="center"/>
    </xf>
    <xf numFmtId="0" fontId="6" fillId="5" borderId="0" xfId="0" applyFont="1" applyFill="1" applyAlignment="1">
      <alignment horizontal="left" vertical="top" wrapText="1"/>
    </xf>
    <xf numFmtId="0" fontId="1" fillId="14" borderId="84" xfId="0" applyFont="1" applyFill="1" applyBorder="1" applyAlignment="1">
      <alignment horizontal="center"/>
    </xf>
    <xf numFmtId="0" fontId="1" fillId="14" borderId="85" xfId="0" applyFont="1" applyFill="1" applyBorder="1" applyAlignment="1">
      <alignment horizontal="center"/>
    </xf>
    <xf numFmtId="0" fontId="1" fillId="14" borderId="86" xfId="0" applyFont="1" applyFill="1" applyBorder="1" applyAlignment="1">
      <alignment horizontal="center"/>
    </xf>
    <xf numFmtId="0" fontId="6" fillId="5" borderId="83" xfId="0" applyFont="1" applyFill="1" applyBorder="1" applyAlignment="1">
      <alignment horizontal="left" vertical="top" wrapText="1"/>
    </xf>
    <xf numFmtId="0" fontId="1" fillId="5" borderId="16" xfId="0" applyFont="1" applyFill="1" applyBorder="1" applyAlignment="1">
      <alignment horizontal="left" vertical="top" wrapText="1"/>
    </xf>
    <xf numFmtId="0" fontId="1" fillId="5" borderId="2" xfId="0" applyFont="1" applyFill="1" applyBorder="1" applyAlignment="1">
      <alignment horizontal="left" vertical="top" wrapText="1"/>
    </xf>
    <xf numFmtId="0" fontId="1" fillId="5" borderId="3" xfId="0" applyFont="1" applyFill="1" applyBorder="1" applyAlignment="1">
      <alignment horizontal="left" vertical="top" wrapText="1"/>
    </xf>
    <xf numFmtId="0" fontId="1" fillId="5" borderId="15" xfId="0" applyFont="1" applyFill="1" applyBorder="1" applyAlignment="1">
      <alignment horizontal="left" vertical="top" wrapText="1"/>
    </xf>
    <xf numFmtId="0" fontId="1" fillId="5" borderId="0" xfId="0" applyFont="1" applyFill="1" applyAlignment="1">
      <alignment horizontal="left" vertical="top" wrapText="1"/>
    </xf>
    <xf numFmtId="0" fontId="1" fillId="5" borderId="4" xfId="0" applyFont="1" applyFill="1" applyBorder="1" applyAlignment="1">
      <alignment horizontal="left" vertical="top" wrapText="1"/>
    </xf>
    <xf numFmtId="0" fontId="1" fillId="5" borderId="5" xfId="0" applyFont="1" applyFill="1" applyBorder="1" applyAlignment="1">
      <alignment horizontal="left" vertical="top" wrapText="1"/>
    </xf>
    <xf numFmtId="0" fontId="1" fillId="5" borderId="6" xfId="0" applyFont="1" applyFill="1" applyBorder="1" applyAlignment="1">
      <alignment horizontal="left" vertical="top" wrapText="1"/>
    </xf>
    <xf numFmtId="0" fontId="1" fillId="5" borderId="7" xfId="0" applyFont="1" applyFill="1" applyBorder="1" applyAlignment="1">
      <alignment horizontal="left" vertical="top" wrapText="1"/>
    </xf>
    <xf numFmtId="0" fontId="6" fillId="5" borderId="0" xfId="0" applyFont="1" applyFill="1" applyAlignment="1">
      <alignment horizontal="left" wrapText="1"/>
    </xf>
    <xf numFmtId="0" fontId="6" fillId="5" borderId="83" xfId="0" applyFont="1" applyFill="1" applyBorder="1" applyAlignment="1">
      <alignment horizontal="left" wrapText="1"/>
    </xf>
    <xf numFmtId="0" fontId="4" fillId="0" borderId="0" xfId="20"/>
    <xf numFmtId="0" fontId="4" fillId="0" borderId="6" xfId="20" applyBorder="1"/>
    <xf numFmtId="0" fontId="6" fillId="5" borderId="0" xfId="0" applyFont="1" applyFill="1" applyAlignment="1">
      <alignment horizontal="center" vertical="center" wrapText="1"/>
    </xf>
    <xf numFmtId="0" fontId="36" fillId="5" borderId="0" xfId="0" applyFont="1" applyFill="1" applyAlignment="1">
      <alignment horizontal="left" vertical="center" wrapText="1"/>
    </xf>
    <xf numFmtId="0" fontId="6" fillId="5" borderId="0" xfId="0" applyFont="1" applyFill="1" applyAlignment="1">
      <alignment horizontal="left" vertical="center" wrapText="1"/>
    </xf>
    <xf numFmtId="0" fontId="6" fillId="5" borderId="83" xfId="0" applyFont="1" applyFill="1" applyBorder="1" applyAlignment="1">
      <alignment horizontal="left" vertical="center" wrapText="1"/>
    </xf>
    <xf numFmtId="0" fontId="1" fillId="0" borderId="79" xfId="0" applyFont="1" applyBorder="1" applyAlignment="1">
      <alignment horizontal="center"/>
    </xf>
    <xf numFmtId="0" fontId="1" fillId="0" borderId="80" xfId="0" applyFont="1" applyBorder="1" applyAlignment="1">
      <alignment horizontal="center"/>
    </xf>
    <xf numFmtId="0" fontId="1" fillId="0" borderId="81" xfId="0" applyFont="1" applyBorder="1" applyAlignment="1">
      <alignment horizontal="center"/>
    </xf>
    <xf numFmtId="0" fontId="43" fillId="5" borderId="0" xfId="2" applyFont="1" applyFill="1" applyBorder="1" applyAlignment="1" applyProtection="1">
      <alignment horizontal="left" vertical="top" wrapText="1"/>
      <protection locked="0"/>
    </xf>
    <xf numFmtId="0" fontId="45" fillId="5" borderId="0" xfId="0" applyFont="1" applyFill="1" applyAlignment="1">
      <alignment horizontal="left" vertical="top" wrapText="1"/>
    </xf>
    <xf numFmtId="0" fontId="45" fillId="5" borderId="83" xfId="0" applyFont="1" applyFill="1" applyBorder="1" applyAlignment="1">
      <alignment horizontal="left" vertical="top" wrapText="1"/>
    </xf>
    <xf numFmtId="0" fontId="43" fillId="5" borderId="0" xfId="2" applyFont="1" applyFill="1" applyBorder="1" applyAlignment="1" applyProtection="1">
      <alignment horizontal="left" vertical="top" wrapText="1"/>
    </xf>
    <xf numFmtId="0" fontId="35" fillId="5" borderId="0" xfId="0" applyFont="1" applyFill="1" applyAlignment="1">
      <alignment horizontal="left" vertical="center"/>
    </xf>
    <xf numFmtId="0" fontId="46" fillId="5" borderId="0" xfId="0" applyFont="1" applyFill="1" applyAlignment="1">
      <alignment horizontal="left" vertical="top"/>
    </xf>
    <xf numFmtId="0" fontId="92" fillId="31" borderId="14" xfId="0" applyFont="1" applyFill="1" applyBorder="1" applyAlignment="1">
      <alignment vertical="center"/>
    </xf>
    <xf numFmtId="0" fontId="92" fillId="31" borderId="12" xfId="0" applyFont="1" applyFill="1" applyBorder="1" applyAlignment="1">
      <alignment vertical="center"/>
    </xf>
    <xf numFmtId="0" fontId="129" fillId="31" borderId="206" xfId="0" applyFont="1" applyFill="1" applyBorder="1" applyAlignment="1">
      <alignment horizontal="center" vertical="center" wrapText="1"/>
    </xf>
    <xf numFmtId="0" fontId="129" fillId="31" borderId="12" xfId="0" applyFont="1" applyFill="1" applyBorder="1" applyAlignment="1">
      <alignment horizontal="center" vertical="center" wrapText="1"/>
    </xf>
    <xf numFmtId="0" fontId="92" fillId="0" borderId="161" xfId="0" applyFont="1" applyBorder="1" applyAlignment="1" applyProtection="1">
      <alignment horizontal="center" vertical="center" wrapText="1"/>
      <protection locked="0"/>
    </xf>
    <xf numFmtId="0" fontId="92" fillId="0" borderId="43" xfId="0" applyFont="1" applyBorder="1" applyAlignment="1" applyProtection="1">
      <alignment horizontal="center" vertical="center" wrapText="1"/>
      <protection locked="0"/>
    </xf>
    <xf numFmtId="0" fontId="92" fillId="0" borderId="162" xfId="0" applyFont="1" applyBorder="1" applyAlignment="1" applyProtection="1">
      <alignment horizontal="center" vertical="center" wrapText="1"/>
      <protection locked="0"/>
    </xf>
    <xf numFmtId="0" fontId="92" fillId="0" borderId="44" xfId="0" applyFont="1" applyBorder="1" applyAlignment="1" applyProtection="1">
      <alignment horizontal="center" vertical="center" wrapText="1"/>
      <protection locked="0"/>
    </xf>
    <xf numFmtId="0" fontId="92" fillId="0" borderId="163" xfId="0" applyFont="1" applyBorder="1" applyAlignment="1" applyProtection="1">
      <alignment horizontal="center" vertical="center" wrapText="1"/>
      <protection locked="0"/>
    </xf>
    <xf numFmtId="0" fontId="92" fillId="0" borderId="203" xfId="0" applyFont="1" applyBorder="1" applyAlignment="1" applyProtection="1">
      <alignment horizontal="center" vertical="center" wrapText="1"/>
      <protection locked="0"/>
    </xf>
    <xf numFmtId="0" fontId="92" fillId="0" borderId="49" xfId="0" applyFont="1" applyBorder="1" applyAlignment="1" applyProtection="1">
      <alignment horizontal="center" vertical="center" wrapText="1"/>
      <protection locked="0"/>
    </xf>
    <xf numFmtId="0" fontId="92" fillId="0" borderId="201" xfId="0" applyFont="1" applyBorder="1" applyAlignment="1" applyProtection="1">
      <alignment horizontal="center" vertical="center" wrapText="1"/>
      <protection locked="0"/>
    </xf>
    <xf numFmtId="0" fontId="92" fillId="0" borderId="71" xfId="0" applyFont="1" applyBorder="1" applyAlignment="1" applyProtection="1">
      <alignment horizontal="center" vertical="center" wrapText="1"/>
      <protection locked="0"/>
    </xf>
    <xf numFmtId="0" fontId="92" fillId="0" borderId="199" xfId="0" applyFont="1" applyBorder="1" applyAlignment="1" applyProtection="1">
      <alignment horizontal="center" vertical="center" wrapText="1"/>
      <protection locked="0"/>
    </xf>
    <xf numFmtId="171" fontId="92" fillId="0" borderId="49" xfId="0" applyNumberFormat="1" applyFont="1" applyBorder="1" applyAlignment="1" applyProtection="1">
      <alignment horizontal="center" vertical="center" wrapText="1"/>
      <protection locked="0"/>
    </xf>
    <xf numFmtId="171" fontId="92" fillId="0" borderId="45" xfId="0" applyNumberFormat="1" applyFont="1" applyBorder="1" applyAlignment="1" applyProtection="1">
      <alignment horizontal="center" vertical="center" wrapText="1"/>
      <protection locked="0"/>
    </xf>
    <xf numFmtId="0" fontId="92" fillId="0" borderId="202" xfId="0" applyFont="1" applyBorder="1" applyAlignment="1" applyProtection="1">
      <alignment horizontal="center" vertical="center" wrapText="1"/>
      <protection locked="0"/>
    </xf>
    <xf numFmtId="0" fontId="92" fillId="0" borderId="204" xfId="0" applyFont="1" applyBorder="1" applyAlignment="1" applyProtection="1">
      <alignment horizontal="center" vertical="center" wrapText="1"/>
      <protection locked="0"/>
    </xf>
    <xf numFmtId="171" fontId="92" fillId="0" borderId="202" xfId="0" applyNumberFormat="1" applyFont="1" applyBorder="1" applyAlignment="1" applyProtection="1">
      <alignment horizontal="center" vertical="center" wrapText="1"/>
      <protection locked="0"/>
    </xf>
    <xf numFmtId="171" fontId="92" fillId="0" borderId="209" xfId="0" applyNumberFormat="1" applyFont="1" applyBorder="1" applyAlignment="1" applyProtection="1">
      <alignment horizontal="center" vertical="center" wrapText="1"/>
      <protection locked="0"/>
    </xf>
    <xf numFmtId="171" fontId="92" fillId="0" borderId="71" xfId="0" applyNumberFormat="1" applyFont="1" applyBorder="1" applyAlignment="1" applyProtection="1">
      <alignment horizontal="center" vertical="center" wrapText="1"/>
      <protection locked="0"/>
    </xf>
    <xf numFmtId="171" fontId="92" fillId="0" borderId="73" xfId="0" applyNumberFormat="1" applyFont="1" applyBorder="1" applyAlignment="1" applyProtection="1">
      <alignment horizontal="center" vertical="center" wrapText="1"/>
      <protection locked="0"/>
    </xf>
    <xf numFmtId="0" fontId="127" fillId="31" borderId="14" xfId="0" applyFont="1" applyFill="1" applyBorder="1" applyAlignment="1">
      <alignment horizontal="center" vertical="center" wrapText="1"/>
    </xf>
    <xf numFmtId="0" fontId="127" fillId="31" borderId="12" xfId="0" applyFont="1" applyFill="1" applyBorder="1" applyAlignment="1">
      <alignment horizontal="center" vertical="center" wrapText="1"/>
    </xf>
    <xf numFmtId="0" fontId="127" fillId="31" borderId="17" xfId="0" applyFont="1" applyFill="1" applyBorder="1" applyAlignment="1">
      <alignment horizontal="center" vertical="center" wrapText="1"/>
    </xf>
    <xf numFmtId="0" fontId="129" fillId="31" borderId="14" xfId="0" applyFont="1" applyFill="1" applyBorder="1" applyAlignment="1">
      <alignment horizontal="center" vertical="center"/>
    </xf>
    <xf numFmtId="0" fontId="129" fillId="31" borderId="205" xfId="0" applyFont="1" applyFill="1" applyBorder="1" applyAlignment="1">
      <alignment horizontal="center" vertical="center"/>
    </xf>
    <xf numFmtId="0" fontId="129" fillId="31" borderId="205" xfId="0" applyFont="1" applyFill="1" applyBorder="1" applyAlignment="1">
      <alignment horizontal="center" vertical="center" wrapText="1"/>
    </xf>
    <xf numFmtId="0" fontId="129" fillId="31" borderId="14" xfId="0" applyFont="1" applyFill="1" applyBorder="1" applyAlignment="1">
      <alignment horizontal="center" vertical="center" wrapText="1"/>
    </xf>
    <xf numFmtId="0" fontId="129" fillId="31" borderId="17" xfId="0" applyFont="1" applyFill="1" applyBorder="1" applyAlignment="1">
      <alignment horizontal="center" vertical="center" wrapText="1"/>
    </xf>
    <xf numFmtId="0" fontId="6" fillId="0" borderId="69" xfId="0" applyFont="1" applyBorder="1" applyAlignment="1" applyProtection="1">
      <alignment horizontal="left" vertical="center" wrapText="1"/>
      <protection locked="0"/>
    </xf>
    <xf numFmtId="0" fontId="6" fillId="0" borderId="57" xfId="0" applyFont="1" applyBorder="1" applyAlignment="1" applyProtection="1">
      <alignment horizontal="left" vertical="center" wrapText="1"/>
      <protection locked="0"/>
    </xf>
    <xf numFmtId="0" fontId="28" fillId="5" borderId="103" xfId="0" applyFont="1" applyFill="1" applyBorder="1" applyAlignment="1" applyProtection="1">
      <alignment horizontal="left" vertical="center"/>
      <protection locked="0"/>
    </xf>
    <xf numFmtId="0" fontId="28" fillId="5" borderId="104" xfId="0" applyFont="1" applyFill="1" applyBorder="1" applyAlignment="1" applyProtection="1">
      <alignment horizontal="left" vertical="center"/>
      <protection locked="0"/>
    </xf>
    <xf numFmtId="166" fontId="34" fillId="14" borderId="102" xfId="0" applyNumberFormat="1" applyFont="1" applyFill="1" applyBorder="1" applyAlignment="1">
      <alignment horizontal="left" vertical="center"/>
    </xf>
    <xf numFmtId="166" fontId="34" fillId="14" borderId="103" xfId="0" applyNumberFormat="1" applyFont="1" applyFill="1" applyBorder="1" applyAlignment="1">
      <alignment horizontal="left" vertical="center"/>
    </xf>
    <xf numFmtId="0" fontId="35" fillId="0" borderId="6" xfId="0" applyFont="1" applyBorder="1" applyAlignment="1">
      <alignment horizontal="center"/>
    </xf>
    <xf numFmtId="0" fontId="35" fillId="0" borderId="7" xfId="0" applyFont="1" applyBorder="1" applyAlignment="1">
      <alignment horizontal="center"/>
    </xf>
    <xf numFmtId="0" fontId="28" fillId="5" borderId="0" xfId="0" applyFont="1" applyFill="1" applyAlignment="1">
      <alignment horizontal="center"/>
    </xf>
    <xf numFmtId="0" fontId="28" fillId="5" borderId="4" xfId="0" applyFont="1" applyFill="1" applyBorder="1" applyAlignment="1">
      <alignment horizontal="center"/>
    </xf>
    <xf numFmtId="1" fontId="6" fillId="0" borderId="37" xfId="0" applyNumberFormat="1" applyFont="1" applyBorder="1" applyAlignment="1" applyProtection="1">
      <alignment horizontal="left" vertical="center" wrapText="1"/>
      <protection locked="0"/>
    </xf>
    <xf numFmtId="1" fontId="6" fillId="0" borderId="12" xfId="0" applyNumberFormat="1" applyFont="1" applyBorder="1" applyAlignment="1" applyProtection="1">
      <alignment horizontal="left" vertical="center" wrapText="1"/>
      <protection locked="0"/>
    </xf>
    <xf numFmtId="1" fontId="6" fillId="0" borderId="17" xfId="0" applyNumberFormat="1" applyFont="1" applyBorder="1" applyAlignment="1" applyProtection="1">
      <alignment horizontal="left" vertical="center" wrapText="1"/>
      <protection locked="0"/>
    </xf>
    <xf numFmtId="0" fontId="36" fillId="15" borderId="14" xfId="0" applyFont="1" applyFill="1" applyBorder="1" applyAlignment="1" applyProtection="1">
      <alignment horizontal="center" vertical="center" wrapText="1"/>
      <protection hidden="1"/>
    </xf>
    <xf numFmtId="0" fontId="36" fillId="15" borderId="17" xfId="0" applyFont="1" applyFill="1" applyBorder="1" applyAlignment="1" applyProtection="1">
      <alignment horizontal="center" vertical="center" wrapText="1"/>
      <protection hidden="1"/>
    </xf>
    <xf numFmtId="0" fontId="34" fillId="14" borderId="14" xfId="0" applyFont="1" applyFill="1" applyBorder="1" applyAlignment="1">
      <alignment horizontal="center" vertical="center" wrapText="1"/>
    </xf>
    <xf numFmtId="0" fontId="34" fillId="14" borderId="17" xfId="0" applyFont="1" applyFill="1" applyBorder="1" applyAlignment="1">
      <alignment horizontal="center" vertical="center" wrapText="1"/>
    </xf>
    <xf numFmtId="164" fontId="52" fillId="5" borderId="47" xfId="0" applyNumberFormat="1" applyFont="1" applyFill="1" applyBorder="1" applyAlignment="1">
      <alignment horizontal="center" vertical="center" wrapText="1"/>
    </xf>
    <xf numFmtId="164" fontId="52" fillId="5" borderId="0" xfId="0" applyNumberFormat="1" applyFont="1" applyFill="1" applyAlignment="1">
      <alignment horizontal="center" vertical="center" wrapText="1"/>
    </xf>
    <xf numFmtId="14" fontId="28" fillId="5" borderId="108" xfId="0" applyNumberFormat="1" applyFont="1" applyFill="1" applyBorder="1" applyAlignment="1" applyProtection="1">
      <alignment horizontal="left" vertical="center"/>
      <protection locked="0"/>
    </xf>
    <xf numFmtId="14" fontId="28" fillId="5" borderId="109" xfId="0" applyNumberFormat="1" applyFont="1" applyFill="1" applyBorder="1" applyAlignment="1" applyProtection="1">
      <alignment horizontal="left" vertical="center"/>
      <protection locked="0"/>
    </xf>
    <xf numFmtId="0" fontId="51" fillId="5" borderId="0" xfId="0" applyFont="1" applyFill="1" applyAlignment="1">
      <alignment horizontal="center" vertical="center"/>
    </xf>
    <xf numFmtId="166" fontId="34" fillId="14" borderId="107" xfId="0" applyNumberFormat="1" applyFont="1" applyFill="1" applyBorder="1" applyAlignment="1">
      <alignment horizontal="left" vertical="center"/>
    </xf>
    <xf numFmtId="166" fontId="34" fillId="14" borderId="108" xfId="0" applyNumberFormat="1" applyFont="1" applyFill="1" applyBorder="1" applyAlignment="1">
      <alignment horizontal="left" vertical="center"/>
    </xf>
    <xf numFmtId="0" fontId="34" fillId="14" borderId="37" xfId="0" applyFont="1" applyFill="1" applyBorder="1" applyAlignment="1">
      <alignment horizontal="center" vertical="center" wrapText="1"/>
    </xf>
    <xf numFmtId="0" fontId="34" fillId="14" borderId="38" xfId="0" applyFont="1" applyFill="1" applyBorder="1" applyAlignment="1">
      <alignment horizontal="center" vertical="center" wrapText="1"/>
    </xf>
    <xf numFmtId="0" fontId="40" fillId="15" borderId="164" xfId="0" applyFont="1" applyFill="1" applyBorder="1" applyAlignment="1">
      <alignment horizontal="left" vertical="center" wrapText="1"/>
    </xf>
    <xf numFmtId="0" fontId="40" fillId="15" borderId="80" xfId="0" applyFont="1" applyFill="1" applyBorder="1" applyAlignment="1">
      <alignment horizontal="left" vertical="center" wrapText="1"/>
    </xf>
    <xf numFmtId="0" fontId="40" fillId="15" borderId="81" xfId="0" applyFont="1" applyFill="1" applyBorder="1" applyAlignment="1">
      <alignment horizontal="left" vertical="center" wrapText="1"/>
    </xf>
    <xf numFmtId="0" fontId="54" fillId="15" borderId="5" xfId="0" applyFont="1" applyFill="1" applyBorder="1" applyAlignment="1">
      <alignment horizontal="left" vertical="top" wrapText="1"/>
    </xf>
    <xf numFmtId="0" fontId="54" fillId="15" borderId="6" xfId="0" applyFont="1" applyFill="1" applyBorder="1" applyAlignment="1">
      <alignment horizontal="left" vertical="top" wrapText="1"/>
    </xf>
    <xf numFmtId="0" fontId="54" fillId="15" borderId="7" xfId="0" applyFont="1" applyFill="1" applyBorder="1" applyAlignment="1">
      <alignment horizontal="left" vertical="top" wrapText="1"/>
    </xf>
    <xf numFmtId="0" fontId="6" fillId="14" borderId="0" xfId="0" applyFont="1" applyFill="1" applyAlignment="1">
      <alignment horizontal="center"/>
    </xf>
    <xf numFmtId="0" fontId="6" fillId="15" borderId="15" xfId="0" applyFont="1" applyFill="1" applyBorder="1" applyAlignment="1">
      <alignment horizontal="left" vertical="top" wrapText="1"/>
    </xf>
    <xf numFmtId="0" fontId="6" fillId="15" borderId="0" xfId="0" applyFont="1" applyFill="1" applyAlignment="1">
      <alignment horizontal="left" vertical="top" wrapText="1"/>
    </xf>
    <xf numFmtId="0" fontId="6" fillId="15" borderId="83" xfId="0" applyFont="1" applyFill="1" applyBorder="1" applyAlignment="1">
      <alignment horizontal="left" vertical="top" wrapText="1"/>
    </xf>
    <xf numFmtId="0" fontId="34" fillId="14" borderId="12" xfId="0" applyFont="1" applyFill="1" applyBorder="1" applyAlignment="1">
      <alignment horizontal="center" vertical="center" wrapText="1"/>
    </xf>
    <xf numFmtId="49" fontId="60" fillId="0" borderId="18" xfId="8" applyNumberFormat="1" applyFont="1" applyBorder="1" applyAlignment="1" applyProtection="1">
      <alignment horizontal="left" vertical="top" wrapText="1"/>
      <protection locked="0"/>
    </xf>
    <xf numFmtId="49" fontId="60" fillId="0" borderId="34" xfId="8" applyNumberFormat="1" applyFont="1" applyBorder="1" applyAlignment="1" applyProtection="1">
      <alignment horizontal="left" vertical="top" wrapText="1"/>
      <protection locked="0"/>
    </xf>
    <xf numFmtId="49" fontId="60" fillId="0" borderId="30" xfId="8" applyNumberFormat="1" applyFont="1" applyBorder="1" applyAlignment="1" applyProtection="1">
      <alignment horizontal="left" vertical="top" wrapText="1"/>
      <protection locked="0"/>
    </xf>
    <xf numFmtId="49" fontId="38" fillId="0" borderId="18" xfId="8" applyNumberFormat="1" applyFont="1" applyBorder="1" applyAlignment="1" applyProtection="1">
      <alignment horizontal="left" vertical="top" wrapText="1"/>
      <protection locked="0"/>
    </xf>
    <xf numFmtId="49" fontId="38" fillId="0" borderId="34" xfId="8" applyNumberFormat="1" applyFont="1" applyBorder="1" applyAlignment="1" applyProtection="1">
      <alignment horizontal="left" vertical="top" wrapText="1"/>
      <protection locked="0"/>
    </xf>
    <xf numFmtId="49" fontId="38" fillId="0" borderId="30" xfId="8" applyNumberFormat="1" applyFont="1" applyBorder="1" applyAlignment="1" applyProtection="1">
      <alignment horizontal="left" vertical="top" wrapText="1"/>
      <protection locked="0"/>
    </xf>
    <xf numFmtId="0" fontId="118" fillId="0" borderId="0" xfId="8" applyFont="1" applyAlignment="1" applyProtection="1">
      <alignment horizontal="left" vertical="top"/>
      <protection hidden="1"/>
    </xf>
    <xf numFmtId="0" fontId="118" fillId="0" borderId="0" xfId="0" applyFont="1" applyAlignment="1" applyProtection="1">
      <alignment horizontal="left" vertical="center" wrapText="1"/>
      <protection hidden="1"/>
    </xf>
    <xf numFmtId="0" fontId="118" fillId="0" borderId="0" xfId="8" applyFont="1" applyAlignment="1" applyProtection="1">
      <alignment horizontal="left" vertical="top" wrapText="1"/>
      <protection hidden="1"/>
    </xf>
    <xf numFmtId="0" fontId="100" fillId="0" borderId="0" xfId="8" applyFont="1" applyAlignment="1" applyProtection="1">
      <alignment horizontal="left" wrapText="1"/>
      <protection hidden="1"/>
    </xf>
    <xf numFmtId="0" fontId="59" fillId="0" borderId="0" xfId="0" applyFont="1" applyAlignment="1" applyProtection="1">
      <alignment horizontal="center" vertical="center" wrapText="1"/>
      <protection hidden="1"/>
    </xf>
    <xf numFmtId="0" fontId="100" fillId="0" borderId="0" xfId="0" applyFont="1" applyAlignment="1" applyProtection="1">
      <alignment horizontal="left" vertical="center" wrapText="1"/>
      <protection hidden="1"/>
    </xf>
    <xf numFmtId="0" fontId="120" fillId="0" borderId="0" xfId="0" applyFont="1" applyAlignment="1" applyProtection="1">
      <alignment horizontal="left" vertical="center" wrapText="1"/>
      <protection hidden="1"/>
    </xf>
    <xf numFmtId="0" fontId="6" fillId="0" borderId="0" xfId="8" applyFont="1" applyAlignment="1" applyProtection="1">
      <alignment horizontal="right" vertical="top" wrapText="1"/>
      <protection hidden="1"/>
    </xf>
    <xf numFmtId="49" fontId="38" fillId="0" borderId="178" xfId="8" applyNumberFormat="1" applyFont="1" applyBorder="1" applyAlignment="1" applyProtection="1">
      <alignment horizontal="left" vertical="top" wrapText="1"/>
      <protection locked="0"/>
    </xf>
    <xf numFmtId="49" fontId="38" fillId="0" borderId="179" xfId="8" applyNumberFormat="1" applyFont="1" applyBorder="1" applyAlignment="1" applyProtection="1">
      <alignment horizontal="left" vertical="top" wrapText="1"/>
      <protection locked="0"/>
    </xf>
    <xf numFmtId="49" fontId="38" fillId="0" borderId="180" xfId="8" applyNumberFormat="1" applyFont="1" applyBorder="1" applyAlignment="1" applyProtection="1">
      <alignment horizontal="left" vertical="top" wrapText="1"/>
      <protection locked="0"/>
    </xf>
    <xf numFmtId="0" fontId="54" fillId="29" borderId="196" xfId="10" applyFont="1" applyFill="1" applyBorder="1" applyAlignment="1" applyProtection="1">
      <alignment horizontal="center" vertical="center" wrapText="1"/>
      <protection hidden="1"/>
    </xf>
    <xf numFmtId="0" fontId="54" fillId="29" borderId="197" xfId="10" applyFont="1" applyFill="1" applyBorder="1" applyAlignment="1" applyProtection="1">
      <alignment horizontal="center" vertical="center" wrapText="1"/>
      <protection hidden="1"/>
    </xf>
    <xf numFmtId="0" fontId="54" fillId="29" borderId="195" xfId="10" applyFont="1" applyFill="1" applyBorder="1" applyAlignment="1" applyProtection="1">
      <alignment horizontal="center" vertical="center" wrapText="1"/>
      <protection hidden="1"/>
    </xf>
    <xf numFmtId="0" fontId="54" fillId="29" borderId="188" xfId="10" applyFont="1" applyFill="1" applyBorder="1" applyAlignment="1" applyProtection="1">
      <alignment horizontal="center" vertical="center"/>
      <protection hidden="1"/>
    </xf>
    <xf numFmtId="0" fontId="54" fillId="29" borderId="190" xfId="10" applyFont="1" applyFill="1" applyBorder="1" applyAlignment="1" applyProtection="1">
      <alignment horizontal="center" vertical="center"/>
      <protection hidden="1"/>
    </xf>
    <xf numFmtId="0" fontId="54" fillId="29" borderId="191" xfId="10" applyFont="1" applyFill="1" applyBorder="1" applyAlignment="1" applyProtection="1">
      <alignment horizontal="center" vertical="center"/>
      <protection hidden="1"/>
    </xf>
    <xf numFmtId="0" fontId="118" fillId="0" borderId="0" xfId="8" applyFont="1" applyProtection="1">
      <protection hidden="1"/>
    </xf>
    <xf numFmtId="0" fontId="118" fillId="0" borderId="0" xfId="8" applyFont="1" applyAlignment="1" applyProtection="1">
      <alignment horizontal="left" wrapText="1"/>
      <protection hidden="1"/>
    </xf>
    <xf numFmtId="49" fontId="38" fillId="0" borderId="23" xfId="8" applyNumberFormat="1" applyFont="1" applyBorder="1" applyAlignment="1" applyProtection="1">
      <alignment horizontal="left" vertical="top" wrapText="1"/>
      <protection locked="0"/>
    </xf>
    <xf numFmtId="49" fontId="38" fillId="0" borderId="24" xfId="8" applyNumberFormat="1" applyFont="1" applyBorder="1" applyAlignment="1" applyProtection="1">
      <alignment horizontal="left" vertical="top" wrapText="1"/>
      <protection locked="0"/>
    </xf>
    <xf numFmtId="0" fontId="118" fillId="0" borderId="0" xfId="8" applyFont="1" applyAlignment="1" applyProtection="1">
      <alignment horizontal="left" vertical="center" wrapText="1"/>
      <protection hidden="1"/>
    </xf>
    <xf numFmtId="0" fontId="34" fillId="14" borderId="181" xfId="10" applyFont="1" applyFill="1" applyBorder="1" applyAlignment="1" applyProtection="1">
      <alignment horizontal="center" vertical="center" wrapText="1"/>
      <protection hidden="1"/>
    </xf>
    <xf numFmtId="0" fontId="34" fillId="14" borderId="184" xfId="10" applyFont="1" applyFill="1" applyBorder="1" applyAlignment="1" applyProtection="1">
      <alignment horizontal="center" vertical="center" wrapText="1"/>
      <protection hidden="1"/>
    </xf>
    <xf numFmtId="49" fontId="38" fillId="0" borderId="1" xfId="8" applyNumberFormat="1" applyFont="1" applyBorder="1" applyAlignment="1" applyProtection="1">
      <alignment horizontal="left" vertical="top" wrapText="1"/>
      <protection locked="0"/>
    </xf>
    <xf numFmtId="49" fontId="38" fillId="0" borderId="21" xfId="8" applyNumberFormat="1" applyFont="1" applyBorder="1" applyAlignment="1" applyProtection="1">
      <alignment horizontal="left" vertical="top" wrapText="1"/>
      <protection locked="0"/>
    </xf>
    <xf numFmtId="49" fontId="38" fillId="0" borderId="54" xfId="8" applyNumberFormat="1" applyFont="1" applyBorder="1" applyAlignment="1" applyProtection="1">
      <alignment horizontal="left" vertical="top" wrapText="1"/>
      <protection locked="0"/>
    </xf>
    <xf numFmtId="49" fontId="38" fillId="0" borderId="55" xfId="8" applyNumberFormat="1" applyFont="1" applyBorder="1" applyAlignment="1" applyProtection="1">
      <alignment horizontal="left" vertical="top" wrapText="1"/>
      <protection locked="0"/>
    </xf>
    <xf numFmtId="49" fontId="38" fillId="0" borderId="1" xfId="8" applyNumberFormat="1" applyFont="1" applyBorder="1" applyAlignment="1" applyProtection="1">
      <alignment vertical="center" wrapText="1"/>
      <protection locked="0"/>
    </xf>
    <xf numFmtId="49" fontId="45" fillId="0" borderId="1" xfId="2" applyNumberFormat="1" applyFont="1" applyBorder="1" applyAlignment="1">
      <alignment horizontal="left" vertical="center" wrapText="1"/>
      <protection locked="0"/>
    </xf>
    <xf numFmtId="49" fontId="44" fillId="0" borderId="1" xfId="8" applyNumberFormat="1" applyFont="1" applyBorder="1" applyAlignment="1" applyProtection="1">
      <alignment horizontal="left" vertical="center" wrapText="1"/>
      <protection locked="0"/>
    </xf>
    <xf numFmtId="49" fontId="118" fillId="0" borderId="0" xfId="8" applyNumberFormat="1" applyFont="1" applyAlignment="1">
      <alignment horizontal="left" vertical="top" wrapText="1"/>
    </xf>
    <xf numFmtId="49" fontId="38" fillId="0" borderId="1" xfId="8" applyNumberFormat="1" applyFont="1" applyBorder="1" applyAlignment="1" applyProtection="1">
      <alignment horizontal="left" vertical="center" wrapText="1"/>
      <protection locked="0"/>
    </xf>
    <xf numFmtId="0" fontId="56" fillId="0" borderId="0" xfId="8" applyFont="1" applyAlignment="1" applyProtection="1">
      <alignment horizontal="left" vertical="center" wrapText="1"/>
      <protection hidden="1"/>
    </xf>
    <xf numFmtId="49" fontId="39" fillId="0" borderId="18" xfId="8" applyNumberFormat="1" applyFont="1" applyBorder="1" applyAlignment="1" applyProtection="1">
      <alignment horizontal="left" vertical="center" wrapText="1"/>
      <protection locked="0"/>
    </xf>
    <xf numFmtId="49" fontId="39" fillId="0" borderId="34" xfId="8" applyNumberFormat="1" applyFont="1" applyBorder="1" applyAlignment="1" applyProtection="1">
      <alignment horizontal="left" vertical="center" wrapText="1"/>
      <protection locked="0"/>
    </xf>
    <xf numFmtId="49" fontId="39" fillId="0" borderId="30" xfId="8" applyNumberFormat="1" applyFont="1" applyBorder="1" applyAlignment="1" applyProtection="1">
      <alignment horizontal="left" vertical="center" wrapText="1"/>
      <protection locked="0"/>
    </xf>
    <xf numFmtId="0" fontId="39" fillId="29" borderId="18" xfId="8" applyFont="1" applyFill="1" applyBorder="1" applyAlignment="1">
      <alignment horizontal="left" vertical="center" wrapText="1"/>
    </xf>
    <xf numFmtId="0" fontId="39" fillId="29" borderId="34" xfId="8" applyFont="1" applyFill="1" applyBorder="1" applyAlignment="1">
      <alignment horizontal="left" vertical="center" wrapText="1"/>
    </xf>
    <xf numFmtId="0" fontId="39" fillId="29" borderId="30" xfId="8" applyFont="1" applyFill="1" applyBorder="1" applyAlignment="1">
      <alignment horizontal="left" vertical="center" wrapText="1"/>
    </xf>
    <xf numFmtId="49" fontId="38" fillId="0" borderId="64" xfId="8" applyNumberFormat="1" applyFont="1" applyBorder="1" applyAlignment="1" applyProtection="1">
      <alignment horizontal="left" vertical="center" wrapText="1"/>
      <protection locked="0"/>
    </xf>
    <xf numFmtId="0" fontId="6" fillId="5" borderId="15" xfId="0" applyFont="1" applyFill="1" applyBorder="1" applyAlignment="1">
      <alignment horizontal="left" vertical="center" wrapText="1"/>
    </xf>
    <xf numFmtId="0" fontId="6" fillId="5" borderId="4" xfId="0" applyFont="1" applyFill="1" applyBorder="1" applyAlignment="1">
      <alignment horizontal="left" vertical="center" wrapText="1"/>
    </xf>
    <xf numFmtId="0" fontId="6" fillId="5" borderId="5" xfId="0" applyFont="1" applyFill="1" applyBorder="1" applyAlignment="1">
      <alignment horizontal="left" vertical="center" wrapText="1"/>
    </xf>
    <xf numFmtId="0" fontId="6" fillId="5" borderId="6" xfId="0" applyFont="1" applyFill="1" applyBorder="1" applyAlignment="1">
      <alignment horizontal="left" vertical="center" wrapText="1"/>
    </xf>
    <xf numFmtId="0" fontId="6" fillId="5" borderId="7" xfId="0" applyFont="1" applyFill="1" applyBorder="1" applyAlignment="1">
      <alignment horizontal="left" vertical="center" wrapText="1"/>
    </xf>
    <xf numFmtId="0" fontId="19" fillId="14" borderId="14" xfId="2" applyFont="1" applyFill="1" applyBorder="1" applyAlignment="1" applyProtection="1">
      <alignment horizontal="center" vertical="center"/>
    </xf>
    <xf numFmtId="0" fontId="19" fillId="14" borderId="12" xfId="2" applyFont="1" applyFill="1" applyBorder="1" applyAlignment="1" applyProtection="1">
      <alignment horizontal="center" vertical="center"/>
    </xf>
    <xf numFmtId="0" fontId="19" fillId="14" borderId="17" xfId="2" applyFont="1" applyFill="1" applyBorder="1" applyAlignment="1" applyProtection="1">
      <alignment horizontal="center" vertical="center"/>
    </xf>
    <xf numFmtId="0" fontId="83" fillId="17" borderId="146" xfId="0" applyFont="1" applyFill="1" applyBorder="1" applyAlignment="1" applyProtection="1">
      <alignment horizontal="left" vertical="center"/>
      <protection hidden="1"/>
    </xf>
    <xf numFmtId="0" fontId="83" fillId="17" borderId="144" xfId="0" applyFont="1" applyFill="1" applyBorder="1" applyAlignment="1" applyProtection="1">
      <alignment horizontal="left" vertical="center"/>
      <protection hidden="1"/>
    </xf>
    <xf numFmtId="0" fontId="28" fillId="5" borderId="165" xfId="4" applyFont="1" applyFill="1" applyBorder="1" applyAlignment="1">
      <alignment horizontal="left" vertical="top" wrapText="1"/>
    </xf>
    <xf numFmtId="0" fontId="28" fillId="5" borderId="85" xfId="4" applyFont="1" applyFill="1" applyBorder="1" applyAlignment="1">
      <alignment horizontal="left" vertical="top" wrapText="1"/>
    </xf>
    <xf numFmtId="0" fontId="28" fillId="5" borderId="168" xfId="4" applyFont="1" applyFill="1" applyBorder="1" applyAlignment="1">
      <alignment horizontal="left" vertical="top" wrapText="1"/>
    </xf>
    <xf numFmtId="0" fontId="87" fillId="0" borderId="0" xfId="0" applyFont="1" applyAlignment="1" applyProtection="1">
      <alignment horizontal="left" vertical="center" wrapText="1"/>
      <protection hidden="1"/>
    </xf>
    <xf numFmtId="0" fontId="87" fillId="0" borderId="148" xfId="0" applyFont="1" applyBorder="1" applyAlignment="1" applyProtection="1">
      <alignment horizontal="left" vertical="center" wrapText="1"/>
      <protection hidden="1"/>
    </xf>
    <xf numFmtId="0" fontId="86" fillId="0" borderId="147" xfId="0" applyFont="1" applyBorder="1" applyAlignment="1" applyProtection="1">
      <alignment horizontal="left" wrapText="1"/>
      <protection hidden="1"/>
    </xf>
    <xf numFmtId="0" fontId="77" fillId="0" borderId="0" xfId="0" applyFont="1" applyAlignment="1" applyProtection="1">
      <alignment horizontal="left" vertical="top" wrapText="1"/>
      <protection hidden="1"/>
    </xf>
    <xf numFmtId="0" fontId="83" fillId="14" borderId="0" xfId="0" applyFont="1" applyFill="1" applyAlignment="1" applyProtection="1">
      <alignment horizontal="left" vertical="center" wrapText="1"/>
      <protection hidden="1"/>
    </xf>
    <xf numFmtId="0" fontId="6" fillId="0" borderId="82" xfId="18" applyFont="1" applyBorder="1" applyAlignment="1" applyProtection="1">
      <alignment vertical="top" wrapText="1"/>
      <protection hidden="1"/>
    </xf>
    <xf numFmtId="0" fontId="28" fillId="0" borderId="18" xfId="17" applyFont="1" applyBorder="1" applyAlignment="1" applyProtection="1">
      <alignment horizontal="left" vertical="top" wrapText="1"/>
      <protection locked="0"/>
    </xf>
    <xf numFmtId="0" fontId="28" fillId="0" borderId="34" xfId="17" applyFont="1" applyBorder="1" applyAlignment="1" applyProtection="1">
      <alignment horizontal="left" vertical="top" wrapText="1"/>
      <protection locked="0"/>
    </xf>
    <xf numFmtId="0" fontId="28" fillId="0" borderId="91" xfId="17" applyFont="1" applyBorder="1" applyAlignment="1" applyProtection="1">
      <alignment horizontal="left" vertical="top" wrapText="1"/>
      <protection locked="0"/>
    </xf>
    <xf numFmtId="0" fontId="6" fillId="0" borderId="0" xfId="18" applyFont="1" applyAlignment="1" applyProtection="1">
      <alignment horizontal="left" vertical="top" wrapText="1"/>
      <protection hidden="1"/>
    </xf>
    <xf numFmtId="0" fontId="6" fillId="0" borderId="82" xfId="18" applyFont="1" applyBorder="1" applyAlignment="1" applyProtection="1">
      <alignment horizontal="left" vertical="center" wrapText="1"/>
      <protection hidden="1"/>
    </xf>
    <xf numFmtId="0" fontId="39" fillId="0" borderId="82" xfId="18" applyFont="1" applyBorder="1" applyAlignment="1" applyProtection="1">
      <alignment horizontal="left" vertical="center" wrapText="1"/>
      <protection hidden="1"/>
    </xf>
    <xf numFmtId="0" fontId="39" fillId="0" borderId="0" xfId="18" applyFont="1" applyAlignment="1" applyProtection="1">
      <alignment horizontal="left" vertical="center" wrapText="1"/>
      <protection hidden="1"/>
    </xf>
    <xf numFmtId="0" fontId="39" fillId="0" borderId="83" xfId="18" applyFont="1" applyBorder="1" applyAlignment="1" applyProtection="1">
      <alignment horizontal="left" vertical="center" wrapText="1"/>
      <protection hidden="1"/>
    </xf>
    <xf numFmtId="0" fontId="38" fillId="0" borderId="1" xfId="18" applyFont="1" applyBorder="1" applyAlignment="1" applyProtection="1">
      <alignment horizontal="left" vertical="center" wrapText="1"/>
      <protection hidden="1"/>
    </xf>
    <xf numFmtId="0" fontId="38" fillId="0" borderId="92" xfId="18" applyFont="1" applyBorder="1" applyAlignment="1" applyProtection="1">
      <alignment horizontal="left" vertical="center" wrapText="1"/>
      <protection hidden="1"/>
    </xf>
    <xf numFmtId="0" fontId="6" fillId="0" borderId="82" xfId="18" applyFont="1" applyBorder="1" applyAlignment="1" applyProtection="1">
      <alignment horizontal="left" vertical="top" wrapText="1"/>
      <protection hidden="1"/>
    </xf>
    <xf numFmtId="0" fontId="37" fillId="16" borderId="62" xfId="17" applyFont="1" applyFill="1" applyBorder="1" applyAlignment="1" applyProtection="1">
      <alignment horizontal="left" vertical="top" wrapText="1"/>
      <protection hidden="1"/>
    </xf>
    <xf numFmtId="0" fontId="37" fillId="16" borderId="0" xfId="17" applyFont="1" applyFill="1" applyAlignment="1" applyProtection="1">
      <alignment horizontal="left" vertical="top" wrapText="1"/>
      <protection hidden="1"/>
    </xf>
    <xf numFmtId="0" fontId="37" fillId="16" borderId="63" xfId="17" applyFont="1" applyFill="1" applyBorder="1" applyAlignment="1" applyProtection="1">
      <alignment horizontal="left" vertical="top" wrapText="1"/>
      <protection hidden="1"/>
    </xf>
    <xf numFmtId="0" fontId="28" fillId="0" borderId="97" xfId="17" applyFont="1" applyBorder="1" applyAlignment="1" applyProtection="1">
      <alignment horizontal="center" vertical="top" wrapText="1"/>
      <protection hidden="1"/>
    </xf>
    <xf numFmtId="0" fontId="28" fillId="0" borderId="34" xfId="17" applyFont="1" applyBorder="1" applyAlignment="1" applyProtection="1">
      <alignment horizontal="center" vertical="top" wrapText="1"/>
      <protection hidden="1"/>
    </xf>
    <xf numFmtId="0" fontId="28" fillId="0" borderId="91" xfId="17" applyFont="1" applyBorder="1" applyAlignment="1" applyProtection="1">
      <alignment horizontal="center" vertical="top" wrapText="1"/>
      <protection hidden="1"/>
    </xf>
    <xf numFmtId="0" fontId="28" fillId="0" borderId="1" xfId="17" applyFont="1" applyBorder="1" applyAlignment="1" applyProtection="1">
      <alignment horizontal="left" vertical="top" wrapText="1"/>
      <protection locked="0"/>
    </xf>
    <xf numFmtId="0" fontId="28" fillId="0" borderId="92" xfId="17" applyFont="1" applyBorder="1" applyAlignment="1" applyProtection="1">
      <alignment horizontal="left" vertical="top" wrapText="1"/>
      <protection locked="0"/>
    </xf>
    <xf numFmtId="0" fontId="28" fillId="0" borderId="27" xfId="17" applyFont="1" applyBorder="1" applyAlignment="1" applyProtection="1">
      <alignment horizontal="left" vertical="top" wrapText="1"/>
      <protection locked="0"/>
    </xf>
    <xf numFmtId="0" fontId="28" fillId="0" borderId="48" xfId="17" applyFont="1" applyBorder="1" applyAlignment="1" applyProtection="1">
      <alignment horizontal="left" vertical="top" wrapText="1"/>
      <protection locked="0"/>
    </xf>
    <xf numFmtId="0" fontId="28" fillId="0" borderId="94" xfId="17" applyFont="1" applyBorder="1" applyAlignment="1" applyProtection="1">
      <alignment horizontal="left" vertical="top" wrapText="1"/>
      <protection locked="0"/>
    </xf>
    <xf numFmtId="0" fontId="28" fillId="0" borderId="82" xfId="17" applyFont="1" applyBorder="1" applyAlignment="1" applyProtection="1">
      <alignment horizontal="left" vertical="center" wrapText="1"/>
      <protection hidden="1"/>
    </xf>
    <xf numFmtId="0" fontId="28" fillId="0" borderId="63" xfId="17" applyFont="1" applyBorder="1" applyAlignment="1" applyProtection="1">
      <alignment horizontal="left" vertical="center" wrapText="1"/>
      <protection hidden="1"/>
    </xf>
    <xf numFmtId="0" fontId="18" fillId="0" borderId="95" xfId="17" applyFont="1" applyBorder="1" applyAlignment="1" applyProtection="1">
      <alignment horizontal="center" vertical="center" wrapText="1"/>
      <protection hidden="1"/>
    </xf>
    <xf numFmtId="0" fontId="18" fillId="0" borderId="48" xfId="17" applyFont="1" applyBorder="1" applyAlignment="1" applyProtection="1">
      <alignment horizontal="center" vertical="center" wrapText="1"/>
      <protection hidden="1"/>
    </xf>
    <xf numFmtId="0" fontId="18" fillId="0" borderId="94" xfId="17" applyFont="1" applyBorder="1" applyAlignment="1" applyProtection="1">
      <alignment horizontal="center" vertical="center" wrapText="1"/>
      <protection hidden="1"/>
    </xf>
    <xf numFmtId="0" fontId="72" fillId="0" borderId="95" xfId="12" applyFont="1" applyBorder="1" applyAlignment="1" applyProtection="1">
      <alignment horizontal="center" vertical="center" wrapText="1"/>
      <protection hidden="1"/>
    </xf>
    <xf numFmtId="0" fontId="72" fillId="0" borderId="48" xfId="12" applyFont="1" applyBorder="1" applyAlignment="1" applyProtection="1">
      <alignment horizontal="center" vertical="center" wrapText="1"/>
      <protection hidden="1"/>
    </xf>
    <xf numFmtId="0" fontId="72" fillId="0" borderId="94" xfId="12" applyFont="1" applyBorder="1" applyAlignment="1" applyProtection="1">
      <alignment horizontal="center" vertical="center" wrapText="1"/>
      <protection hidden="1"/>
    </xf>
    <xf numFmtId="0" fontId="48" fillId="0" borderId="96" xfId="17" applyFont="1" applyBorder="1" applyAlignment="1" applyProtection="1">
      <alignment horizontal="left" vertical="top" wrapText="1"/>
      <protection hidden="1"/>
    </xf>
    <xf numFmtId="0" fontId="36" fillId="0" borderId="1" xfId="18" applyFont="1" applyBorder="1" applyAlignment="1" applyProtection="1">
      <alignment horizontal="center" vertical="center"/>
      <protection locked="0"/>
    </xf>
    <xf numFmtId="0" fontId="1" fillId="0" borderId="61" xfId="18" applyFont="1" applyBorder="1" applyAlignment="1" applyProtection="1">
      <alignment horizontal="left" vertical="top"/>
      <protection locked="0"/>
    </xf>
    <xf numFmtId="0" fontId="1" fillId="0" borderId="47" xfId="18" applyFont="1" applyBorder="1" applyAlignment="1" applyProtection="1">
      <alignment horizontal="left" vertical="top"/>
      <protection locked="0"/>
    </xf>
    <xf numFmtId="0" fontId="1" fillId="0" borderId="93" xfId="18" applyFont="1" applyBorder="1" applyAlignment="1" applyProtection="1">
      <alignment horizontal="left" vertical="top"/>
      <protection locked="0"/>
    </xf>
    <xf numFmtId="0" fontId="1" fillId="0" borderId="27" xfId="18" applyFont="1" applyBorder="1" applyAlignment="1" applyProtection="1">
      <alignment horizontal="left" vertical="top"/>
      <protection locked="0"/>
    </xf>
    <xf numFmtId="0" fontId="1" fillId="0" borderId="48" xfId="18" applyFont="1" applyBorder="1" applyAlignment="1" applyProtection="1">
      <alignment horizontal="left" vertical="top"/>
      <protection locked="0"/>
    </xf>
    <xf numFmtId="0" fontId="1" fillId="0" borderId="94" xfId="18" applyFont="1" applyBorder="1" applyAlignment="1" applyProtection="1">
      <alignment horizontal="left" vertical="top"/>
      <protection locked="0"/>
    </xf>
    <xf numFmtId="0" fontId="6" fillId="0" borderId="0" xfId="18" applyFont="1" applyAlignment="1" applyProtection="1">
      <alignment vertical="center" wrapText="1"/>
      <protection hidden="1"/>
    </xf>
    <xf numFmtId="0" fontId="72" fillId="0" borderId="97" xfId="17" applyFont="1" applyBorder="1" applyAlignment="1" applyProtection="1">
      <alignment horizontal="center" vertical="top" wrapText="1"/>
      <protection hidden="1"/>
    </xf>
    <xf numFmtId="0" fontId="72" fillId="0" borderId="34" xfId="17" applyFont="1" applyBorder="1" applyAlignment="1" applyProtection="1">
      <alignment horizontal="center" vertical="top" wrapText="1"/>
      <protection hidden="1"/>
    </xf>
    <xf numFmtId="0" fontId="72" fillId="0" borderId="91" xfId="17" applyFont="1" applyBorder="1" applyAlignment="1" applyProtection="1">
      <alignment horizontal="center" vertical="top" wrapText="1"/>
      <protection hidden="1"/>
    </xf>
    <xf numFmtId="0" fontId="48" fillId="0" borderId="98" xfId="17" applyFont="1" applyBorder="1" applyAlignment="1" applyProtection="1">
      <alignment horizontal="left" vertical="top" wrapText="1"/>
      <protection hidden="1"/>
    </xf>
    <xf numFmtId="0" fontId="36" fillId="0" borderId="20" xfId="18" applyFont="1" applyBorder="1" applyAlignment="1" applyProtection="1">
      <alignment horizontal="center" vertical="center"/>
      <protection locked="0"/>
    </xf>
    <xf numFmtId="0" fontId="1" fillId="0" borderId="62" xfId="18" applyFont="1" applyBorder="1" applyAlignment="1" applyProtection="1">
      <alignment horizontal="left" vertical="top"/>
      <protection locked="0"/>
    </xf>
    <xf numFmtId="0" fontId="1" fillId="0" borderId="0" xfId="18" applyFont="1" applyAlignment="1" applyProtection="1">
      <alignment horizontal="left" vertical="top"/>
      <protection locked="0"/>
    </xf>
    <xf numFmtId="0" fontId="1" fillId="0" borderId="83" xfId="18" applyFont="1" applyBorder="1" applyAlignment="1" applyProtection="1">
      <alignment horizontal="left" vertical="top"/>
      <protection locked="0"/>
    </xf>
    <xf numFmtId="0" fontId="6" fillId="0" borderId="0" xfId="18" applyFont="1" applyAlignment="1" applyProtection="1">
      <alignment horizontal="left" vertical="center" wrapText="1"/>
      <protection hidden="1"/>
    </xf>
    <xf numFmtId="0" fontId="1" fillId="0" borderId="18" xfId="18" applyFont="1" applyBorder="1" applyAlignment="1" applyProtection="1">
      <alignment horizontal="left" vertical="top"/>
      <protection locked="0"/>
    </xf>
    <xf numFmtId="0" fontId="1" fillId="0" borderId="34" xfId="18" applyFont="1" applyBorder="1" applyAlignment="1" applyProtection="1">
      <alignment horizontal="left" vertical="top"/>
      <protection locked="0"/>
    </xf>
    <xf numFmtId="0" fontId="1" fillId="0" borderId="91" xfId="18" applyFont="1" applyBorder="1" applyAlignment="1" applyProtection="1">
      <alignment horizontal="left" vertical="top"/>
      <protection locked="0"/>
    </xf>
    <xf numFmtId="2" fontId="6" fillId="0" borderId="1" xfId="18" applyNumberFormat="1" applyFont="1" applyBorder="1" applyAlignment="1" applyProtection="1">
      <alignment horizontal="center" vertical="center" wrapText="1"/>
      <protection locked="0"/>
    </xf>
    <xf numFmtId="49" fontId="6" fillId="0" borderId="18" xfId="18" applyNumberFormat="1" applyFont="1" applyBorder="1" applyAlignment="1" applyProtection="1">
      <alignment horizontal="center" vertical="center" wrapText="1"/>
      <protection locked="0"/>
    </xf>
    <xf numFmtId="49" fontId="6" fillId="0" borderId="34" xfId="18" applyNumberFormat="1" applyFont="1" applyBorder="1" applyAlignment="1" applyProtection="1">
      <alignment horizontal="center" vertical="center" wrapText="1"/>
      <protection locked="0"/>
    </xf>
    <xf numFmtId="49" fontId="6" fillId="0" borderId="30" xfId="18" applyNumberFormat="1" applyFont="1" applyBorder="1" applyAlignment="1" applyProtection="1">
      <alignment horizontal="center" vertical="center" wrapText="1"/>
      <protection locked="0"/>
    </xf>
    <xf numFmtId="172" fontId="6" fillId="0" borderId="18" xfId="18" applyNumberFormat="1" applyFont="1" applyBorder="1" applyAlignment="1" applyProtection="1">
      <alignment horizontal="center" vertical="center" wrapText="1"/>
      <protection locked="0"/>
    </xf>
    <xf numFmtId="172" fontId="6" fillId="0" borderId="30" xfId="18" applyNumberFormat="1" applyFont="1" applyBorder="1" applyAlignment="1" applyProtection="1">
      <alignment horizontal="center" vertical="center" wrapText="1"/>
      <protection locked="0"/>
    </xf>
    <xf numFmtId="0" fontId="28" fillId="5" borderId="1" xfId="17" applyFont="1" applyFill="1" applyBorder="1" applyAlignment="1" applyProtection="1">
      <alignment horizontal="left" vertical="center" wrapText="1"/>
      <protection hidden="1"/>
    </xf>
    <xf numFmtId="0" fontId="28" fillId="5" borderId="92" xfId="17" applyFont="1" applyFill="1" applyBorder="1" applyAlignment="1" applyProtection="1">
      <alignment horizontal="left" vertical="center" wrapText="1"/>
      <protection hidden="1"/>
    </xf>
    <xf numFmtId="49" fontId="76" fillId="0" borderId="96" xfId="18" applyNumberFormat="1" applyFont="1" applyBorder="1" applyAlignment="1" applyProtection="1">
      <alignment horizontal="left" vertical="top" wrapText="1"/>
      <protection locked="0"/>
    </xf>
    <xf numFmtId="49" fontId="76" fillId="0" borderId="1" xfId="18" applyNumberFormat="1" applyFont="1" applyBorder="1" applyAlignment="1" applyProtection="1">
      <alignment horizontal="left" vertical="top" wrapText="1"/>
      <protection locked="0"/>
    </xf>
    <xf numFmtId="49" fontId="76" fillId="0" borderId="92" xfId="18" applyNumberFormat="1" applyFont="1" applyBorder="1" applyAlignment="1" applyProtection="1">
      <alignment horizontal="left" vertical="top" wrapText="1"/>
      <protection locked="0"/>
    </xf>
    <xf numFmtId="49" fontId="6" fillId="0" borderId="96" xfId="18" applyNumberFormat="1" applyFont="1" applyBorder="1" applyAlignment="1" applyProtection="1">
      <alignment horizontal="left" vertical="top" wrapText="1"/>
      <protection locked="0"/>
    </xf>
    <xf numFmtId="49" fontId="6" fillId="0" borderId="1" xfId="18" applyNumberFormat="1" applyFont="1" applyBorder="1" applyAlignment="1" applyProtection="1">
      <alignment horizontal="left" vertical="top" wrapText="1"/>
      <protection locked="0"/>
    </xf>
    <xf numFmtId="49" fontId="6" fillId="0" borderId="92" xfId="18" applyNumberFormat="1" applyFont="1" applyBorder="1" applyAlignment="1" applyProtection="1">
      <alignment horizontal="left" vertical="top" wrapText="1"/>
      <protection locked="0"/>
    </xf>
    <xf numFmtId="49" fontId="6" fillId="0" borderId="96" xfId="18" applyNumberFormat="1" applyFont="1" applyBorder="1" applyAlignment="1" applyProtection="1">
      <alignment horizontal="left" vertical="top" wrapText="1"/>
      <protection hidden="1"/>
    </xf>
    <xf numFmtId="49" fontId="6" fillId="0" borderId="1" xfId="18" applyNumberFormat="1" applyFont="1" applyBorder="1" applyAlignment="1" applyProtection="1">
      <alignment horizontal="left" vertical="top" wrapText="1"/>
      <protection hidden="1"/>
    </xf>
    <xf numFmtId="49" fontId="6" fillId="0" borderId="92" xfId="18" applyNumberFormat="1" applyFont="1" applyBorder="1" applyAlignment="1" applyProtection="1">
      <alignment horizontal="left" vertical="top" wrapText="1"/>
      <protection hidden="1"/>
    </xf>
    <xf numFmtId="0" fontId="6" fillId="5" borderId="15" xfId="0" applyFont="1" applyFill="1" applyBorder="1" applyAlignment="1">
      <alignment horizontal="center" vertical="center" wrapText="1"/>
    </xf>
    <xf numFmtId="0" fontId="6" fillId="5" borderId="63" xfId="0" applyFont="1" applyFill="1" applyBorder="1" applyAlignment="1">
      <alignment horizontal="center" vertical="center" wrapText="1"/>
    </xf>
    <xf numFmtId="0" fontId="6" fillId="5" borderId="51" xfId="0" applyFont="1" applyFill="1" applyBorder="1" applyAlignment="1">
      <alignment horizontal="center" vertical="center" wrapText="1"/>
    </xf>
    <xf numFmtId="0" fontId="6" fillId="5" borderId="30" xfId="0" applyFont="1" applyFill="1" applyBorder="1" applyAlignment="1">
      <alignment horizontal="center" vertical="center" wrapText="1"/>
    </xf>
    <xf numFmtId="0" fontId="6" fillId="5" borderId="34" xfId="0" applyFont="1" applyFill="1" applyBorder="1" applyAlignment="1">
      <alignment horizontal="left" vertical="center" wrapText="1"/>
    </xf>
    <xf numFmtId="0" fontId="6" fillId="5" borderId="32" xfId="0" applyFont="1" applyFill="1" applyBorder="1" applyAlignment="1">
      <alignment horizontal="left" vertical="center" wrapText="1"/>
    </xf>
    <xf numFmtId="0" fontId="6" fillId="5" borderId="5" xfId="0" applyFont="1" applyFill="1" applyBorder="1" applyAlignment="1">
      <alignment horizontal="center" vertical="center" wrapText="1"/>
    </xf>
    <xf numFmtId="0" fontId="6" fillId="5" borderId="60" xfId="0" applyFont="1" applyFill="1" applyBorder="1" applyAlignment="1">
      <alignment horizontal="center" vertical="center" wrapText="1"/>
    </xf>
  </cellXfs>
  <cellStyles count="28">
    <cellStyle name="Comma" xfId="1" builtinId="3"/>
    <cellStyle name="Comma 2" xfId="16" xr:uid="{198090A5-DB3D-4717-AFBE-53328CBC628A}"/>
    <cellStyle name="Currency" xfId="27" builtinId="4"/>
    <cellStyle name="Hyperlink" xfId="2" builtinId="8"/>
    <cellStyle name="Hyperlink 2" xfId="14" xr:uid="{B608BFAC-8FA7-4597-AFD4-5670769BA40C}"/>
    <cellStyle name="Hyperlink 2 2" xfId="22" xr:uid="{BF3BD3BE-588B-446B-9B90-A4391CC246CE}"/>
    <cellStyle name="Hyperlink 3" xfId="24" xr:uid="{D96049BE-9099-4EBE-B9D5-8737D823FACF}"/>
    <cellStyle name="Normal" xfId="0" builtinId="0"/>
    <cellStyle name="Normal 2" xfId="3" xr:uid="{00000000-0005-0000-0000-000003000000}"/>
    <cellStyle name="Normal 2 2" xfId="7" xr:uid="{00000000-0005-0000-0000-000004000000}"/>
    <cellStyle name="Normal 2 2 2" xfId="13" xr:uid="{D7299017-8753-4546-985F-A1108D118940}"/>
    <cellStyle name="Normal 2 3" xfId="11" xr:uid="{E9AE6938-9A56-45E5-B27C-239626E232AD}"/>
    <cellStyle name="Normal 2 3 2" xfId="17" xr:uid="{9898A57F-9442-4A6A-A2DC-39406613008F}"/>
    <cellStyle name="Normal 3" xfId="6" xr:uid="{00000000-0005-0000-0000-000005000000}"/>
    <cellStyle name="Normal 3 2" xfId="10" xr:uid="{D19C9527-A987-47C6-ABF5-4F88D4BF8A32}"/>
    <cellStyle name="Normal 3 2 2" xfId="18" xr:uid="{85F5C5CA-4C2D-4036-B70B-73F4BE8AE37B}"/>
    <cellStyle name="Normal 3 2 2 2 2 2 2" xfId="20" xr:uid="{8D0B2031-AD6C-4DCF-BE9B-82F964802043}"/>
    <cellStyle name="Normal 3 2 3" xfId="23" xr:uid="{2E7A42D6-9970-4869-8610-4F5BD7657486}"/>
    <cellStyle name="Normal 4" xfId="8" xr:uid="{3004391E-675B-4EBB-9A84-B2A10F374D8B}"/>
    <cellStyle name="Normal 4 2" xfId="21" xr:uid="{BD205D35-BEFF-4DC4-8A24-43D3F6E1A0FA}"/>
    <cellStyle name="Normal 4 8 2 2 2" xfId="26" xr:uid="{8D52D294-C024-46C7-86C9-7D7B9026CAC6}"/>
    <cellStyle name="Normal 4 9 2 2" xfId="25" xr:uid="{B9A3B12C-40AD-46F1-BE57-C606712DF965}"/>
    <cellStyle name="Normal 5" xfId="15" xr:uid="{BD987027-1EEC-41E5-A101-4A319B25DB25}"/>
    <cellStyle name="Normal_Business Case Assessment Report Pro-forma" xfId="12" xr:uid="{8DF482F5-1544-4218-A070-C378A9B6132F}"/>
    <cellStyle name="Normal_Oct 2004 Local Fund Projects r03" xfId="4" xr:uid="{00000000-0005-0000-0000-000007000000}"/>
    <cellStyle name="Percent" xfId="5" builtinId="5"/>
    <cellStyle name="Percent 2" xfId="9" xr:uid="{3AF66880-2D5A-4E2F-8A9E-A611934A3AE5}"/>
    <cellStyle name="Percent 2 2" xfId="19" xr:uid="{A0F6A9E6-31E8-4C8F-B638-71CF6CA58089}"/>
  </cellStyles>
  <dxfs count="120">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rgb="FF00B050"/>
      </font>
      <fill>
        <patternFill>
          <bgColor rgb="FF00B050"/>
        </patternFill>
      </fill>
    </dxf>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FF0000"/>
      </font>
      <fill>
        <patternFill>
          <bgColor rgb="FFFF0000"/>
        </patternFill>
      </fill>
    </dxf>
    <dxf>
      <font>
        <color rgb="FFFFC000"/>
      </font>
      <fill>
        <patternFill>
          <bgColor rgb="FFFFC00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00B050"/>
      </font>
      <fill>
        <patternFill>
          <bgColor rgb="FF00B050"/>
        </patternFill>
      </fill>
    </dxf>
    <dxf>
      <font>
        <color rgb="FFFF0000"/>
      </font>
      <fill>
        <patternFill>
          <bgColor rgb="FFFF0000"/>
        </patternFill>
      </fill>
    </dxf>
    <dxf>
      <font>
        <color rgb="FFFFC000"/>
      </font>
      <fill>
        <patternFill>
          <bgColor rgb="FFFFC00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rgb="FFFF0000"/>
      </font>
      <fill>
        <patternFill>
          <bgColor rgb="FFFF0000"/>
        </patternFill>
      </fill>
    </dxf>
    <dxf>
      <font>
        <color rgb="FF00B050"/>
      </font>
      <fill>
        <patternFill>
          <bgColor rgb="FF00B050"/>
        </patternFill>
      </fill>
    </dxf>
    <dxf>
      <font>
        <color rgb="FFFFC000"/>
      </font>
      <fill>
        <patternFill>
          <bgColor rgb="FFFFC000"/>
        </patternFill>
      </fill>
    </dxf>
    <dxf>
      <font>
        <color rgb="FFFFC000"/>
      </font>
      <fill>
        <patternFill>
          <bgColor rgb="FFFFC00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auto="1"/>
      </font>
      <fill>
        <patternFill>
          <bgColor rgb="FFFF0000"/>
        </patternFill>
      </fill>
    </dxf>
    <dxf>
      <fill>
        <patternFill>
          <bgColor rgb="FFFF0000"/>
        </patternFill>
      </fill>
    </dxf>
    <dxf>
      <font>
        <color rgb="FF9C0006"/>
      </font>
      <fill>
        <patternFill>
          <bgColor rgb="FFFFC7CE"/>
        </patternFill>
      </fill>
    </dxf>
    <dxf>
      <fill>
        <patternFill>
          <bgColor rgb="FFEB4B4B"/>
        </patternFill>
      </fill>
    </dxf>
    <dxf>
      <font>
        <color theme="0"/>
      </font>
      <fill>
        <patternFill>
          <bgColor rgb="FFC0504D"/>
        </patternFill>
      </fill>
    </dxf>
    <dxf>
      <font>
        <color theme="0"/>
      </font>
      <fill>
        <patternFill>
          <bgColor rgb="FFF79646"/>
        </patternFill>
      </fill>
    </dxf>
    <dxf>
      <font>
        <color theme="0"/>
      </font>
      <fill>
        <patternFill>
          <bgColor rgb="FF9BBB59"/>
        </patternFill>
      </fill>
    </dxf>
    <dxf>
      <font>
        <color theme="0"/>
      </font>
      <fill>
        <patternFill>
          <bgColor rgb="FFE26B0A"/>
        </patternFill>
      </fill>
    </dxf>
    <dxf>
      <font>
        <color rgb="FFFF0000"/>
      </font>
      <fill>
        <patternFill>
          <bgColor theme="5"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FF0000"/>
      </font>
      <fill>
        <patternFill>
          <bgColor theme="5" tint="0.79998168889431442"/>
        </patternFill>
      </fill>
    </dxf>
    <dxf>
      <font>
        <b val="0"/>
        <i val="0"/>
        <strike val="0"/>
        <color rgb="FFFF0000"/>
      </font>
      <fill>
        <patternFill>
          <bgColor theme="5" tint="0.79998168889431442"/>
        </patternFill>
      </fill>
    </dxf>
    <dxf>
      <font>
        <color rgb="FFFF0000"/>
      </font>
      <fill>
        <patternFill>
          <bgColor theme="5" tint="0.79998168889431442"/>
        </patternFill>
      </fill>
    </dxf>
    <dxf>
      <font>
        <color rgb="FFFF0000"/>
      </font>
      <fill>
        <patternFill>
          <fgColor theme="0"/>
          <bgColor theme="5" tint="0.79998168889431442"/>
        </patternFill>
      </fill>
    </dxf>
    <dxf>
      <font>
        <color rgb="FFFF0000"/>
      </font>
      <fill>
        <patternFill>
          <bgColor theme="5" tint="0.79998168889431442"/>
        </patternFill>
      </fill>
    </dxf>
    <dxf>
      <font>
        <b/>
        <i val="0"/>
      </font>
      <fill>
        <patternFill>
          <bgColor theme="6" tint="0.79998168889431442"/>
        </patternFill>
      </fill>
      <border>
        <left/>
        <right style="thin">
          <color auto="1"/>
        </right>
        <top style="thin">
          <color auto="1"/>
        </top>
        <bottom style="thin">
          <color auto="1"/>
        </bottom>
        <vertical/>
        <horizontal/>
      </border>
    </dxf>
    <dxf>
      <font>
        <color theme="0" tint="-0.34998626667073579"/>
      </font>
      <fill>
        <patternFill>
          <bgColor theme="0" tint="-0.34998626667073579"/>
        </patternFill>
      </fill>
    </dxf>
    <dxf>
      <font>
        <color rgb="FFFF0000"/>
      </font>
      <fill>
        <patternFill>
          <bgColor theme="5" tint="0.79998168889431442"/>
        </patternFill>
      </fill>
    </dxf>
    <dxf>
      <font>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color rgb="FFFF0000"/>
      </font>
      <fill>
        <patternFill>
          <bgColor theme="5" tint="0.79998168889431442"/>
        </patternFill>
      </fill>
    </dxf>
    <dxf>
      <font>
        <strike/>
        <color rgb="FFFF0000"/>
      </font>
      <fill>
        <patternFill patternType="lightDown">
          <bgColor theme="5" tint="0.79998168889431442"/>
        </patternFill>
      </fill>
    </dxf>
    <dxf>
      <font>
        <strike/>
        <color rgb="FFFF0000"/>
      </font>
      <fill>
        <patternFill patternType="lightDown">
          <bgColor theme="5" tint="0.79998168889431442"/>
        </patternFill>
      </fill>
    </dxf>
    <dxf>
      <font>
        <strike/>
        <color rgb="FFFF0000"/>
      </font>
      <fill>
        <patternFill patternType="lightDown">
          <bgColor theme="5" tint="0.79998168889431442"/>
        </patternFill>
      </fill>
    </dxf>
    <dxf>
      <font>
        <strike/>
        <color rgb="FFFF0000"/>
      </font>
      <fill>
        <patternFill patternType="lightDown">
          <bgColor theme="5" tint="0.79998168889431442"/>
        </patternFill>
      </fill>
    </dxf>
    <dxf>
      <font>
        <strike/>
        <color rgb="FFFF0000"/>
      </font>
      <fill>
        <patternFill patternType="lightDown">
          <bgColor theme="5" tint="0.79995117038483843"/>
        </patternFill>
      </fill>
    </dxf>
    <dxf>
      <font>
        <color rgb="FFFF0000"/>
      </font>
      <fill>
        <patternFill patternType="lightDown">
          <bgColor theme="5" tint="0.79998168889431442"/>
        </patternFill>
      </fill>
    </dxf>
    <dxf>
      <font>
        <b/>
        <i val="0"/>
        <strike val="0"/>
        <condense val="0"/>
        <extend val="0"/>
        <outline val="0"/>
        <shadow val="0"/>
        <u val="none"/>
        <vertAlign val="baseline"/>
        <sz val="8"/>
        <color rgb="FF000000"/>
        <name val="Verdana"/>
        <family val="2"/>
        <scheme val="none"/>
      </font>
      <numFmt numFmtId="34" formatCode="_-&quot;£&quot;* #,##0.00_-;\-&quot;£&quot;* #,##0.0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1"/>
    </dxf>
    <dxf>
      <font>
        <b/>
        <strike val="0"/>
        <outline val="0"/>
        <shadow val="0"/>
        <u val="none"/>
        <vertAlign val="baseline"/>
        <sz val="8"/>
        <color rgb="FF000000"/>
        <name val="Verdana"/>
        <family val="2"/>
        <scheme val="none"/>
      </font>
      <numFmt numFmtId="34" formatCode="_-&quot;£&quot;* #,##0.00_-;\-&quot;£&quot;* #,##0.0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1"/>
    </dxf>
    <dxf>
      <font>
        <b/>
        <i val="0"/>
        <strike val="0"/>
        <condense val="0"/>
        <extend val="0"/>
        <outline val="0"/>
        <shadow val="0"/>
        <u val="none"/>
        <vertAlign val="baseline"/>
        <sz val="8"/>
        <color rgb="FF000000"/>
        <name val="Verdana"/>
        <family val="2"/>
        <scheme val="none"/>
      </font>
      <numFmt numFmtId="34" formatCode="_-&quot;£&quot;* #,##0.00_-;\-&quot;£&quot;* #,##0.00_-;_-&quot;£&quot;* &quot;-&quot;??_-;_-@_-"/>
      <fill>
        <patternFill patternType="solid">
          <fgColor rgb="FFA6A6A6"/>
          <bgColor theme="0"/>
        </patternFill>
      </fill>
      <border diagonalUp="0" diagonalDown="0">
        <left style="thin">
          <color indexed="64"/>
        </left>
        <right style="thin">
          <color indexed="64"/>
        </right>
        <top style="thin">
          <color indexed="64"/>
        </top>
        <bottom style="thin">
          <color indexed="64"/>
        </bottom>
        <vertical/>
        <horizontal/>
      </border>
      <protection locked="0" hidden="1"/>
    </dxf>
    <dxf>
      <font>
        <b/>
        <strike val="0"/>
        <outline val="0"/>
        <shadow val="0"/>
        <u val="none"/>
        <vertAlign val="baseline"/>
        <sz val="8"/>
        <name val="Verdana"/>
        <family val="2"/>
        <scheme val="none"/>
      </font>
      <numFmt numFmtId="0" formatCode="General"/>
      <fill>
        <patternFill patternType="solid">
          <bgColor theme="0"/>
        </patternFill>
      </fill>
      <border diagonalUp="0" diagonalDown="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8"/>
        <color theme="1"/>
        <name val="Verdana"/>
        <family val="2"/>
        <scheme val="none"/>
      </font>
      <numFmt numFmtId="2" formatCode="0.00"/>
      <fill>
        <patternFill patternType="solid">
          <fgColor indexed="64"/>
          <bgColor theme="0"/>
        </patternFill>
      </fill>
      <border diagonalUp="0" diagonalDown="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8"/>
        <color theme="1"/>
        <name val="Verdana"/>
        <family val="2"/>
        <scheme val="none"/>
      </font>
      <numFmt numFmtId="2" formatCode="0.00"/>
      <fill>
        <patternFill patternType="solid">
          <fgColor indexed="64"/>
          <bgColor theme="0"/>
        </patternFill>
      </fill>
      <border diagonalUp="0" diagonalDown="0">
        <left style="thin">
          <color indexed="64"/>
        </left>
        <right/>
        <top style="thin">
          <color indexed="64"/>
        </top>
        <bottom style="thin">
          <color indexed="64"/>
        </bottom>
      </border>
      <protection locked="1" hidden="1"/>
    </dxf>
    <dxf>
      <font>
        <strike val="0"/>
        <outline val="0"/>
        <shadow val="0"/>
        <u val="none"/>
        <vertAlign val="baseline"/>
        <sz val="8"/>
        <name val="Verdana"/>
        <family val="2"/>
        <scheme val="none"/>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1" hidden="1"/>
    </dxf>
    <dxf>
      <font>
        <strike val="0"/>
        <outline val="0"/>
        <shadow val="0"/>
        <u val="none"/>
        <vertAlign val="baseline"/>
        <sz val="8"/>
        <name val="Verdana"/>
        <family val="2"/>
        <scheme val="none"/>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1" hidden="1"/>
    </dxf>
    <dxf>
      <font>
        <strike val="0"/>
        <outline val="0"/>
        <shadow val="0"/>
        <u val="none"/>
        <vertAlign val="baseline"/>
        <sz val="8"/>
        <name val="Verdana"/>
        <family val="2"/>
        <scheme val="none"/>
      </font>
      <numFmt numFmtId="34" formatCode="_-&quot;£&quot;* #,##0.00_-;\-&quot;£&quot;* #,##0.0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1" hidden="1"/>
    </dxf>
    <dxf>
      <font>
        <strike val="0"/>
        <outline val="0"/>
        <shadow val="0"/>
        <u val="none"/>
        <vertAlign val="baseline"/>
        <sz val="8"/>
        <name val="Verdana"/>
        <family val="2"/>
        <scheme val="none"/>
      </font>
      <numFmt numFmtId="171" formatCode="&quot;£&quot;#,##0.00"/>
      <fill>
        <patternFill patternType="solid">
          <bgColor theme="0"/>
        </patternFill>
      </fill>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border diagonalUp="0" diagonalDown="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9" tint="0.79998168889431442"/>
        </patternFill>
      </fill>
      <border diagonalUp="0" diagonalDown="0">
        <left style="thin">
          <color indexed="64"/>
        </left>
        <right style="thin">
          <color indexed="64"/>
        </right>
        <top style="thin">
          <color indexed="64"/>
        </top>
        <bottom style="thin">
          <color indexed="64"/>
        </bottom>
      </border>
      <protection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border diagonalUp="0" diagonalDown="0">
        <left style="thin">
          <color indexed="64"/>
        </left>
        <right style="thin">
          <color indexed="64"/>
        </right>
        <top style="thin">
          <color indexed="64"/>
        </top>
        <bottom style="thin">
          <color indexed="64"/>
        </bottom>
        <vertical/>
        <horizontal/>
      </border>
      <protection locked="1" hidden="1"/>
    </dxf>
    <dxf>
      <font>
        <strike val="0"/>
        <outline val="0"/>
        <shadow val="0"/>
        <u val="none"/>
        <vertAlign val="baseline"/>
        <sz val="8"/>
        <name val="Verdana"/>
        <family val="2"/>
        <scheme val="none"/>
      </font>
      <numFmt numFmtId="171" formatCode="&quot;£&quot;#,##0.00"/>
      <fill>
        <patternFill patternType="solid">
          <bgColor theme="0"/>
        </patternFill>
      </fill>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0" formatCode="General"/>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strike val="0"/>
        <outline val="0"/>
        <shadow val="0"/>
        <u val="none"/>
        <vertAlign val="baseline"/>
        <sz val="8"/>
        <color auto="1"/>
        <name val="Verdana"/>
        <family val="2"/>
        <scheme val="none"/>
      </font>
      <numFmt numFmtId="171" formatCode="&quot;£&quot;#,##0.00"/>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strike val="0"/>
        <outline val="0"/>
        <shadow val="0"/>
        <u val="none"/>
        <vertAlign val="baseline"/>
        <sz val="8"/>
        <name val="Verdana"/>
        <family val="2"/>
        <scheme val="none"/>
      </font>
      <numFmt numFmtId="171" formatCode="&quot;£&quot;#,##0.00"/>
      <fill>
        <patternFill patternType="solid">
          <bgColor theme="0"/>
        </patternFill>
      </fill>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D9D9D9"/>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 formatCode="0"/>
      <fill>
        <patternFill patternType="solid">
          <fgColor rgb="FFD9D9D9"/>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 formatCode="0"/>
      <fill>
        <patternFill patternType="solid">
          <fgColor rgb="FFD9D9D9"/>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auto="1"/>
        <name val="Verdana"/>
        <family val="2"/>
        <scheme val="none"/>
      </font>
      <numFmt numFmtId="0" formatCode="General"/>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auto="1"/>
        <name val="Verdana"/>
        <family val="2"/>
        <scheme val="none"/>
      </font>
      <numFmt numFmtId="0" formatCode="General"/>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9" formatCode="dd/mm/yyyy"/>
      <fill>
        <patternFill patternType="solid">
          <fgColor rgb="FFD9D9D9"/>
          <bgColor theme="0"/>
        </patternFill>
      </fill>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9" formatCode="dd/mm/yyyy"/>
      <fill>
        <patternFill patternType="solid">
          <fgColor rgb="FFD9D9D9"/>
          <bgColor theme="0"/>
        </patternFill>
      </fill>
      <border diagonalUp="0" diagonalDown="0">
        <left/>
        <right style="thin">
          <color indexed="64"/>
        </right>
        <top style="thin">
          <color indexed="64"/>
        </top>
        <bottom style="thin">
          <color indexed="64"/>
        </bottom>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8"/>
        <name val="Verdana"/>
        <family val="2"/>
        <scheme val="none"/>
      </font>
      <fill>
        <patternFill patternType="solid">
          <bgColor theme="0"/>
        </patternFill>
      </fill>
      <protection hidden="1"/>
    </dxf>
    <dxf>
      <border>
        <bottom style="thin">
          <color indexed="64"/>
        </bottom>
      </border>
    </dxf>
    <dxf>
      <font>
        <strike val="0"/>
        <outline val="0"/>
        <shadow val="0"/>
        <u val="none"/>
        <vertAlign val="baseline"/>
        <sz val="8"/>
        <color theme="0"/>
        <name val="Verdana"/>
        <family val="2"/>
        <scheme val="none"/>
      </font>
      <fill>
        <patternFill patternType="solid">
          <bgColor rgb="FF2DAE76"/>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s>
  <tableStyles count="0" defaultTableStyle="TableStyleMedium9" defaultPivotStyle="PivotStyleLight16"/>
  <colors>
    <mruColors>
      <color rgb="FFD0F2E3"/>
      <color rgb="FFE1F3F3"/>
      <color rgb="FF2DAE76"/>
      <color rgb="FF6BC3C4"/>
      <color rgb="FFF0FFF2"/>
      <color rgb="FFE4FDEF"/>
      <color rgb="FFE4F8EF"/>
      <color rgb="FFFFD0C5"/>
      <color rgb="FFF7FFFA"/>
      <color rgb="FFECF3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7.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aredStrings" Target="sharedStrings.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theme" Target="theme/theme1.xml"/><Relationship Id="rId28" Type="http://schemas.microsoft.com/office/2017/06/relationships/rdRichValue" Target="richData/rdrichvalue.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microsoft.com/office/2022/10/relationships/richValueRel" Target="richData/richValueRel.xml"/><Relationship Id="rId30" Type="http://schemas.microsoft.com/office/2017/06/relationships/rdRichValueTypes" Target="richData/rdRichValueType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image" Target="../media/image12.png"/><Relationship Id="rId2" Type="http://schemas.openxmlformats.org/officeDocument/2006/relationships/image" Target="../media/image11.png"/><Relationship Id="rId1" Type="http://schemas.openxmlformats.org/officeDocument/2006/relationships/hyperlink" Target="#Guidance!A1"/></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10620375</xdr:colOff>
      <xdr:row>1</xdr:row>
      <xdr:rowOff>98778</xdr:rowOff>
    </xdr:from>
    <xdr:to>
      <xdr:col>1</xdr:col>
      <xdr:colOff>12434358</xdr:colOff>
      <xdr:row>5</xdr:row>
      <xdr:rowOff>31750</xdr:rowOff>
    </xdr:to>
    <xdr:pic>
      <xdr:nvPicPr>
        <xdr:cNvPr id="2" name="Picture 1">
          <a:extLst>
            <a:ext uri="{FF2B5EF4-FFF2-40B4-BE49-F238E27FC236}">
              <a16:creationId xmlns:a16="http://schemas.microsoft.com/office/drawing/2014/main" id="{A419F29A-F15A-4A15-94C4-AA9ACD984FE2}"/>
            </a:ext>
          </a:extLst>
        </xdr:cNvPr>
        <xdr:cNvPicPr>
          <a:picLocks noChangeAspect="1"/>
        </xdr:cNvPicPr>
      </xdr:nvPicPr>
      <xdr:blipFill>
        <a:blip xmlns:r="http://schemas.openxmlformats.org/officeDocument/2006/relationships" r:embed="rId1"/>
        <a:stretch>
          <a:fillRect/>
        </a:stretch>
      </xdr:blipFill>
      <xdr:spPr>
        <a:xfrm>
          <a:off x="10896600" y="308328"/>
          <a:ext cx="1813983" cy="91404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15</xdr:col>
      <xdr:colOff>114300</xdr:colOff>
      <xdr:row>1</xdr:row>
      <xdr:rowOff>120651</xdr:rowOff>
    </xdr:from>
    <xdr:ext cx="1638300" cy="765810"/>
    <xdr:pic>
      <xdr:nvPicPr>
        <xdr:cNvPr id="11" name="Picture 10">
          <a:extLst>
            <a:ext uri="{FF2B5EF4-FFF2-40B4-BE49-F238E27FC236}">
              <a16:creationId xmlns:a16="http://schemas.microsoft.com/office/drawing/2014/main" id="{DD079104-67B0-43EF-A0D4-A5A816D8B498}"/>
            </a:ext>
          </a:extLst>
        </xdr:cNvPr>
        <xdr:cNvPicPr>
          <a:picLocks noChangeAspect="1"/>
        </xdr:cNvPicPr>
      </xdr:nvPicPr>
      <xdr:blipFill>
        <a:blip xmlns:r="http://schemas.openxmlformats.org/officeDocument/2006/relationships" r:embed="rId1"/>
        <a:stretch>
          <a:fillRect/>
        </a:stretch>
      </xdr:blipFill>
      <xdr:spPr>
        <a:xfrm>
          <a:off x="8947150" y="311151"/>
          <a:ext cx="1701800" cy="765810"/>
        </a:xfrm>
        <a:prstGeom prst="rect">
          <a:avLst/>
        </a:prstGeom>
      </xdr:spPr>
    </xdr:pic>
    <xdr:clientData/>
  </xdr:oneCellAnchor>
  <xdr:oneCellAnchor>
    <xdr:from>
      <xdr:col>1</xdr:col>
      <xdr:colOff>133351</xdr:colOff>
      <xdr:row>43</xdr:row>
      <xdr:rowOff>50801</xdr:rowOff>
    </xdr:from>
    <xdr:ext cx="9725025" cy="847952"/>
    <xdr:pic>
      <xdr:nvPicPr>
        <xdr:cNvPr id="14" name="Picture 13">
          <a:extLst>
            <a:ext uri="{FF2B5EF4-FFF2-40B4-BE49-F238E27FC236}">
              <a16:creationId xmlns:a16="http://schemas.microsoft.com/office/drawing/2014/main" id="{CFB0D06C-CEE2-4536-9F74-40DE2BC60428}"/>
            </a:ext>
          </a:extLst>
        </xdr:cNvPr>
        <xdr:cNvPicPr>
          <a:picLocks noChangeAspect="1"/>
        </xdr:cNvPicPr>
      </xdr:nvPicPr>
      <xdr:blipFill>
        <a:blip xmlns:r="http://schemas.openxmlformats.org/officeDocument/2006/relationships" r:embed="rId2"/>
        <a:stretch>
          <a:fillRect/>
        </a:stretch>
      </xdr:blipFill>
      <xdr:spPr>
        <a:xfrm>
          <a:off x="457201" y="11214101"/>
          <a:ext cx="10210800" cy="835252"/>
        </a:xfrm>
        <a:prstGeom prst="rect">
          <a:avLst/>
        </a:prstGeom>
      </xdr:spPr>
    </xdr:pic>
    <xdr:clientData/>
  </xdr:oneCellAnchor>
  <xdr:oneCellAnchor>
    <xdr:from>
      <xdr:col>15</xdr:col>
      <xdr:colOff>87965</xdr:colOff>
      <xdr:row>51</xdr:row>
      <xdr:rowOff>72838</xdr:rowOff>
    </xdr:from>
    <xdr:ext cx="1626519" cy="765922"/>
    <xdr:pic>
      <xdr:nvPicPr>
        <xdr:cNvPr id="10" name="Picture 9">
          <a:extLst>
            <a:ext uri="{FF2B5EF4-FFF2-40B4-BE49-F238E27FC236}">
              <a16:creationId xmlns:a16="http://schemas.microsoft.com/office/drawing/2014/main" id="{87689721-07B5-4335-A61A-899648B24300}"/>
            </a:ext>
          </a:extLst>
        </xdr:cNvPr>
        <xdr:cNvPicPr>
          <a:picLocks noChangeAspect="1"/>
        </xdr:cNvPicPr>
      </xdr:nvPicPr>
      <xdr:blipFill>
        <a:blip xmlns:r="http://schemas.openxmlformats.org/officeDocument/2006/relationships" r:embed="rId3"/>
        <a:stretch>
          <a:fillRect/>
        </a:stretch>
      </xdr:blipFill>
      <xdr:spPr>
        <a:xfrm>
          <a:off x="8413936" y="12074338"/>
          <a:ext cx="1626519" cy="765922"/>
        </a:xfrm>
        <a:prstGeom prst="rect">
          <a:avLst/>
        </a:prstGeom>
      </xdr:spPr>
    </xdr:pic>
    <xdr:clientData/>
  </xdr:oneCellAnchor>
  <xdr:twoCellAnchor editAs="oneCell">
    <xdr:from>
      <xdr:col>2</xdr:col>
      <xdr:colOff>7283</xdr:colOff>
      <xdr:row>12</xdr:row>
      <xdr:rowOff>19861</xdr:rowOff>
    </xdr:from>
    <xdr:to>
      <xdr:col>15</xdr:col>
      <xdr:colOff>74706</xdr:colOff>
      <xdr:row>15</xdr:row>
      <xdr:rowOff>30624</xdr:rowOff>
    </xdr:to>
    <xdr:pic>
      <xdr:nvPicPr>
        <xdr:cNvPr id="2" name="Picture 1">
          <a:extLst>
            <a:ext uri="{FF2B5EF4-FFF2-40B4-BE49-F238E27FC236}">
              <a16:creationId xmlns:a16="http://schemas.microsoft.com/office/drawing/2014/main" id="{3825E5DD-E695-90B9-3DB9-A74A8A723351}"/>
            </a:ext>
          </a:extLst>
        </xdr:cNvPr>
        <xdr:cNvPicPr>
          <a:picLocks noChangeAspect="1"/>
        </xdr:cNvPicPr>
      </xdr:nvPicPr>
      <xdr:blipFill>
        <a:blip xmlns:r="http://schemas.openxmlformats.org/officeDocument/2006/relationships" r:embed="rId4"/>
        <a:stretch>
          <a:fillRect/>
        </a:stretch>
      </xdr:blipFill>
      <xdr:spPr>
        <a:xfrm>
          <a:off x="500342" y="2978214"/>
          <a:ext cx="8419540" cy="873056"/>
        </a:xfrm>
        <a:prstGeom prst="rect">
          <a:avLst/>
        </a:prstGeom>
      </xdr:spPr>
    </xdr:pic>
    <xdr:clientData/>
  </xdr:twoCellAnchor>
  <xdr:twoCellAnchor editAs="oneCell">
    <xdr:from>
      <xdr:col>2</xdr:col>
      <xdr:colOff>22413</xdr:colOff>
      <xdr:row>18</xdr:row>
      <xdr:rowOff>22411</xdr:rowOff>
    </xdr:from>
    <xdr:to>
      <xdr:col>16</xdr:col>
      <xdr:colOff>430120</xdr:colOff>
      <xdr:row>21</xdr:row>
      <xdr:rowOff>31636</xdr:rowOff>
    </xdr:to>
    <xdr:pic>
      <xdr:nvPicPr>
        <xdr:cNvPr id="4" name="Picture 3">
          <a:extLst>
            <a:ext uri="{FF2B5EF4-FFF2-40B4-BE49-F238E27FC236}">
              <a16:creationId xmlns:a16="http://schemas.microsoft.com/office/drawing/2014/main" id="{3A8AC682-A6F6-7520-4308-144FEC4EEBBD}"/>
            </a:ext>
          </a:extLst>
        </xdr:cNvPr>
        <xdr:cNvPicPr>
          <a:picLocks noChangeAspect="1"/>
        </xdr:cNvPicPr>
      </xdr:nvPicPr>
      <xdr:blipFill>
        <a:blip xmlns:r="http://schemas.openxmlformats.org/officeDocument/2006/relationships" r:embed="rId5"/>
        <a:stretch>
          <a:fillRect/>
        </a:stretch>
      </xdr:blipFill>
      <xdr:spPr>
        <a:xfrm>
          <a:off x="515472" y="4332940"/>
          <a:ext cx="9405470" cy="938753"/>
        </a:xfrm>
        <a:prstGeom prst="rect">
          <a:avLst/>
        </a:prstGeom>
      </xdr:spPr>
    </xdr:pic>
    <xdr:clientData/>
  </xdr:twoCellAnchor>
  <xdr:twoCellAnchor editAs="oneCell">
    <xdr:from>
      <xdr:col>2</xdr:col>
      <xdr:colOff>26146</xdr:colOff>
      <xdr:row>23</xdr:row>
      <xdr:rowOff>40156</xdr:rowOff>
    </xdr:from>
    <xdr:to>
      <xdr:col>7</xdr:col>
      <xdr:colOff>11765</xdr:colOff>
      <xdr:row>27</xdr:row>
      <xdr:rowOff>96142</xdr:rowOff>
    </xdr:to>
    <xdr:pic>
      <xdr:nvPicPr>
        <xdr:cNvPr id="5" name="Picture 4">
          <a:extLst>
            <a:ext uri="{FF2B5EF4-FFF2-40B4-BE49-F238E27FC236}">
              <a16:creationId xmlns:a16="http://schemas.microsoft.com/office/drawing/2014/main" id="{FC893FE0-D2ED-87C8-30E8-6FDBB4ECD2C2}"/>
            </a:ext>
          </a:extLst>
        </xdr:cNvPr>
        <xdr:cNvPicPr>
          <a:picLocks noChangeAspect="1"/>
        </xdr:cNvPicPr>
      </xdr:nvPicPr>
      <xdr:blipFill>
        <a:blip xmlns:r="http://schemas.openxmlformats.org/officeDocument/2006/relationships" r:embed="rId6"/>
        <a:stretch>
          <a:fillRect/>
        </a:stretch>
      </xdr:blipFill>
      <xdr:spPr>
        <a:xfrm>
          <a:off x="519205" y="5665509"/>
          <a:ext cx="3201147" cy="997280"/>
        </a:xfrm>
        <a:prstGeom prst="rect">
          <a:avLst/>
        </a:prstGeom>
      </xdr:spPr>
    </xdr:pic>
    <xdr:clientData/>
  </xdr:twoCellAnchor>
  <xdr:twoCellAnchor editAs="oneCell">
    <xdr:from>
      <xdr:col>2</xdr:col>
      <xdr:colOff>22412</xdr:colOff>
      <xdr:row>29</xdr:row>
      <xdr:rowOff>134471</xdr:rowOff>
    </xdr:from>
    <xdr:to>
      <xdr:col>7</xdr:col>
      <xdr:colOff>354292</xdr:colOff>
      <xdr:row>33</xdr:row>
      <xdr:rowOff>179685</xdr:rowOff>
    </xdr:to>
    <xdr:pic>
      <xdr:nvPicPr>
        <xdr:cNvPr id="12" name="Picture 11">
          <a:extLst>
            <a:ext uri="{FF2B5EF4-FFF2-40B4-BE49-F238E27FC236}">
              <a16:creationId xmlns:a16="http://schemas.microsoft.com/office/drawing/2014/main" id="{5CFF1DB7-106F-BBAB-02B3-6BC9FF38DFF5}"/>
            </a:ext>
          </a:extLst>
        </xdr:cNvPr>
        <xdr:cNvPicPr>
          <a:picLocks noChangeAspect="1"/>
        </xdr:cNvPicPr>
      </xdr:nvPicPr>
      <xdr:blipFill>
        <a:blip xmlns:r="http://schemas.openxmlformats.org/officeDocument/2006/relationships" r:embed="rId7"/>
        <a:stretch>
          <a:fillRect/>
        </a:stretch>
      </xdr:blipFill>
      <xdr:spPr>
        <a:xfrm>
          <a:off x="515471" y="7141883"/>
          <a:ext cx="3541058" cy="818980"/>
        </a:xfrm>
        <a:prstGeom prst="rect">
          <a:avLst/>
        </a:prstGeom>
      </xdr:spPr>
    </xdr:pic>
    <xdr:clientData/>
  </xdr:twoCellAnchor>
  <xdr:twoCellAnchor editAs="oneCell">
    <xdr:from>
      <xdr:col>2</xdr:col>
      <xdr:colOff>0</xdr:colOff>
      <xdr:row>37</xdr:row>
      <xdr:rowOff>0</xdr:rowOff>
    </xdr:from>
    <xdr:to>
      <xdr:col>10</xdr:col>
      <xdr:colOff>426296</xdr:colOff>
      <xdr:row>41</xdr:row>
      <xdr:rowOff>64477</xdr:rowOff>
    </xdr:to>
    <xdr:pic>
      <xdr:nvPicPr>
        <xdr:cNvPr id="13" name="Picture 12">
          <a:extLst>
            <a:ext uri="{FF2B5EF4-FFF2-40B4-BE49-F238E27FC236}">
              <a16:creationId xmlns:a16="http://schemas.microsoft.com/office/drawing/2014/main" id="{7EFE2786-18D4-09A6-8522-64598498196E}"/>
            </a:ext>
          </a:extLst>
        </xdr:cNvPr>
        <xdr:cNvPicPr>
          <a:picLocks noChangeAspect="1"/>
        </xdr:cNvPicPr>
      </xdr:nvPicPr>
      <xdr:blipFill>
        <a:blip xmlns:r="http://schemas.openxmlformats.org/officeDocument/2006/relationships" r:embed="rId8"/>
        <a:stretch>
          <a:fillRect/>
        </a:stretch>
      </xdr:blipFill>
      <xdr:spPr>
        <a:xfrm>
          <a:off x="493059" y="8561294"/>
          <a:ext cx="5569236" cy="8382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980016</xdr:colOff>
      <xdr:row>2</xdr:row>
      <xdr:rowOff>31749</xdr:rowOff>
    </xdr:from>
    <xdr:to>
      <xdr:col>21</xdr:col>
      <xdr:colOff>935916</xdr:colOff>
      <xdr:row>4</xdr:row>
      <xdr:rowOff>248375</xdr:rowOff>
    </xdr:to>
    <xdr:pic>
      <xdr:nvPicPr>
        <xdr:cNvPr id="4" name="Picture 3">
          <a:extLst>
            <a:ext uri="{FF2B5EF4-FFF2-40B4-BE49-F238E27FC236}">
              <a16:creationId xmlns:a16="http://schemas.microsoft.com/office/drawing/2014/main" id="{FE41D1AC-D4E3-4A6F-9000-3B5F03FAD61B}"/>
            </a:ext>
          </a:extLst>
        </xdr:cNvPr>
        <xdr:cNvPicPr>
          <a:picLocks noChangeAspect="1"/>
        </xdr:cNvPicPr>
      </xdr:nvPicPr>
      <xdr:blipFill>
        <a:blip xmlns:r="http://schemas.openxmlformats.org/officeDocument/2006/relationships" r:embed="rId1"/>
        <a:stretch>
          <a:fillRect/>
        </a:stretch>
      </xdr:blipFill>
      <xdr:spPr>
        <a:xfrm>
          <a:off x="19807766" y="374649"/>
          <a:ext cx="2139666" cy="88274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613834</xdr:colOff>
      <xdr:row>1</xdr:row>
      <xdr:rowOff>134056</xdr:rowOff>
    </xdr:from>
    <xdr:to>
      <xdr:col>8</xdr:col>
      <xdr:colOff>1321999</xdr:colOff>
      <xdr:row>6</xdr:row>
      <xdr:rowOff>225633</xdr:rowOff>
    </xdr:to>
    <xdr:pic>
      <xdr:nvPicPr>
        <xdr:cNvPr id="4" name="Picture 3">
          <a:extLst>
            <a:ext uri="{FF2B5EF4-FFF2-40B4-BE49-F238E27FC236}">
              <a16:creationId xmlns:a16="http://schemas.microsoft.com/office/drawing/2014/main" id="{955BAA00-7EDA-4D13-970E-E7737010A8B4}"/>
            </a:ext>
          </a:extLst>
        </xdr:cNvPr>
        <xdr:cNvPicPr>
          <a:picLocks noChangeAspect="1"/>
        </xdr:cNvPicPr>
      </xdr:nvPicPr>
      <xdr:blipFill>
        <a:blip xmlns:r="http://schemas.openxmlformats.org/officeDocument/2006/relationships" r:embed="rId1"/>
        <a:stretch>
          <a:fillRect/>
        </a:stretch>
      </xdr:blipFill>
      <xdr:spPr>
        <a:xfrm>
          <a:off x="10456334" y="338667"/>
          <a:ext cx="2151944" cy="9683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28</xdr:col>
      <xdr:colOff>215153</xdr:colOff>
      <xdr:row>1</xdr:row>
      <xdr:rowOff>56582</xdr:rowOff>
    </xdr:from>
    <xdr:ext cx="1689974" cy="837751"/>
    <xdr:pic>
      <xdr:nvPicPr>
        <xdr:cNvPr id="2" name="Picture 2">
          <a:hlinkClick xmlns:r="http://schemas.openxmlformats.org/officeDocument/2006/relationships" r:id="rId1"/>
          <a:extLst>
            <a:ext uri="{FF2B5EF4-FFF2-40B4-BE49-F238E27FC236}">
              <a16:creationId xmlns:a16="http://schemas.microsoft.com/office/drawing/2014/main" id="{3B819CB7-16D0-4B5D-8504-A43F24C5D727}"/>
            </a:ext>
          </a:extLst>
        </xdr:cNvPr>
        <xdr:cNvPicPr>
          <a:picLocks noChangeAspect="1"/>
        </xdr:cNvPicPr>
      </xdr:nvPicPr>
      <xdr:blipFill>
        <a:blip xmlns:r="http://schemas.openxmlformats.org/officeDocument/2006/relationships" r:embed="rId2"/>
        <a:stretch>
          <a:fillRect/>
        </a:stretch>
      </xdr:blipFill>
      <xdr:spPr>
        <a:xfrm>
          <a:off x="31681271" y="235876"/>
          <a:ext cx="1689974" cy="837751"/>
        </a:xfrm>
        <a:prstGeom prst="rect">
          <a:avLst/>
        </a:prstGeom>
      </xdr:spPr>
    </xdr:pic>
    <xdr:clientData/>
  </xdr:oneCellAnchor>
  <xdr:twoCellAnchor editAs="oneCell">
    <xdr:from>
      <xdr:col>30</xdr:col>
      <xdr:colOff>836279</xdr:colOff>
      <xdr:row>1</xdr:row>
      <xdr:rowOff>54428</xdr:rowOff>
    </xdr:from>
    <xdr:to>
      <xdr:col>31</xdr:col>
      <xdr:colOff>830300</xdr:colOff>
      <xdr:row>5</xdr:row>
      <xdr:rowOff>302986</xdr:rowOff>
    </xdr:to>
    <xdr:pic>
      <xdr:nvPicPr>
        <xdr:cNvPr id="3" name="Picture 2">
          <a:extLst>
            <a:ext uri="{FF2B5EF4-FFF2-40B4-BE49-F238E27FC236}">
              <a16:creationId xmlns:a16="http://schemas.microsoft.com/office/drawing/2014/main" id="{D2B35078-F5AC-43D4-B91B-DDF541050C2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2467554" y="225878"/>
          <a:ext cx="956046" cy="8676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539750</xdr:colOff>
      <xdr:row>1</xdr:row>
      <xdr:rowOff>76200</xdr:rowOff>
    </xdr:from>
    <xdr:to>
      <xdr:col>11</xdr:col>
      <xdr:colOff>558800</xdr:colOff>
      <xdr:row>1</xdr:row>
      <xdr:rowOff>661988</xdr:rowOff>
    </xdr:to>
    <xdr:pic>
      <xdr:nvPicPr>
        <xdr:cNvPr id="3" name="Picture 2">
          <a:extLst>
            <a:ext uri="{FF2B5EF4-FFF2-40B4-BE49-F238E27FC236}">
              <a16:creationId xmlns:a16="http://schemas.microsoft.com/office/drawing/2014/main" id="{4084289A-1263-475C-B6E5-CB34E910F0E8}"/>
            </a:ext>
          </a:extLst>
        </xdr:cNvPr>
        <xdr:cNvPicPr>
          <a:picLocks noChangeAspect="1"/>
        </xdr:cNvPicPr>
      </xdr:nvPicPr>
      <xdr:blipFill>
        <a:blip xmlns:r="http://schemas.openxmlformats.org/officeDocument/2006/relationships" r:embed="rId1"/>
        <a:stretch>
          <a:fillRect/>
        </a:stretch>
      </xdr:blipFill>
      <xdr:spPr>
        <a:xfrm>
          <a:off x="6311900" y="285750"/>
          <a:ext cx="1301750" cy="58578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1007985</xdr:colOff>
      <xdr:row>1</xdr:row>
      <xdr:rowOff>203446</xdr:rowOff>
    </xdr:from>
    <xdr:to>
      <xdr:col>6</xdr:col>
      <xdr:colOff>1275194</xdr:colOff>
      <xdr:row>3</xdr:row>
      <xdr:rowOff>440494</xdr:rowOff>
    </xdr:to>
    <xdr:pic>
      <xdr:nvPicPr>
        <xdr:cNvPr id="2" name="Picture 1">
          <a:extLst>
            <a:ext uri="{FF2B5EF4-FFF2-40B4-BE49-F238E27FC236}">
              <a16:creationId xmlns:a16="http://schemas.microsoft.com/office/drawing/2014/main" id="{B88C903B-611A-4E4E-B2CA-503AD14B27FC}"/>
            </a:ext>
          </a:extLst>
        </xdr:cNvPr>
        <xdr:cNvPicPr>
          <a:picLocks noChangeAspect="1"/>
        </xdr:cNvPicPr>
      </xdr:nvPicPr>
      <xdr:blipFill>
        <a:blip xmlns:r="http://schemas.openxmlformats.org/officeDocument/2006/relationships" r:embed="rId1"/>
        <a:stretch>
          <a:fillRect/>
        </a:stretch>
      </xdr:blipFill>
      <xdr:spPr>
        <a:xfrm>
          <a:off x="9786225" y="409186"/>
          <a:ext cx="1669289" cy="89236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1193800</xdr:colOff>
      <xdr:row>1</xdr:row>
      <xdr:rowOff>152400</xdr:rowOff>
    </xdr:from>
    <xdr:to>
      <xdr:col>7</xdr:col>
      <xdr:colOff>1438275</xdr:colOff>
      <xdr:row>5</xdr:row>
      <xdr:rowOff>76994</xdr:rowOff>
    </xdr:to>
    <xdr:pic>
      <xdr:nvPicPr>
        <xdr:cNvPr id="3" name="Picture 2">
          <a:extLst>
            <a:ext uri="{FF2B5EF4-FFF2-40B4-BE49-F238E27FC236}">
              <a16:creationId xmlns:a16="http://schemas.microsoft.com/office/drawing/2014/main" id="{672AA0BA-FECB-42D8-9F69-7BA991AADB82}"/>
            </a:ext>
          </a:extLst>
        </xdr:cNvPr>
        <xdr:cNvPicPr>
          <a:picLocks noChangeAspect="1"/>
        </xdr:cNvPicPr>
      </xdr:nvPicPr>
      <xdr:blipFill>
        <a:blip xmlns:r="http://schemas.openxmlformats.org/officeDocument/2006/relationships" r:embed="rId1"/>
        <a:stretch>
          <a:fillRect/>
        </a:stretch>
      </xdr:blipFill>
      <xdr:spPr>
        <a:xfrm>
          <a:off x="9147175" y="361950"/>
          <a:ext cx="1720850" cy="81994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552450</xdr:colOff>
      <xdr:row>1</xdr:row>
      <xdr:rowOff>76200</xdr:rowOff>
    </xdr:from>
    <xdr:to>
      <xdr:col>11</xdr:col>
      <xdr:colOff>571500</xdr:colOff>
      <xdr:row>1</xdr:row>
      <xdr:rowOff>661988</xdr:rowOff>
    </xdr:to>
    <xdr:pic>
      <xdr:nvPicPr>
        <xdr:cNvPr id="3" name="Picture 2">
          <a:extLst>
            <a:ext uri="{FF2B5EF4-FFF2-40B4-BE49-F238E27FC236}">
              <a16:creationId xmlns:a16="http://schemas.microsoft.com/office/drawing/2014/main" id="{0A34145A-82FF-4595-8578-2ABE94901D99}"/>
            </a:ext>
          </a:extLst>
        </xdr:cNvPr>
        <xdr:cNvPicPr>
          <a:picLocks noChangeAspect="1"/>
        </xdr:cNvPicPr>
      </xdr:nvPicPr>
      <xdr:blipFill>
        <a:blip xmlns:r="http://schemas.openxmlformats.org/officeDocument/2006/relationships" r:embed="rId1"/>
        <a:stretch>
          <a:fillRect/>
        </a:stretch>
      </xdr:blipFill>
      <xdr:spPr>
        <a:xfrm>
          <a:off x="5949950" y="285750"/>
          <a:ext cx="1301750" cy="58578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tkins.sharepoint.com/Tec/Docs/C.%20Other%20scheme/Wales%20Scheme/1.%20Planning/Application%20Form%20Log/Wales%20FTC%20Application%20Form%20V0.2%20-%20Extend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tkins.sharepoint.com/Del/OtherProgrammes/Phase%203%20PSDS/2.%20Applications/4.%20NHS/Northampton%20General%20Hospital%20NHS%20Trust%20-%2030168/Application%20Form/phase-3-psds-application-form---northampt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tkins.sharepoint.com/salixfs01/shared/Documents%20and%20Settings/dobl1733/Local%20Settings/Temporary%20Internet%20Files/Content.Outlook/BV6CWOUN/SEELS%20Project%20Compliance%20Tool%20v22%20Fuel%20Conversion%20v1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atkins.sharepoint.com/salixfs01/shared/SEELS/England/DfE/Academies/SEEF/3.%20SEEF%203%202018-19/Revised%20Application%20Documents%20Drafts/Application%20Form/Final%20Version/SEEF%20Application%20Form%202018-1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atkins.sharepoint.com/Users/OnaSabotie/Downloads/Wales%20Application%20Form%20V4%20_3%20(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atkins.sharepoint.com/C:/Users/mattc.SALIX/Downloads/Cost%20Saving%20Analysis%20Tool%20-%20V%201.1%20-%20Queens%20Park%20High.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atkins.sharepoint.com/Pccstorage1/t&amp;e$/Technical%20Services%20-%20Nov09/13.%20Technology%20Specific%20Work/22.%20Swimming%20pool%20cover/Pool%20Heatloss%20-%20Version%201.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atkins.sharepoint.com/salixfs01/shared/Users/CraigM/AppData/Local/Microsoft/Windows/Temporary%20Internet%20Files/Content.Outlook/1K4MSJRC/Multiple%20Fuel%20Compliance%20Tool%20Version%2027%20-%20SEEL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YSTAL_PERSIST"/>
      <sheetName val="Guidance"/>
      <sheetName val="Step 1 Introduction"/>
      <sheetName val="Step 2a Building Project Design"/>
      <sheetName val="Step 2b EV Proposal"/>
      <sheetName val="Step 3a Site Details"/>
      <sheetName val="Step 3b Building Details"/>
      <sheetName val="Step 3c Heating System"/>
      <sheetName val="Step 4 Measure Details"/>
      <sheetName val="Step 5a Project Governance"/>
      <sheetName val="Step 5b Social Contribution"/>
      <sheetName val="Step 6 Loan Amortisation"/>
      <sheetName val="Draft LAT"/>
      <sheetName val="QC Check"/>
      <sheetName val="Assessment Form"/>
      <sheetName val="Extra look-up - Incomplete"/>
      <sheetName val="Eligible Technologies"/>
      <sheetName val="Scoring Criteria - Incomplete"/>
      <sheetName val="Backing Sheet - Buildings"/>
      <sheetName val="Terms of Use"/>
      <sheetName val="Revision History"/>
      <sheetName val="Data Outputs"/>
      <sheetName val="Boiler Age Data"/>
      <sheetName val="PETREAD - Incomple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YSTAL_PERSIST"/>
      <sheetName val="Guidance"/>
      <sheetName val="Step 1 Project Introduction"/>
      <sheetName val="Step 2 Building Details"/>
      <sheetName val="Step 3.1 Existing heating"/>
      <sheetName val="Step 3.2 Heating System Data"/>
      <sheetName val="Step 3.3 Low Carbon Heating"/>
      <sheetName val="Step 4 Support Tool"/>
      <sheetName val="Step 5 Business Case"/>
      <sheetName val="Step 6 Submit Application"/>
      <sheetName val="Eligible Technologies"/>
      <sheetName val="Application Form User Terms"/>
      <sheetName val="Backing Sheet Buildings"/>
      <sheetName val="Extra look-up"/>
      <sheetName val="Assessment Form"/>
      <sheetName val="Revision History"/>
      <sheetName val="PETRE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Table"/>
      <sheetName val="CRYSTAL_PERSIST"/>
      <sheetName val="Project_Compliance_Tool"/>
      <sheetName val="Project Data Input Sheet"/>
      <sheetName val="Project_Assessment_Criteria"/>
      <sheetName val="Persistence_Factor_Methodology"/>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chnology List &amp; Con. Factors"/>
      <sheetName val="Step 1 Application Form"/>
      <sheetName val="Step 2 ECM 1"/>
      <sheetName val="ECM 2"/>
      <sheetName val="ECM 3"/>
      <sheetName val="ECM 4"/>
      <sheetName val="ECM 5"/>
      <sheetName val="Step 3 Business Case"/>
      <sheetName val="Step 4 Submission"/>
      <sheetName val="Terms and Conditions"/>
      <sheetName val="Revision History"/>
      <sheetName val="Backing sheet"/>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Notes"/>
      <sheetName val="Pre-application checks"/>
      <sheetName val="Programme details"/>
      <sheetName val="ECM 1"/>
      <sheetName val="ECM 2"/>
      <sheetName val="ECM 3"/>
      <sheetName val="ECM 4"/>
      <sheetName val="ECM 5"/>
      <sheetName val="ECM 6"/>
      <sheetName val="ECM 7"/>
      <sheetName val="ECM 8"/>
      <sheetName val="ECM 9"/>
      <sheetName val="ECM 10"/>
      <sheetName val="Technology List &amp; Con. Factors"/>
      <sheetName val="Persistence Factor Model"/>
      <sheetName val="Assessment Form"/>
      <sheetName val="Assessment Form (Pre-tender)"/>
      <sheetName val="Technologies Under Review"/>
      <sheetName val="Revision History"/>
      <sheetName val="Backing sheet"/>
      <sheetName val="Compliancy"/>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Dashboard"/>
      <sheetName val="Terms and Conditions"/>
      <sheetName val="Revision History"/>
      <sheetName val="CO2"/>
    </sheetNames>
    <sheetDataSet>
      <sheetData sheetId="0" refreshError="1"/>
      <sheetData sheetId="1"/>
      <sheetData sheetId="2" refreshError="1"/>
      <sheetData sheetId="3" refreshError="1"/>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ample"/>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Table"/>
      <sheetName val="CRYSTAL_PERSIST"/>
      <sheetName val="User Notes"/>
      <sheetName val="Project Compliance Tool"/>
      <sheetName val="Project 1 data input"/>
      <sheetName val="Project 2 data input"/>
      <sheetName val="Project 3 data input"/>
      <sheetName val="Project 4 data input"/>
      <sheetName val="Project 5 data input"/>
      <sheetName val="Extra look-up"/>
      <sheetName val="Additionality Criteria"/>
      <sheetName val="Assessment Criteria"/>
      <sheetName val="QA"/>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0</v>
    <v>5</v>
  </rv>
  <rv s="0">
    <v>1</v>
    <v>5</v>
  </rv>
  <rv s="1">
    <v>13</v>
    <v>3</v>
  </rv>
</rvData>
</file>

<file path=xl/richData/rdrichvaluestructure.xml><?xml version="1.0" encoding="utf-8"?>
<rvStructures xmlns="http://schemas.microsoft.com/office/spreadsheetml/2017/richdata" count="2">
  <s t="_localImage">
    <k n="_rvRel:LocalImageIdentifier" t="i"/>
    <k n="CalcOrigin" t="i"/>
  </s>
  <s t="_error">
    <k n="errorType" t="i"/>
    <k n="subType"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25C6DE7-78E1-40FE-AB04-71F1A8FBFD48}" name="TLoan" displayName="TLoan" ref="C69:AE93" totalsRowShown="0" headerRowDxfId="119" dataDxfId="117" headerRowBorderDxfId="118" tableBorderDxfId="116" totalsRowBorderDxfId="115">
  <autoFilter ref="C69:AE93" xr:uid="{F389C94A-51B3-484B-8EF5-7DD131962147}"/>
  <tableColumns count="29">
    <tableColumn id="1" xr3:uid="{91F43F19-070C-44D7-AECF-5C15A3B8FD84}" name="Start of Year" dataDxfId="114"/>
    <tableColumn id="2" xr3:uid="{D6C4FC04-4235-4609-8767-DD13A45DE158}" name="End of Year" dataDxfId="113"/>
    <tableColumn id="3" xr3:uid="{40B8725F-12A8-43ED-BC90-3F75C9B9FC87}" name="Capital Repayment Payment Number" dataDxfId="112">
      <calculatedColumnFormula>IFERROR(IF(TLoan[[#This Row],[PFY]]=Project_Completion_Financial_Year,"1",IF(TLoan[[#This Row],[PFY]]&gt;Project_Completion_Financial_Year,IF(TLoan[[#This Row],[PFY]]&lt;=Final_Payment_Year,E69+1,"N/A"),"N/A")),"")</calculatedColumnFormula>
    </tableColumn>
    <tableColumn id="19" xr3:uid="{48E5BBC1-4107-4FA0-974A-430CC29F823E}" name="Interest Repayment Number" dataDxfId="111">
      <calculatedColumnFormula>IFERROR(IF(TLoan[[#This Row],[PFY]]=Drawdown_1_Financial_Year,"1",IF(TLoan[[#This Row],[PFY]]&gt;Drawdown_1_Financial_Year,IF(TLoan[[#This Row],[PFY]]&lt;=Final_Payment_Year,F69+1,"N/A"),"N/A")),"")</calculatedColumnFormula>
    </tableColumn>
    <tableColumn id="4" xr3:uid="{910F0E81-8AAC-490D-B48A-4A8156A2CEDE}" name="Payment Financial Year" dataDxfId="110">
      <calculatedColumnFormula>TLoan[[#This Row],[PFY]]&amp;"-"&amp;TLoan[[#This Row],[PFY]]+1</calculatedColumnFormula>
    </tableColumn>
    <tableColumn id="16" xr3:uid="{B91FFA86-A11C-477A-B4F6-C709E1DE9319}" name="PFY" dataDxfId="109">
      <calculatedColumnFormula>IF( YEAR(TLoan[[#This Row],[Start of Year]]) = YEAR(TLoan[[#This Row],[End of Year]]), YEAR(TLoan[[#This Row],[Start of Year]])-1, YEAR(TLoan[[#This Row],[Start of Year]]))</calculatedColumnFormula>
    </tableColumn>
    <tableColumn id="20" xr3:uid="{91186221-ED07-478B-8FDE-54E293BB1255}" name="Drawdown 1 Capital Amount" dataDxfId="108">
      <calculatedColumnFormula>IF(Drawdown_1_Financial_Year = TLoan[[#This Row],[PFY]], Drawdown_1, 0)</calculatedColumnFormula>
    </tableColumn>
    <tableColumn id="17" xr3:uid="{9028ECBA-0D1F-483D-8EB7-3BBD7981952C}" name="Drawdown 2 Capital Amount" dataDxfId="107">
      <calculatedColumnFormula>IF(Drawdown_2_Financial_Year = TLoan[[#This Row],[PFY]], Drawdown_2, 0)</calculatedColumnFormula>
    </tableColumn>
    <tableColumn id="5" xr3:uid="{2280F1E7-9E0C-4E7D-BC94-F9F2D20A4CC1}" name="Drawdown 3 Capital Amount" dataDxfId="106">
      <calculatedColumnFormula>IF(Drawdown_3_Financial_Year = TLoan[[#This Row],[PFY]], Drawdown_3, 0)</calculatedColumnFormula>
    </tableColumn>
    <tableColumn id="31" xr3:uid="{2F803B10-CB68-40CA-9331-14C6645616F2}" name="Capital Balance at FY Start" dataDxfId="105">
      <calculatedColumnFormula>IF(ISNUMBER(V69),V69,0)</calculatedColumnFormula>
    </tableColumn>
    <tableColumn id="13" xr3:uid="{3BB1F8B4-8A9D-4B94-AA8B-6692042373F9}" name="Minimum Required Repayment Including Interest" dataDxfId="104">
      <calculatedColumnFormula>IF(AND(TLoan[[#This Row],[PFY]]&gt;=Project_Completion_Financial_Year,TLoan[[#This Row],[PFY]]&lt;Project_Completion_Financial_Year+Payback_Period_In_Years),Minimum_Required_Repayment,0)</calculatedColumnFormula>
    </tableColumn>
    <tableColumn id="6" xr3:uid="{6554CE89-A6A4-4D5C-9679-3EBF54C28D7C}" name="Beginning Capital Balance" dataDxfId="103">
      <calculatedColumnFormula>TLoan[[#This Row],[Drawdown 1 Capital Amount]]+TLoan[[#This Row],[Drawdown 2 Capital Amount]]+TLoan[[#This Row],[Drawdown 3 Capital Amount]]+IF(ISNUMBER(V69),V69,0)</calculatedColumnFormula>
    </tableColumn>
    <tableColumn id="7" xr3:uid="{A8F4241B-ED55-4D0C-926F-37A5E078F785}" name="Minimum Required Repayment Value (Per Annum)" dataDxfId="102">
      <calculatedColumnFormula>TLoan[[#This Row],[Total Repayment Per Annum]]-TLoan[[#This Row],[Early Capital Repayment]]</calculatedColumnFormula>
    </tableColumn>
    <tableColumn id="22" xr3:uid="{64975D51-CFA8-4D20-AB58-3B98C12F5C93}" name="Drawdowns First Year Interest Payments" dataDxfId="101">
      <calculatedColumnFormula>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calculatedColumnFormula>
    </tableColumn>
    <tableColumn id="9" xr3:uid="{A463158D-4DEA-4D34-9F1D-9C27B958D7C2}" name="Interest Payment" dataDxfId="100">
      <calculatedColumnFormula>TLoan[[#This Row],[Capital Balance at FY Start]]*Interest_Rate</calculatedColumnFormula>
    </tableColumn>
    <tableColumn id="27" xr3:uid="{C3D777E9-8280-4169-9DCE-26AC9AE3F0E3}" name="Total Interest Payment" dataDxfId="99">
      <calculatedColumnFormula>TLoan[[#This Row],[Drawdowns First Year Interest Payments]]+TLoan[[#This Row],[Interest Payment]]</calculatedColumnFormula>
    </tableColumn>
    <tableColumn id="25" xr3:uid="{006DB695-6D28-4BF9-A5CC-E066CBA94F17}" name="Capital Repayment" dataDxfId="98">
      <calculatedColumnFormula>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calculatedColumnFormula>
    </tableColumn>
    <tableColumn id="10" xr3:uid="{43624142-8AD4-4D79-B54A-F7D7C2B7F0DF}" name="Early Capital Repayment" dataDxfId="97"/>
    <tableColumn id="28" xr3:uid="{B44DD028-B41D-4DD7-BF97-E59363250D44}" name="Total Capital Repayment" dataDxfId="96">
      <calculatedColumnFormula>TLoan[[#This Row],[Capital Repayment]]+TLoan[[#This Row],[Early Capital Repayment]]</calculatedColumnFormula>
    </tableColumn>
    <tableColumn id="12" xr3:uid="{3E07A880-79FC-4615-9BF8-AA1B16968530}" name="Ending Capital Balance" dataDxfId="95">
      <calculatedColumnFormula>TLoan[[#This Row],[Capital Balance at FY Start]]+TLoan[[#This Row],[Drawdown 1 Capital Amount]]+TLoan[[#This Row],[Drawdown 2 Capital Amount]]+TLoan[[#This Row],[Drawdown 3 Capital Amount]]-TLoan[[#This Row],[Total Capital Repayment]]</calculatedColumnFormula>
    </tableColumn>
    <tableColumn id="18" xr3:uid="{1405638D-9D3A-4E85-96A7-74695130A68C}" name="hide - Ending Balance Test - shows what the final payment should be" dataDxfId="94"/>
    <tableColumn id="21" xr3:uid="{6EEBC3F1-F194-4BEB-A009-5C45081C1AD5}" name="Hide - Final Payment Year" dataDxfId="93">
      <calculatedColumnFormula>IF(TLoan[[#This Row],[Total Capital Repayment]]&gt;0,1,0)</calculatedColumnFormula>
    </tableColumn>
    <tableColumn id="23" xr3:uid="{169A00BE-83D8-4D2C-938C-8B8B323BA49A}" name="Hide 3" dataDxfId="92"/>
    <tableColumn id="26" xr3:uid="{1802A334-404C-4E67-8997-7B4B439AF39A}" name="Hide - If ending capital is loan" dataDxfId="91"/>
    <tableColumn id="24" xr3:uid="{8F1ACE0A-7F17-40C6-9E1C-C1D0EEAA30D8}" name="Hide 4" dataDxfId="90"/>
    <tableColumn id="15" xr3:uid="{8767C452-248A-46DE-BEF4-8E3B3DEAE120}" name="Repayment Status" dataDxfId="89">
      <calculatedColumnFormula>IF(TLoan[[#This Row],[PFY]]&gt;Final_Payment_Year,"Capital Repayments Finished","Capital Repayments Incomplete")</calculatedColumnFormula>
    </tableColumn>
    <tableColumn id="30" xr3:uid="{5898EAC7-3796-4380-A483-F35DDB7B772F}" name="Total Repayment Per Annum" dataDxfId="88">
      <calculatedColumnFormula>IF(TLoan[[#This Row],[PFY]]&gt;Final_Payment_Year,0,TLoan[[#This Row],[Total Interest Payment]]+TLoan[[#This Row],[Total Capital Repayment]])</calculatedColumnFormula>
    </tableColumn>
    <tableColumn id="11" xr3:uid="{F7E716D9-AF17-41AF-A30A-9E4F851D3792}" name="Cumulative Capital Payments" dataDxfId="87">
      <calculatedColumnFormula>IF(TLoan[[#This Row],[PFY]]&gt;Final_Payment_Year,0,AD69+TLoan[[#This Row],[Total Capital Repayment]])</calculatedColumnFormula>
    </tableColumn>
    <tableColumn id="29" xr3:uid="{A48C1D36-A36C-4C23-B462-B112D45339D3}" name="Cumulative Interest Payments" dataDxfId="86">
      <calculatedColumnFormula>IF(TLoan[[#This Row],[PFY]]&gt;Final_Payment_Year,0,AE69+TLoan[[#This Row],[Total Interest Payment]])</calculatedColumnFormula>
    </tableColumn>
  </tableColumns>
  <tableStyleInfo name="TableStyleMedium8"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1.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3.bin"/><Relationship Id="rId2" Type="http://schemas.openxmlformats.org/officeDocument/2006/relationships/printerSettings" Target="../printerSettings/printerSettings2.bin"/><Relationship Id="rId1" Type="http://schemas.openxmlformats.org/officeDocument/2006/relationships/hyperlink" Target="mailto:technical@salixfinance.co.uk"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4"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V1"/>
  <sheetViews>
    <sheetView workbookViewId="0"/>
  </sheetViews>
  <sheetFormatPr defaultColWidth="8.7109375" defaultRowHeight="12.75" x14ac:dyDescent="0.2"/>
  <sheetData>
    <row r="1" spans="22:22" x14ac:dyDescent="0.2">
      <c r="V1" s="1" t="s">
        <v>0</v>
      </c>
    </row>
  </sheetData>
  <pageMargins left="0.7" right="0.7" top="0.75" bottom="0.75" header="0.3" footer="0.3"/>
  <headerFooter>
    <oddFooter>&amp;C_x000D_&amp;1#&amp;"Calibri"&amp;10&amp;K000000 AtkinsRéalis - Baseline / Référence</oddFooter>
  </headerFooter>
  <customProperties>
    <customPr name="GUID" r:id="rId1"/>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D7369-698F-44A2-B470-10410404D7ED}">
  <sheetPr>
    <tabColor rgb="FFACEACF"/>
  </sheetPr>
  <dimension ref="B1:N93"/>
  <sheetViews>
    <sheetView showGridLines="0" topLeftCell="A11" zoomScale="90" zoomScaleNormal="90" workbookViewId="0">
      <selection activeCell="I17" sqref="I17"/>
    </sheetView>
  </sheetViews>
  <sheetFormatPr defaultColWidth="9.28515625" defaultRowHeight="15.75" x14ac:dyDescent="0.2"/>
  <cols>
    <col min="1" max="1" width="3.42578125" style="249" customWidth="1"/>
    <col min="2" max="2" width="34.7109375" style="250" customWidth="1"/>
    <col min="3" max="3" width="14.42578125" style="249" customWidth="1"/>
    <col min="4" max="8" width="22.28515625" style="249" customWidth="1"/>
    <col min="9" max="9" width="122.42578125" style="251" customWidth="1"/>
    <col min="10" max="16384" width="9.28515625" style="249"/>
  </cols>
  <sheetData>
    <row r="1" spans="2:11" ht="16.5" thickBot="1" x14ac:dyDescent="0.25">
      <c r="C1" s="735"/>
      <c r="D1" s="735"/>
      <c r="E1" s="735"/>
      <c r="F1" s="735"/>
      <c r="G1" s="735"/>
      <c r="H1" s="735"/>
      <c r="J1" s="735"/>
      <c r="K1" s="735"/>
    </row>
    <row r="2" spans="2:11" x14ac:dyDescent="0.2">
      <c r="B2" s="252"/>
      <c r="C2" s="736"/>
      <c r="D2" s="736"/>
      <c r="E2" s="736"/>
      <c r="F2" s="736"/>
      <c r="G2" s="736"/>
      <c r="H2" s="737"/>
      <c r="J2" s="735"/>
      <c r="K2" s="735"/>
    </row>
    <row r="3" spans="2:11" x14ac:dyDescent="0.2">
      <c r="B3" s="253"/>
      <c r="C3" s="735"/>
      <c r="D3" s="735"/>
      <c r="E3" s="735"/>
      <c r="F3" s="735"/>
      <c r="G3" s="735"/>
      <c r="H3" s="738"/>
      <c r="J3" s="735"/>
      <c r="K3" s="735"/>
    </row>
    <row r="4" spans="2:11" x14ac:dyDescent="0.2">
      <c r="B4" s="254"/>
      <c r="C4" s="739"/>
      <c r="D4" s="739"/>
      <c r="E4" s="739"/>
      <c r="F4" s="739"/>
      <c r="G4" s="739"/>
      <c r="H4" s="740"/>
      <c r="J4" s="735"/>
      <c r="K4" s="735"/>
    </row>
    <row r="5" spans="2:11" ht="23.25" customHeight="1" x14ac:dyDescent="0.2">
      <c r="B5" s="1048" t="s">
        <v>485</v>
      </c>
      <c r="C5" s="1049"/>
      <c r="D5" s="1049"/>
      <c r="E5" s="1049"/>
      <c r="F5" s="1049"/>
      <c r="G5" s="1049"/>
      <c r="H5" s="1050"/>
      <c r="J5" s="735"/>
      <c r="K5" s="735"/>
    </row>
    <row r="6" spans="2:11" x14ac:dyDescent="0.2">
      <c r="B6" s="255" t="s">
        <v>486</v>
      </c>
      <c r="C6" s="735"/>
      <c r="D6" s="735"/>
      <c r="E6" s="735"/>
      <c r="F6" s="735"/>
      <c r="G6" s="735"/>
      <c r="H6" s="738"/>
      <c r="J6" s="735"/>
      <c r="K6" s="735"/>
    </row>
    <row r="7" spans="2:11" x14ac:dyDescent="0.2">
      <c r="B7" s="256"/>
      <c r="C7" s="735"/>
      <c r="D7" s="735"/>
      <c r="E7" s="735"/>
      <c r="F7" s="735"/>
      <c r="G7" s="735"/>
      <c r="H7" s="738"/>
      <c r="I7" s="257" t="s">
        <v>487</v>
      </c>
      <c r="J7" s="735"/>
      <c r="K7" s="735"/>
    </row>
    <row r="8" spans="2:11" ht="19.149999999999999" customHeight="1" x14ac:dyDescent="0.2">
      <c r="B8" s="258" t="s">
        <v>488</v>
      </c>
      <c r="C8" s="1051" t="str">
        <f>IF('Business Case'!D9="","",'Business Case'!D9)</f>
        <v/>
      </c>
      <c r="D8" s="1051"/>
      <c r="E8" s="1051"/>
      <c r="F8" s="1051"/>
      <c r="G8" s="1051"/>
      <c r="H8" s="1052"/>
      <c r="I8" s="1046" t="s">
        <v>489</v>
      </c>
      <c r="J8" s="735"/>
      <c r="K8" s="735"/>
    </row>
    <row r="9" spans="2:11" x14ac:dyDescent="0.2">
      <c r="B9" s="259"/>
      <c r="C9" s="735"/>
      <c r="D9" s="735"/>
      <c r="E9" s="735"/>
      <c r="F9" s="735"/>
      <c r="G9" s="735"/>
      <c r="H9" s="738"/>
      <c r="I9" s="1046"/>
      <c r="J9" s="735"/>
      <c r="K9" s="735"/>
    </row>
    <row r="10" spans="2:11" ht="19.5" customHeight="1" x14ac:dyDescent="0.2">
      <c r="B10" s="258" t="s">
        <v>490</v>
      </c>
      <c r="C10" s="1051" t="str">
        <f>IF('Project Compliance Tool'!D3="","",'Project Compliance Tool'!D3)</f>
        <v/>
      </c>
      <c r="D10" s="1051"/>
      <c r="E10" s="1051"/>
      <c r="F10" s="1051"/>
      <c r="G10" s="1051"/>
      <c r="H10" s="1052"/>
      <c r="I10" s="1046"/>
      <c r="J10" s="735"/>
      <c r="K10" s="735"/>
    </row>
    <row r="11" spans="2:11" x14ac:dyDescent="0.2">
      <c r="B11" s="256"/>
      <c r="C11" s="735"/>
      <c r="D11" s="735"/>
      <c r="E11" s="735"/>
      <c r="F11" s="735"/>
      <c r="G11" s="735"/>
      <c r="H11" s="738"/>
      <c r="I11" s="260"/>
      <c r="J11" s="735"/>
      <c r="K11" s="735"/>
    </row>
    <row r="12" spans="2:11" x14ac:dyDescent="0.2">
      <c r="B12" s="255" t="s">
        <v>491</v>
      </c>
      <c r="C12" s="735"/>
      <c r="D12" s="735" t="s">
        <v>492</v>
      </c>
      <c r="E12" s="735"/>
      <c r="F12" s="735"/>
      <c r="G12" s="735"/>
      <c r="H12" s="738"/>
      <c r="I12" s="260"/>
      <c r="J12" s="735"/>
      <c r="K12" s="735"/>
    </row>
    <row r="13" spans="2:11" ht="15.75" customHeight="1" x14ac:dyDescent="0.2">
      <c r="B13" s="253"/>
      <c r="C13" s="735"/>
      <c r="D13" s="735"/>
      <c r="E13" s="735"/>
      <c r="F13" s="735"/>
      <c r="G13" s="735"/>
      <c r="H13" s="738"/>
      <c r="I13" s="1053" t="s">
        <v>493</v>
      </c>
      <c r="J13" s="735"/>
      <c r="K13" s="735"/>
    </row>
    <row r="14" spans="2:11" ht="51.95" customHeight="1" x14ac:dyDescent="0.2">
      <c r="B14" s="433" t="s">
        <v>494</v>
      </c>
      <c r="C14" s="434"/>
      <c r="D14" s="1043"/>
      <c r="E14" s="1044"/>
      <c r="F14" s="1044"/>
      <c r="G14" s="1044"/>
      <c r="H14" s="1045"/>
      <c r="I14" s="1053"/>
      <c r="J14" s="741"/>
      <c r="K14" s="741"/>
    </row>
    <row r="15" spans="2:11" x14ac:dyDescent="0.2">
      <c r="B15" s="261"/>
      <c r="C15" s="262"/>
      <c r="D15" s="263"/>
      <c r="E15" s="263"/>
      <c r="F15" s="264"/>
      <c r="G15" s="264"/>
      <c r="H15" s="265"/>
      <c r="I15" s="308"/>
      <c r="J15" s="741"/>
      <c r="K15" s="741"/>
    </row>
    <row r="16" spans="2:11" ht="51.95" customHeight="1" x14ac:dyDescent="0.2">
      <c r="B16" s="433" t="s">
        <v>495</v>
      </c>
      <c r="C16" s="434"/>
      <c r="D16" s="1043"/>
      <c r="E16" s="1044"/>
      <c r="F16" s="1044"/>
      <c r="G16" s="1044"/>
      <c r="H16" s="1045"/>
      <c r="I16" s="431" t="s">
        <v>496</v>
      </c>
      <c r="J16" s="741"/>
      <c r="K16" s="741"/>
    </row>
    <row r="17" spans="2:11" x14ac:dyDescent="0.2">
      <c r="B17" s="261"/>
      <c r="C17" s="262"/>
      <c r="D17" s="263"/>
      <c r="E17" s="263"/>
      <c r="F17" s="264"/>
      <c r="G17" s="264"/>
      <c r="H17" s="265"/>
      <c r="I17" s="308"/>
      <c r="J17" s="741"/>
      <c r="K17" s="741"/>
    </row>
    <row r="18" spans="2:11" ht="51" customHeight="1" x14ac:dyDescent="0.2">
      <c r="B18" s="433" t="s">
        <v>497</v>
      </c>
      <c r="C18" s="434"/>
      <c r="D18" s="1043"/>
      <c r="E18" s="1044"/>
      <c r="F18" s="1044"/>
      <c r="G18" s="1044"/>
      <c r="H18" s="1045"/>
      <c r="I18" s="308" t="s">
        <v>498</v>
      </c>
      <c r="J18" s="741"/>
      <c r="K18" s="741"/>
    </row>
    <row r="19" spans="2:11" x14ac:dyDescent="0.2">
      <c r="B19" s="261"/>
      <c r="C19" s="262"/>
      <c r="D19" s="267"/>
      <c r="E19" s="267"/>
      <c r="F19" s="260"/>
      <c r="G19" s="260"/>
      <c r="H19" s="268"/>
      <c r="I19" s="266"/>
      <c r="J19" s="741"/>
      <c r="K19" s="741"/>
    </row>
    <row r="20" spans="2:11" ht="51.6" customHeight="1" x14ac:dyDescent="0.2">
      <c r="B20" s="433" t="s">
        <v>499</v>
      </c>
      <c r="C20" s="434"/>
      <c r="D20" s="1043"/>
      <c r="E20" s="1044"/>
      <c r="F20" s="1044"/>
      <c r="G20" s="1044"/>
      <c r="H20" s="1045"/>
      <c r="I20" s="1047" t="s">
        <v>500</v>
      </c>
      <c r="J20" s="741"/>
      <c r="K20" s="741"/>
    </row>
    <row r="21" spans="2:11" x14ac:dyDescent="0.2">
      <c r="B21" s="261"/>
      <c r="C21" s="262"/>
      <c r="D21" s="269"/>
      <c r="E21" s="269"/>
      <c r="F21" s="270"/>
      <c r="G21" s="270"/>
      <c r="H21" s="271"/>
      <c r="I21" s="1047"/>
      <c r="J21" s="741"/>
      <c r="K21" s="741"/>
    </row>
    <row r="22" spans="2:11" ht="51" customHeight="1" x14ac:dyDescent="0.2">
      <c r="B22" s="433" t="s">
        <v>501</v>
      </c>
      <c r="C22" s="434"/>
      <c r="D22" s="1043"/>
      <c r="E22" s="1044"/>
      <c r="F22" s="1044"/>
      <c r="G22" s="1044"/>
      <c r="H22" s="1045"/>
      <c r="I22" s="431" t="s">
        <v>502</v>
      </c>
      <c r="J22" s="741"/>
      <c r="K22" s="741"/>
    </row>
    <row r="23" spans="2:11" x14ac:dyDescent="0.2">
      <c r="B23" s="253"/>
      <c r="C23" s="735"/>
      <c r="D23" s="742"/>
      <c r="E23" s="742"/>
      <c r="F23" s="742"/>
      <c r="G23" s="742"/>
      <c r="H23" s="743"/>
      <c r="I23" s="260"/>
      <c r="J23" s="735"/>
      <c r="K23" s="735"/>
    </row>
    <row r="24" spans="2:11" ht="51" customHeight="1" x14ac:dyDescent="0.2">
      <c r="B24" s="433" t="s">
        <v>503</v>
      </c>
      <c r="C24" s="434"/>
      <c r="D24" s="1043"/>
      <c r="E24" s="1044"/>
      <c r="F24" s="1044"/>
      <c r="G24" s="1044"/>
      <c r="H24" s="1045"/>
      <c r="I24" s="431" t="s">
        <v>504</v>
      </c>
      <c r="J24" s="735"/>
      <c r="K24" s="735"/>
    </row>
    <row r="25" spans="2:11" ht="15.6" customHeight="1" x14ac:dyDescent="0.2">
      <c r="B25" s="753"/>
      <c r="C25" s="735"/>
      <c r="D25" s="742"/>
      <c r="E25" s="742"/>
      <c r="F25" s="742"/>
      <c r="G25" s="742"/>
      <c r="H25" s="743"/>
      <c r="I25" s="260"/>
      <c r="J25" s="735"/>
      <c r="K25" s="735"/>
    </row>
    <row r="26" spans="2:11" x14ac:dyDescent="0.2">
      <c r="B26" s="255" t="s">
        <v>505</v>
      </c>
      <c r="C26" s="735"/>
      <c r="D26" s="742"/>
      <c r="E26" s="742"/>
      <c r="F26" s="742"/>
      <c r="G26" s="742"/>
      <c r="H26" s="743"/>
      <c r="I26" s="260"/>
      <c r="J26" s="735"/>
      <c r="K26" s="735"/>
    </row>
    <row r="27" spans="2:11" x14ac:dyDescent="0.2">
      <c r="B27" s="253"/>
      <c r="C27" s="735"/>
      <c r="D27" s="742"/>
      <c r="E27" s="742"/>
      <c r="F27" s="742"/>
      <c r="G27" s="742"/>
      <c r="H27" s="743"/>
      <c r="I27" s="260"/>
      <c r="J27" s="735"/>
      <c r="K27" s="735"/>
    </row>
    <row r="28" spans="2:11" ht="30" customHeight="1" x14ac:dyDescent="0.2">
      <c r="B28" s="272" t="s">
        <v>506</v>
      </c>
      <c r="C28" s="442"/>
      <c r="D28" s="1054" t="s">
        <v>492</v>
      </c>
      <c r="E28" s="1055"/>
      <c r="F28" s="1055"/>
      <c r="G28" s="1055"/>
      <c r="H28" s="1056"/>
      <c r="I28" s="308" t="s">
        <v>507</v>
      </c>
      <c r="J28" s="741"/>
      <c r="K28" s="741"/>
    </row>
    <row r="29" spans="2:11" ht="30" customHeight="1" x14ac:dyDescent="0.2">
      <c r="B29" s="272" t="s">
        <v>508</v>
      </c>
      <c r="C29" s="442"/>
      <c r="D29" s="1054"/>
      <c r="E29" s="1055"/>
      <c r="F29" s="1055"/>
      <c r="G29" s="1055"/>
      <c r="H29" s="1056"/>
      <c r="I29" s="308" t="s">
        <v>509</v>
      </c>
      <c r="J29" s="741"/>
      <c r="K29" s="741"/>
    </row>
    <row r="30" spans="2:11" ht="30" customHeight="1" x14ac:dyDescent="0.2">
      <c r="B30" s="272" t="s">
        <v>510</v>
      </c>
      <c r="C30" s="442"/>
      <c r="D30" s="1054"/>
      <c r="E30" s="1055"/>
      <c r="F30" s="1055"/>
      <c r="G30" s="1055"/>
      <c r="H30" s="1056"/>
      <c r="I30" s="308" t="s">
        <v>511</v>
      </c>
      <c r="J30" s="741"/>
      <c r="K30" s="741"/>
    </row>
    <row r="31" spans="2:11" ht="30" customHeight="1" x14ac:dyDescent="0.2">
      <c r="B31" s="272" t="s">
        <v>512</v>
      </c>
      <c r="C31" s="442"/>
      <c r="D31" s="1054"/>
      <c r="E31" s="1055"/>
      <c r="F31" s="1055"/>
      <c r="G31" s="1055"/>
      <c r="H31" s="1056"/>
      <c r="I31" s="1046" t="s">
        <v>513</v>
      </c>
      <c r="J31" s="741"/>
      <c r="K31" s="741"/>
    </row>
    <row r="32" spans="2:11" ht="75" customHeight="1" x14ac:dyDescent="0.2">
      <c r="B32" s="1065" t="s">
        <v>514</v>
      </c>
      <c r="C32" s="1066"/>
      <c r="D32" s="1062"/>
      <c r="E32" s="1063"/>
      <c r="F32" s="1063"/>
      <c r="G32" s="1063"/>
      <c r="H32" s="1064"/>
      <c r="I32" s="1046"/>
      <c r="J32" s="741"/>
      <c r="K32" s="741"/>
    </row>
    <row r="33" spans="2:14" x14ac:dyDescent="0.2">
      <c r="B33" s="1067"/>
      <c r="C33" s="1068"/>
      <c r="D33" s="1068"/>
      <c r="E33" s="1068"/>
      <c r="F33" s="1068"/>
      <c r="G33" s="1068"/>
      <c r="H33" s="1069"/>
      <c r="I33" s="308"/>
      <c r="J33" s="741"/>
      <c r="K33" s="741"/>
      <c r="L33" s="735"/>
      <c r="M33" s="735"/>
      <c r="N33" s="735"/>
    </row>
    <row r="34" spans="2:14" ht="45" customHeight="1" x14ac:dyDescent="0.2">
      <c r="B34" s="432" t="s">
        <v>515</v>
      </c>
      <c r="C34" s="434"/>
      <c r="D34" s="1043"/>
      <c r="E34" s="1044"/>
      <c r="F34" s="1044"/>
      <c r="G34" s="1044"/>
      <c r="H34" s="1045"/>
      <c r="I34" s="308" t="s">
        <v>516</v>
      </c>
      <c r="J34" s="741"/>
      <c r="K34" s="741"/>
      <c r="L34" s="735"/>
      <c r="M34" s="735"/>
      <c r="N34" s="735"/>
    </row>
    <row r="35" spans="2:14" x14ac:dyDescent="0.2">
      <c r="B35" s="1057"/>
      <c r="C35" s="1058"/>
      <c r="D35" s="1058"/>
      <c r="E35" s="1058"/>
      <c r="F35" s="1058"/>
      <c r="G35" s="1058"/>
      <c r="H35" s="1059"/>
      <c r="I35" s="308"/>
      <c r="J35" s="741"/>
      <c r="K35" s="741"/>
      <c r="L35" s="735"/>
      <c r="M35" s="735"/>
      <c r="N35" s="735"/>
    </row>
    <row r="36" spans="2:14" ht="54.95" customHeight="1" x14ac:dyDescent="0.2">
      <c r="B36" s="432" t="s">
        <v>517</v>
      </c>
      <c r="C36" s="434"/>
      <c r="D36" s="1043"/>
      <c r="E36" s="1044"/>
      <c r="F36" s="1044"/>
      <c r="G36" s="1044"/>
      <c r="H36" s="1045"/>
      <c r="I36" s="308" t="s">
        <v>518</v>
      </c>
      <c r="J36" s="741"/>
      <c r="K36" s="741"/>
      <c r="L36" s="735"/>
      <c r="M36" s="735"/>
      <c r="N36" s="735"/>
    </row>
    <row r="37" spans="2:14" x14ac:dyDescent="0.2">
      <c r="B37" s="1057"/>
      <c r="C37" s="1058"/>
      <c r="D37" s="1058"/>
      <c r="E37" s="1058"/>
      <c r="F37" s="1058"/>
      <c r="G37" s="1058"/>
      <c r="H37" s="1059"/>
      <c r="I37" s="308"/>
      <c r="J37" s="741"/>
      <c r="K37" s="741"/>
      <c r="L37" s="735"/>
      <c r="M37" s="735"/>
      <c r="N37" s="735"/>
    </row>
    <row r="38" spans="2:14" ht="45" customHeight="1" x14ac:dyDescent="0.2">
      <c r="B38" s="432" t="s">
        <v>519</v>
      </c>
      <c r="C38" s="434"/>
      <c r="D38" s="1060"/>
      <c r="E38" s="1060"/>
      <c r="F38" s="1060"/>
      <c r="G38" s="1060"/>
      <c r="H38" s="1061"/>
      <c r="I38" s="308" t="s">
        <v>520</v>
      </c>
      <c r="J38" s="741"/>
      <c r="K38" s="741"/>
      <c r="L38" s="735"/>
      <c r="M38" s="735"/>
      <c r="N38" s="735"/>
    </row>
    <row r="39" spans="2:14" ht="15.75" customHeight="1" x14ac:dyDescent="0.2">
      <c r="B39" s="273"/>
      <c r="C39" s="274"/>
      <c r="D39" s="274"/>
      <c r="E39" s="274"/>
      <c r="F39" s="274"/>
      <c r="G39" s="274"/>
      <c r="H39" s="275"/>
      <c r="I39" s="260"/>
      <c r="J39" s="735"/>
      <c r="K39" s="735"/>
      <c r="L39" s="735"/>
      <c r="M39" s="735"/>
      <c r="N39" s="735"/>
    </row>
    <row r="40" spans="2:14" ht="15.75" customHeight="1" x14ac:dyDescent="0.2">
      <c r="B40" s="277" t="s">
        <v>521</v>
      </c>
      <c r="C40" s="276"/>
      <c r="D40" s="276"/>
      <c r="E40" s="278"/>
      <c r="F40" s="278"/>
      <c r="G40" s="278"/>
      <c r="H40" s="279"/>
      <c r="I40" s="260"/>
      <c r="J40" s="735"/>
      <c r="K40" s="735"/>
      <c r="L40" s="735"/>
      <c r="M40" s="735"/>
      <c r="N40" s="735"/>
    </row>
    <row r="41" spans="2:14" x14ac:dyDescent="0.2">
      <c r="B41" s="1070"/>
      <c r="C41" s="1071"/>
      <c r="D41" s="1071"/>
      <c r="E41" s="1071"/>
      <c r="F41" s="1071"/>
      <c r="G41" s="1071"/>
      <c r="H41" s="1072"/>
      <c r="I41" s="1042" t="s">
        <v>522</v>
      </c>
      <c r="J41" s="741"/>
      <c r="K41" s="741"/>
      <c r="L41" s="735"/>
      <c r="M41" s="735"/>
      <c r="N41" s="735"/>
    </row>
    <row r="42" spans="2:14" ht="49.5" customHeight="1" x14ac:dyDescent="0.2">
      <c r="B42" s="430" t="s">
        <v>523</v>
      </c>
      <c r="C42" s="434"/>
      <c r="D42" s="1043"/>
      <c r="E42" s="1044"/>
      <c r="F42" s="1044"/>
      <c r="G42" s="1044"/>
      <c r="H42" s="1045"/>
      <c r="I42" s="1042"/>
      <c r="J42" s="741"/>
      <c r="K42" s="741"/>
      <c r="L42" s="735"/>
      <c r="M42" s="735"/>
      <c r="N42" s="735"/>
    </row>
    <row r="43" spans="2:14" x14ac:dyDescent="0.2">
      <c r="B43" s="1057"/>
      <c r="C43" s="1058"/>
      <c r="D43" s="1058"/>
      <c r="E43" s="1058"/>
      <c r="F43" s="1058"/>
      <c r="G43" s="1058"/>
      <c r="H43" s="1059"/>
      <c r="I43" s="308"/>
      <c r="J43" s="741"/>
      <c r="K43" s="741"/>
      <c r="L43" s="735"/>
      <c r="M43" s="735"/>
      <c r="N43" s="735"/>
    </row>
    <row r="44" spans="2:14" ht="44.45" customHeight="1" x14ac:dyDescent="0.2">
      <c r="B44" s="430" t="s">
        <v>524</v>
      </c>
      <c r="C44" s="434"/>
      <c r="D44" s="1043"/>
      <c r="E44" s="1044"/>
      <c r="F44" s="1044"/>
      <c r="G44" s="1044"/>
      <c r="H44" s="1045"/>
      <c r="I44" s="308" t="s">
        <v>525</v>
      </c>
      <c r="J44" s="741"/>
      <c r="K44" s="741"/>
      <c r="L44" s="735"/>
      <c r="M44" s="735"/>
      <c r="N44" s="735"/>
    </row>
    <row r="45" spans="2:14" x14ac:dyDescent="0.2">
      <c r="B45" s="1057"/>
      <c r="C45" s="1058"/>
      <c r="D45" s="1058"/>
      <c r="E45" s="1058"/>
      <c r="F45" s="1058"/>
      <c r="G45" s="1058"/>
      <c r="H45" s="1059"/>
      <c r="I45" s="308"/>
      <c r="J45" s="741"/>
      <c r="K45" s="741"/>
      <c r="L45" s="735"/>
      <c r="M45" s="735"/>
      <c r="N45" s="735"/>
    </row>
    <row r="46" spans="2:14" ht="45" customHeight="1" x14ac:dyDescent="0.2">
      <c r="B46" s="430" t="s">
        <v>526</v>
      </c>
      <c r="C46" s="434"/>
      <c r="D46" s="1043"/>
      <c r="E46" s="1044"/>
      <c r="F46" s="1044"/>
      <c r="G46" s="1044"/>
      <c r="H46" s="1045"/>
      <c r="I46" s="308" t="s">
        <v>527</v>
      </c>
      <c r="J46" s="741"/>
      <c r="K46" s="741"/>
      <c r="L46" s="735"/>
      <c r="M46" s="735"/>
      <c r="N46" s="735"/>
    </row>
    <row r="47" spans="2:14" x14ac:dyDescent="0.2">
      <c r="B47" s="1082"/>
      <c r="C47" s="1083"/>
      <c r="D47" s="1083"/>
      <c r="E47" s="1083"/>
      <c r="F47" s="1083"/>
      <c r="G47" s="1083"/>
      <c r="H47" s="1084"/>
      <c r="I47" s="260"/>
      <c r="J47" s="735"/>
      <c r="K47" s="735"/>
      <c r="L47" s="735"/>
      <c r="M47" s="735"/>
      <c r="N47" s="735"/>
    </row>
    <row r="48" spans="2:14" ht="56.45" customHeight="1" x14ac:dyDescent="0.2">
      <c r="B48" s="430" t="s">
        <v>528</v>
      </c>
      <c r="C48" s="434"/>
      <c r="D48" s="1043"/>
      <c r="E48" s="1044"/>
      <c r="F48" s="1044"/>
      <c r="G48" s="1044"/>
      <c r="H48" s="1045"/>
      <c r="I48" s="308" t="s">
        <v>529</v>
      </c>
      <c r="J48" s="735"/>
      <c r="K48" s="735"/>
      <c r="L48" s="735"/>
      <c r="M48" s="735"/>
      <c r="N48" s="735"/>
    </row>
    <row r="49" spans="2:14" ht="18.75" x14ac:dyDescent="0.2">
      <c r="B49" s="253"/>
      <c r="C49" s="735"/>
      <c r="D49" s="735"/>
      <c r="E49" s="281"/>
      <c r="F49" s="281"/>
      <c r="G49" s="282"/>
      <c r="H49" s="283"/>
      <c r="I49" s="260"/>
      <c r="J49" s="280"/>
      <c r="K49" s="284">
        <v>2.2999999999999998</v>
      </c>
      <c r="L49" s="285" t="e">
        <f>#REF!</f>
        <v>#REF!</v>
      </c>
      <c r="M49" s="284"/>
      <c r="N49" s="280"/>
    </row>
    <row r="50" spans="2:14" ht="18.75" x14ac:dyDescent="0.2">
      <c r="B50" s="286"/>
      <c r="C50" s="744"/>
      <c r="D50" s="744"/>
      <c r="E50" s="287"/>
      <c r="F50" s="287"/>
      <c r="G50" s="288"/>
      <c r="H50" s="289"/>
      <c r="I50" s="260"/>
      <c r="J50" s="280"/>
      <c r="K50" s="284">
        <v>2.4</v>
      </c>
      <c r="L50" s="285" t="e">
        <f>#REF!</f>
        <v>#REF!</v>
      </c>
      <c r="M50" s="284"/>
      <c r="N50" s="280"/>
    </row>
    <row r="51" spans="2:14" x14ac:dyDescent="0.2">
      <c r="B51" s="1085" t="s">
        <v>530</v>
      </c>
      <c r="C51" s="1086"/>
      <c r="D51" s="1087"/>
      <c r="E51" s="1088"/>
      <c r="F51" s="1088"/>
      <c r="G51" s="1088"/>
      <c r="H51" s="1089"/>
      <c r="I51" s="1081" t="s">
        <v>531</v>
      </c>
      <c r="J51" s="280"/>
      <c r="K51" s="284">
        <v>2.5</v>
      </c>
      <c r="L51" s="285" t="e">
        <f>#REF!</f>
        <v>#REF!</v>
      </c>
      <c r="M51" s="284"/>
      <c r="N51" s="280"/>
    </row>
    <row r="52" spans="2:14" x14ac:dyDescent="0.2">
      <c r="B52" s="1073"/>
      <c r="C52" s="1074"/>
      <c r="D52" s="1078"/>
      <c r="E52" s="1079"/>
      <c r="F52" s="1079"/>
      <c r="G52" s="1079"/>
      <c r="H52" s="1080"/>
      <c r="I52" s="1081"/>
      <c r="J52" s="280"/>
      <c r="K52" s="284">
        <v>2.6</v>
      </c>
      <c r="L52" s="285" t="e">
        <f>#REF!</f>
        <v>#REF!</v>
      </c>
      <c r="M52" s="284"/>
      <c r="N52" s="280"/>
    </row>
    <row r="53" spans="2:14" ht="15.75" customHeight="1" x14ac:dyDescent="0.2">
      <c r="B53" s="290"/>
      <c r="C53" s="260"/>
      <c r="D53" s="735"/>
      <c r="E53" s="281"/>
      <c r="F53" s="281"/>
      <c r="G53" s="282"/>
      <c r="H53" s="283"/>
      <c r="I53" s="260"/>
      <c r="J53" s="280"/>
      <c r="K53" s="284">
        <v>2.7</v>
      </c>
      <c r="L53" s="285" t="e">
        <f>#REF!</f>
        <v>#REF!</v>
      </c>
      <c r="M53" s="284"/>
      <c r="N53" s="280"/>
    </row>
    <row r="54" spans="2:14" x14ac:dyDescent="0.2">
      <c r="B54" s="1073" t="s">
        <v>532</v>
      </c>
      <c r="C54" s="1074"/>
      <c r="D54" s="1075"/>
      <c r="E54" s="1076"/>
      <c r="F54" s="1076"/>
      <c r="G54" s="1076"/>
      <c r="H54" s="1077"/>
      <c r="I54" s="1090" t="s">
        <v>533</v>
      </c>
      <c r="J54" s="280"/>
      <c r="K54" s="284">
        <v>3.1</v>
      </c>
      <c r="L54" s="285" t="e">
        <f>#REF!</f>
        <v>#REF!</v>
      </c>
      <c r="M54" s="284"/>
      <c r="N54" s="280"/>
    </row>
    <row r="55" spans="2:14" x14ac:dyDescent="0.2">
      <c r="B55" s="1073"/>
      <c r="C55" s="1074"/>
      <c r="D55" s="1078"/>
      <c r="E55" s="1079"/>
      <c r="F55" s="1079"/>
      <c r="G55" s="1079"/>
      <c r="H55" s="1080"/>
      <c r="I55" s="1090"/>
      <c r="J55" s="280"/>
      <c r="K55" s="284">
        <v>3.2</v>
      </c>
      <c r="L55" s="285" t="e">
        <f>#REF!</f>
        <v>#REF!</v>
      </c>
      <c r="M55" s="284"/>
      <c r="N55" s="280"/>
    </row>
    <row r="56" spans="2:14" x14ac:dyDescent="0.2">
      <c r="B56" s="291"/>
      <c r="C56" s="292"/>
      <c r="D56" s="745"/>
      <c r="E56" s="745"/>
      <c r="F56" s="745"/>
      <c r="G56" s="745"/>
      <c r="H56" s="746"/>
      <c r="I56" s="309"/>
      <c r="J56" s="280"/>
      <c r="K56" s="284">
        <v>3.3</v>
      </c>
      <c r="L56" s="285" t="e">
        <f>#REF!</f>
        <v>#REF!</v>
      </c>
      <c r="M56" s="284"/>
      <c r="N56" s="280"/>
    </row>
    <row r="57" spans="2:14" ht="31.5" customHeight="1" x14ac:dyDescent="0.2">
      <c r="B57" s="293" t="s">
        <v>534</v>
      </c>
      <c r="C57" s="294">
        <f>'Business Case'!H79</f>
        <v>0</v>
      </c>
      <c r="D57" s="1091"/>
      <c r="E57" s="1092"/>
      <c r="F57" s="1092"/>
      <c r="G57" s="1092"/>
      <c r="H57" s="1093"/>
      <c r="I57" s="309" t="s">
        <v>535</v>
      </c>
      <c r="J57" s="280"/>
      <c r="K57" s="284">
        <v>3.4</v>
      </c>
      <c r="L57" s="285" t="e">
        <f>#REF!</f>
        <v>#REF!</v>
      </c>
      <c r="M57" s="284"/>
      <c r="N57" s="280"/>
    </row>
    <row r="58" spans="2:14" x14ac:dyDescent="0.2">
      <c r="B58" s="291"/>
      <c r="C58" s="292"/>
      <c r="D58" s="745"/>
      <c r="E58" s="745"/>
      <c r="F58" s="745"/>
      <c r="G58" s="745"/>
      <c r="H58" s="746"/>
      <c r="I58" s="309"/>
      <c r="J58" s="280"/>
      <c r="K58" s="280"/>
      <c r="L58" s="280"/>
      <c r="M58" s="280"/>
      <c r="N58" s="280"/>
    </row>
    <row r="59" spans="2:14" ht="31.5" customHeight="1" x14ac:dyDescent="0.2">
      <c r="B59" s="293" t="s">
        <v>536</v>
      </c>
      <c r="C59" s="294">
        <f>'Business Case'!H82</f>
        <v>0</v>
      </c>
      <c r="D59" s="1091"/>
      <c r="E59" s="1092"/>
      <c r="F59" s="1092"/>
      <c r="G59" s="1092"/>
      <c r="H59" s="1093"/>
      <c r="I59" s="309" t="s">
        <v>537</v>
      </c>
      <c r="J59" s="280"/>
      <c r="K59" s="735"/>
      <c r="L59" s="735"/>
      <c r="M59" s="280"/>
      <c r="N59" s="280"/>
    </row>
    <row r="60" spans="2:14" ht="18.75" x14ac:dyDescent="0.2">
      <c r="B60" s="253"/>
      <c r="C60" s="735"/>
      <c r="D60" s="735"/>
      <c r="E60" s="281"/>
      <c r="F60" s="281"/>
      <c r="G60" s="282"/>
      <c r="H60" s="283"/>
      <c r="I60" s="260"/>
      <c r="J60" s="280"/>
      <c r="K60" s="735"/>
      <c r="L60" s="735"/>
      <c r="M60" s="280"/>
      <c r="N60" s="280"/>
    </row>
    <row r="61" spans="2:14" x14ac:dyDescent="0.2">
      <c r="B61" s="255" t="s">
        <v>538</v>
      </c>
      <c r="C61" s="295"/>
      <c r="D61" s="295"/>
      <c r="E61" s="295"/>
      <c r="F61" s="295"/>
      <c r="G61" s="295"/>
      <c r="H61" s="296"/>
      <c r="I61" s="260"/>
      <c r="J61" s="735"/>
      <c r="K61" s="741"/>
      <c r="L61" s="735"/>
      <c r="M61" s="735"/>
      <c r="N61" s="735"/>
    </row>
    <row r="62" spans="2:14" x14ac:dyDescent="0.2">
      <c r="B62" s="256"/>
      <c r="C62" s="295"/>
      <c r="D62" s="295"/>
      <c r="E62" s="295"/>
      <c r="F62" s="295"/>
      <c r="G62" s="295"/>
      <c r="H62" s="296"/>
      <c r="I62" s="260"/>
      <c r="J62" s="735"/>
      <c r="K62" s="741"/>
      <c r="L62" s="735"/>
      <c r="M62" s="735"/>
      <c r="N62" s="735"/>
    </row>
    <row r="63" spans="2:14" ht="45" customHeight="1" x14ac:dyDescent="0.2">
      <c r="B63" s="261" t="s">
        <v>539</v>
      </c>
      <c r="C63" s="441" t="str">
        <f>IF(E93=0,"",IF(E90&gt;0,"Red",IF(E91&gt;0,"Amber","Green")))</f>
        <v/>
      </c>
      <c r="D63" s="1100" t="s">
        <v>540</v>
      </c>
      <c r="E63" s="1100"/>
      <c r="F63" s="1100"/>
      <c r="G63" s="1100"/>
      <c r="H63" s="1101"/>
      <c r="I63" s="308"/>
      <c r="J63" s="741"/>
      <c r="K63" s="735"/>
      <c r="L63" s="735"/>
      <c r="M63" s="735"/>
      <c r="N63" s="735"/>
    </row>
    <row r="64" spans="2:14" x14ac:dyDescent="0.2">
      <c r="B64" s="297"/>
      <c r="C64" s="298"/>
      <c r="D64" s="299"/>
      <c r="E64" s="299"/>
      <c r="F64" s="295"/>
      <c r="G64" s="295"/>
      <c r="H64" s="296"/>
      <c r="I64" s="308"/>
      <c r="J64" s="741"/>
      <c r="K64" s="735"/>
      <c r="L64" s="735"/>
      <c r="M64" s="735"/>
      <c r="N64" s="735"/>
    </row>
    <row r="65" spans="2:14" x14ac:dyDescent="0.2">
      <c r="B65" s="256"/>
      <c r="C65" s="295"/>
      <c r="D65" s="295"/>
      <c r="E65" s="295"/>
      <c r="F65" s="295"/>
      <c r="G65" s="295"/>
      <c r="H65" s="296"/>
      <c r="I65" s="260"/>
      <c r="J65" s="735"/>
      <c r="K65" s="735"/>
      <c r="L65" s="735"/>
      <c r="M65" s="735"/>
      <c r="N65" s="735"/>
    </row>
    <row r="66" spans="2:14" x14ac:dyDescent="0.2">
      <c r="B66" s="255" t="s">
        <v>541</v>
      </c>
      <c r="C66" s="295"/>
      <c r="D66" s="295"/>
      <c r="E66" s="295"/>
      <c r="F66" s="295"/>
      <c r="G66" s="295"/>
      <c r="H66" s="296"/>
      <c r="I66" s="260"/>
      <c r="J66" s="735"/>
      <c r="K66" s="735"/>
      <c r="L66" s="735"/>
      <c r="M66" s="735"/>
      <c r="N66" s="735"/>
    </row>
    <row r="67" spans="2:14" ht="157.5" customHeight="1" x14ac:dyDescent="0.2">
      <c r="B67" s="1102"/>
      <c r="C67" s="1103"/>
      <c r="D67" s="1103"/>
      <c r="E67" s="1103"/>
      <c r="F67" s="1103"/>
      <c r="G67" s="1103"/>
      <c r="H67" s="1104"/>
      <c r="I67" s="308" t="s">
        <v>542</v>
      </c>
      <c r="J67" s="735"/>
      <c r="K67" s="735"/>
      <c r="L67" s="735"/>
      <c r="M67" s="735"/>
      <c r="N67" s="735"/>
    </row>
    <row r="68" spans="2:14" x14ac:dyDescent="0.2">
      <c r="B68" s="253"/>
      <c r="C68" s="735"/>
      <c r="D68" s="735"/>
      <c r="E68" s="735"/>
      <c r="F68" s="735"/>
      <c r="G68" s="735"/>
      <c r="H68" s="738"/>
      <c r="I68" s="260"/>
      <c r="J68" s="735"/>
      <c r="K68" s="735"/>
      <c r="L68" s="735"/>
      <c r="M68" s="735"/>
      <c r="N68" s="735"/>
    </row>
    <row r="69" spans="2:14" x14ac:dyDescent="0.2">
      <c r="B69" s="255" t="s">
        <v>543</v>
      </c>
      <c r="C69" s="260"/>
      <c r="D69" s="260"/>
      <c r="E69" s="260"/>
      <c r="F69" s="260"/>
      <c r="G69" s="260"/>
      <c r="H69" s="268"/>
      <c r="I69" s="260"/>
      <c r="J69" s="735"/>
      <c r="K69" s="735"/>
      <c r="L69" s="735"/>
      <c r="M69" s="735"/>
      <c r="N69" s="735"/>
    </row>
    <row r="70" spans="2:14" ht="157.5" customHeight="1" x14ac:dyDescent="0.2">
      <c r="B70" s="1105" t="s">
        <v>544</v>
      </c>
      <c r="C70" s="1106"/>
      <c r="D70" s="1106"/>
      <c r="E70" s="1106"/>
      <c r="F70" s="1106"/>
      <c r="G70" s="1106"/>
      <c r="H70" s="1107"/>
      <c r="I70" s="308" t="s">
        <v>545</v>
      </c>
      <c r="J70" s="735"/>
      <c r="K70" s="735"/>
      <c r="L70" s="735"/>
      <c r="M70" s="735"/>
      <c r="N70" s="735"/>
    </row>
    <row r="71" spans="2:14" x14ac:dyDescent="0.2">
      <c r="B71" s="259"/>
      <c r="C71" s="260"/>
      <c r="D71" s="260"/>
      <c r="E71" s="260"/>
      <c r="F71" s="260"/>
      <c r="G71" s="260"/>
      <c r="H71" s="268"/>
      <c r="I71" s="300"/>
      <c r="J71" s="735"/>
      <c r="K71" s="735"/>
      <c r="L71" s="735"/>
      <c r="M71" s="735"/>
      <c r="N71" s="735"/>
    </row>
    <row r="72" spans="2:14" x14ac:dyDescent="0.2">
      <c r="B72" s="255" t="s">
        <v>546</v>
      </c>
      <c r="C72" s="260"/>
      <c r="D72" s="260"/>
      <c r="E72" s="260"/>
      <c r="F72" s="260"/>
      <c r="G72" s="260"/>
      <c r="H72" s="268"/>
      <c r="I72" s="300"/>
      <c r="J72" s="735"/>
      <c r="K72" s="735"/>
      <c r="L72" s="735"/>
      <c r="M72" s="735"/>
      <c r="N72" s="735"/>
    </row>
    <row r="73" spans="2:14" ht="51" customHeight="1" x14ac:dyDescent="0.2">
      <c r="B73" s="1108" t="s">
        <v>547</v>
      </c>
      <c r="C73" s="1109"/>
      <c r="D73" s="1109"/>
      <c r="E73" s="1109"/>
      <c r="F73" s="1109"/>
      <c r="G73" s="1109"/>
      <c r="H73" s="1110"/>
      <c r="I73" s="300"/>
      <c r="J73" s="735"/>
      <c r="K73" s="735"/>
      <c r="L73" s="735"/>
      <c r="M73" s="735"/>
      <c r="N73" s="735"/>
    </row>
    <row r="74" spans="2:14" x14ac:dyDescent="0.2">
      <c r="B74" s="259"/>
      <c r="C74" s="260"/>
      <c r="D74" s="260"/>
      <c r="E74" s="260"/>
      <c r="F74" s="260"/>
      <c r="G74" s="260"/>
      <c r="H74" s="268"/>
      <c r="I74" s="301"/>
      <c r="J74" s="735"/>
      <c r="K74" s="735"/>
      <c r="L74" s="735"/>
      <c r="M74" s="735"/>
      <c r="N74" s="735"/>
    </row>
    <row r="75" spans="2:14" x14ac:dyDescent="0.2">
      <c r="B75" s="255" t="s">
        <v>548</v>
      </c>
      <c r="C75" s="260"/>
      <c r="D75" s="260"/>
      <c r="E75" s="260"/>
      <c r="F75" s="260"/>
      <c r="G75" s="260"/>
      <c r="H75" s="268"/>
      <c r="I75" s="301"/>
      <c r="J75" s="735"/>
      <c r="K75" s="735"/>
      <c r="L75" s="735"/>
      <c r="M75" s="735"/>
      <c r="N75" s="735"/>
    </row>
    <row r="76" spans="2:14" x14ac:dyDescent="0.2">
      <c r="B76" s="259"/>
      <c r="C76" s="260"/>
      <c r="D76" s="260"/>
      <c r="E76" s="260"/>
      <c r="F76" s="260"/>
      <c r="G76" s="260"/>
      <c r="H76" s="268"/>
      <c r="I76" s="301"/>
      <c r="J76" s="735"/>
      <c r="K76" s="735"/>
      <c r="L76" s="735"/>
      <c r="M76" s="735"/>
      <c r="N76" s="735"/>
    </row>
    <row r="77" spans="2:14" x14ac:dyDescent="0.2">
      <c r="B77" s="259" t="s">
        <v>549</v>
      </c>
      <c r="C77" s="1095"/>
      <c r="D77" s="1097"/>
      <c r="E77" s="302"/>
      <c r="F77" s="302"/>
      <c r="G77" s="260"/>
      <c r="H77" s="268"/>
      <c r="I77" s="301"/>
      <c r="J77" s="735"/>
      <c r="K77" s="735"/>
      <c r="L77" s="735"/>
      <c r="M77" s="735"/>
      <c r="N77" s="735"/>
    </row>
    <row r="78" spans="2:14" x14ac:dyDescent="0.2">
      <c r="B78" s="259" t="s">
        <v>550</v>
      </c>
      <c r="C78" s="1094"/>
      <c r="D78" s="1094"/>
      <c r="E78" s="303" t="s">
        <v>551</v>
      </c>
      <c r="F78" s="304"/>
      <c r="G78" s="260"/>
      <c r="H78" s="268"/>
      <c r="I78" s="301"/>
      <c r="J78" s="735"/>
      <c r="K78" s="735"/>
      <c r="L78" s="735"/>
      <c r="M78" s="735"/>
      <c r="N78" s="735"/>
    </row>
    <row r="79" spans="2:14" x14ac:dyDescent="0.2">
      <c r="B79" s="259" t="s">
        <v>552</v>
      </c>
      <c r="C79" s="1095"/>
      <c r="D79" s="1096"/>
      <c r="E79" s="1096"/>
      <c r="F79" s="1097"/>
      <c r="G79" s="260"/>
      <c r="H79" s="268"/>
      <c r="I79" s="301"/>
      <c r="J79" s="735"/>
      <c r="K79" s="735"/>
      <c r="L79" s="735"/>
      <c r="M79" s="735"/>
      <c r="N79" s="735"/>
    </row>
    <row r="80" spans="2:14" x14ac:dyDescent="0.2">
      <c r="B80" s="259"/>
      <c r="C80" s="260"/>
      <c r="D80" s="260"/>
      <c r="E80" s="260"/>
      <c r="F80" s="260"/>
      <c r="G80" s="260"/>
      <c r="H80" s="268"/>
      <c r="I80" s="301"/>
      <c r="J80" s="735"/>
      <c r="K80" s="735"/>
      <c r="L80" s="735"/>
      <c r="M80" s="735"/>
      <c r="N80" s="735"/>
    </row>
    <row r="81" spans="2:9" x14ac:dyDescent="0.2">
      <c r="B81" s="259" t="s">
        <v>553</v>
      </c>
      <c r="C81" s="260"/>
      <c r="D81" s="260"/>
      <c r="E81" s="260"/>
      <c r="F81" s="260"/>
      <c r="G81" s="260"/>
      <c r="H81" s="268"/>
      <c r="I81" s="301"/>
    </row>
    <row r="82" spans="2:9" x14ac:dyDescent="0.2">
      <c r="B82" s="259"/>
      <c r="C82" s="260"/>
      <c r="D82" s="260"/>
      <c r="E82" s="260"/>
      <c r="F82" s="260"/>
      <c r="G82" s="260"/>
      <c r="H82" s="268"/>
      <c r="I82" s="301"/>
    </row>
    <row r="83" spans="2:9" x14ac:dyDescent="0.2">
      <c r="B83" s="259" t="s">
        <v>554</v>
      </c>
      <c r="C83" s="1095"/>
      <c r="D83" s="1096"/>
      <c r="E83" s="1096"/>
      <c r="F83" s="1097"/>
      <c r="G83" s="260"/>
      <c r="H83" s="268"/>
      <c r="I83" s="301"/>
    </row>
    <row r="84" spans="2:9" x14ac:dyDescent="0.2">
      <c r="B84" s="259" t="s">
        <v>555</v>
      </c>
      <c r="C84" s="1098"/>
      <c r="D84" s="1099"/>
      <c r="E84" s="260"/>
      <c r="F84" s="260"/>
      <c r="G84" s="260"/>
      <c r="H84" s="268"/>
      <c r="I84" s="301"/>
    </row>
    <row r="85" spans="2:9" ht="16.5" thickBot="1" x14ac:dyDescent="0.25">
      <c r="B85" s="253"/>
      <c r="C85" s="735"/>
      <c r="D85" s="735"/>
      <c r="E85" s="735"/>
      <c r="F85" s="735"/>
      <c r="G85" s="735"/>
      <c r="H85" s="305" t="str">
        <f ca="1">"© Salix "&amp;YEAR(NOW())</f>
        <v>© Salix 2026</v>
      </c>
    </row>
    <row r="86" spans="2:9" ht="16.5" thickBot="1" x14ac:dyDescent="0.25">
      <c r="B86" s="306"/>
      <c r="C86" s="747"/>
      <c r="D86" s="747"/>
      <c r="E86" s="747"/>
      <c r="F86" s="747"/>
      <c r="G86" s="747"/>
      <c r="H86" s="748"/>
    </row>
    <row r="88" spans="2:9" x14ac:dyDescent="0.2">
      <c r="C88" s="735"/>
      <c r="D88" s="735"/>
      <c r="E88" s="735"/>
      <c r="F88" s="735"/>
      <c r="G88" s="735"/>
      <c r="H88" s="735"/>
    </row>
    <row r="89" spans="2:9" ht="16.5" hidden="1" thickBot="1" x14ac:dyDescent="0.25">
      <c r="B89" s="435"/>
      <c r="C89" s="435" t="s">
        <v>556</v>
      </c>
      <c r="D89" s="435" t="s">
        <v>557</v>
      </c>
      <c r="E89" s="436" t="s">
        <v>558</v>
      </c>
      <c r="F89" s="735"/>
      <c r="G89" s="735"/>
      <c r="H89" s="735"/>
    </row>
    <row r="90" spans="2:9" hidden="1" x14ac:dyDescent="0.2">
      <c r="B90" s="437" t="s">
        <v>559</v>
      </c>
      <c r="C90" s="437">
        <v>1</v>
      </c>
      <c r="D90" s="437">
        <f>COUNTIF($B$14:$H$48,"Red")</f>
        <v>0</v>
      </c>
      <c r="E90" s="749">
        <f>C90*D90</f>
        <v>0</v>
      </c>
      <c r="F90" s="735"/>
      <c r="G90" s="735"/>
      <c r="H90" s="735"/>
    </row>
    <row r="91" spans="2:9" hidden="1" x14ac:dyDescent="0.2">
      <c r="B91" s="438" t="s">
        <v>560</v>
      </c>
      <c r="C91" s="438">
        <v>2</v>
      </c>
      <c r="D91" s="438">
        <f>COUNTIF($B$14:$H$48,"Amber")</f>
        <v>0</v>
      </c>
      <c r="E91" s="749">
        <f t="shared" ref="E91:E92" si="0">C91*D91</f>
        <v>0</v>
      </c>
      <c r="F91" s="735"/>
      <c r="G91" s="735"/>
      <c r="H91" s="735"/>
    </row>
    <row r="92" spans="2:9" hidden="1" x14ac:dyDescent="0.2">
      <c r="B92" s="437" t="s">
        <v>561</v>
      </c>
      <c r="C92" s="437">
        <v>3</v>
      </c>
      <c r="D92" s="437">
        <f>COUNTIF($B$14:$H$48,"Green")</f>
        <v>0</v>
      </c>
      <c r="E92" s="749">
        <f t="shared" si="0"/>
        <v>0</v>
      </c>
      <c r="F92" s="735"/>
      <c r="G92" s="735"/>
      <c r="H92" s="735"/>
    </row>
    <row r="93" spans="2:9" ht="16.5" hidden="1" thickBot="1" x14ac:dyDescent="0.25">
      <c r="B93" s="439" t="s">
        <v>413</v>
      </c>
      <c r="C93" s="439"/>
      <c r="D93" s="440" t="s">
        <v>562</v>
      </c>
      <c r="E93" s="750">
        <f>SUM(E90:E92)</f>
        <v>0</v>
      </c>
      <c r="F93" s="735"/>
      <c r="G93" s="735"/>
      <c r="H93" s="735"/>
    </row>
  </sheetData>
  <sheetProtection formatRows="0"/>
  <mergeCells count="53">
    <mergeCell ref="C84:D84"/>
    <mergeCell ref="D63:H63"/>
    <mergeCell ref="B67:H67"/>
    <mergeCell ref="B70:H70"/>
    <mergeCell ref="B73:H73"/>
    <mergeCell ref="C77:D77"/>
    <mergeCell ref="D57:H57"/>
    <mergeCell ref="C78:D78"/>
    <mergeCell ref="C79:F79"/>
    <mergeCell ref="C83:F83"/>
    <mergeCell ref="D59:H59"/>
    <mergeCell ref="B54:B55"/>
    <mergeCell ref="C54:C55"/>
    <mergeCell ref="D54:H55"/>
    <mergeCell ref="I51:I52"/>
    <mergeCell ref="B47:H47"/>
    <mergeCell ref="D48:H48"/>
    <mergeCell ref="B51:B52"/>
    <mergeCell ref="C51:C52"/>
    <mergeCell ref="D51:H52"/>
    <mergeCell ref="I54:I55"/>
    <mergeCell ref="D46:H46"/>
    <mergeCell ref="B41:H41"/>
    <mergeCell ref="B43:H43"/>
    <mergeCell ref="D44:H44"/>
    <mergeCell ref="B45:H45"/>
    <mergeCell ref="D42:H42"/>
    <mergeCell ref="D29:H29"/>
    <mergeCell ref="B35:H35"/>
    <mergeCell ref="D36:H36"/>
    <mergeCell ref="B37:H37"/>
    <mergeCell ref="D38:H38"/>
    <mergeCell ref="D30:H30"/>
    <mergeCell ref="D32:H32"/>
    <mergeCell ref="B32:C32"/>
    <mergeCell ref="B33:H33"/>
    <mergeCell ref="D34:H34"/>
    <mergeCell ref="I41:I42"/>
    <mergeCell ref="D24:H24"/>
    <mergeCell ref="I31:I32"/>
    <mergeCell ref="I20:I21"/>
    <mergeCell ref="B5:H5"/>
    <mergeCell ref="C8:H8"/>
    <mergeCell ref="I8:I10"/>
    <mergeCell ref="C10:H10"/>
    <mergeCell ref="D14:H14"/>
    <mergeCell ref="I13:I14"/>
    <mergeCell ref="D16:H16"/>
    <mergeCell ref="D18:H18"/>
    <mergeCell ref="D31:H31"/>
    <mergeCell ref="D20:H20"/>
    <mergeCell ref="D22:H22"/>
    <mergeCell ref="D28:H28"/>
  </mergeCells>
  <conditionalFormatting sqref="C14">
    <cfRule type="containsText" dxfId="44" priority="16" operator="containsText" text="Green">
      <formula>NOT(ISERROR(SEARCH("Green",C14)))</formula>
    </cfRule>
    <cfRule type="containsText" dxfId="43" priority="17" operator="containsText" text="Amber">
      <formula>NOT(ISERROR(SEARCH("Amber",C14)))</formula>
    </cfRule>
  </conditionalFormatting>
  <conditionalFormatting sqref="C16">
    <cfRule type="containsText" dxfId="41" priority="70" operator="containsText" text="Green">
      <formula>NOT(ISERROR(SEARCH("Green",C16)))</formula>
    </cfRule>
    <cfRule type="containsText" dxfId="39" priority="71" operator="containsText" text="Amber">
      <formula>NOT(ISERROR(SEARCH("Amber",C16)))</formula>
    </cfRule>
  </conditionalFormatting>
  <conditionalFormatting sqref="C18">
    <cfRule type="containsText" dxfId="38" priority="14" operator="containsText" text="Amber">
      <formula>NOT(ISERROR(SEARCH("Amber",C18)))</formula>
    </cfRule>
    <cfRule type="containsText" dxfId="37" priority="13" operator="containsText" text="Green">
      <formula>NOT(ISERROR(SEARCH("Green",C18)))</formula>
    </cfRule>
  </conditionalFormatting>
  <conditionalFormatting sqref="C20">
    <cfRule type="containsText" dxfId="34" priority="65" operator="containsText" text="Amber">
      <formula>NOT(ISERROR(SEARCH("Amber",C20)))</formula>
    </cfRule>
    <cfRule type="containsText" dxfId="33" priority="64" operator="containsText" text="Green">
      <formula>NOT(ISERROR(SEARCH("Green",C20)))</formula>
    </cfRule>
  </conditionalFormatting>
  <conditionalFormatting sqref="C22">
    <cfRule type="containsText" dxfId="32" priority="10" operator="containsText" text="Green">
      <formula>NOT(ISERROR(SEARCH("Green",C22)))</formula>
    </cfRule>
    <cfRule type="containsText" dxfId="31" priority="11" operator="containsText" text="Amber">
      <formula>NOT(ISERROR(SEARCH("Amber",C22)))</formula>
    </cfRule>
  </conditionalFormatting>
  <conditionalFormatting sqref="C24">
    <cfRule type="containsText" dxfId="29" priority="2" operator="containsText" text="Amber">
      <formula>NOT(ISERROR(SEARCH("Amber",C24)))</formula>
    </cfRule>
    <cfRule type="containsText" dxfId="27" priority="1" operator="containsText" text="Green">
      <formula>NOT(ISERROR(SEARCH("Green",C24)))</formula>
    </cfRule>
  </conditionalFormatting>
  <conditionalFormatting sqref="C28:C31">
    <cfRule type="containsText" dxfId="26" priority="4" operator="containsText" text="Green">
      <formula>NOT(ISERROR(SEARCH("Green",C28)))</formula>
    </cfRule>
    <cfRule type="containsText" dxfId="25" priority="5" operator="containsText" text="Amber">
      <formula>NOT(ISERROR(SEARCH("Amber",C28)))</formula>
    </cfRule>
  </conditionalFormatting>
  <conditionalFormatting sqref="C34">
    <cfRule type="containsText" dxfId="22" priority="47" operator="containsText" text="Amber">
      <formula>NOT(ISERROR(SEARCH("Amber",C34)))</formula>
    </cfRule>
    <cfRule type="containsText" dxfId="21" priority="46" operator="containsText" text="Green">
      <formula>NOT(ISERROR(SEARCH("Green",C34)))</formula>
    </cfRule>
  </conditionalFormatting>
  <conditionalFormatting sqref="C36">
    <cfRule type="containsText" dxfId="20" priority="43" operator="containsText" text="Green">
      <formula>NOT(ISERROR(SEARCH("Green",C36)))</formula>
    </cfRule>
    <cfRule type="containsText" dxfId="19" priority="44" operator="containsText" text="Amber">
      <formula>NOT(ISERROR(SEARCH("Amber",C36)))</formula>
    </cfRule>
  </conditionalFormatting>
  <conditionalFormatting sqref="C38">
    <cfRule type="containsText" dxfId="17" priority="41" operator="containsText" text="Amber">
      <formula>NOT(ISERROR(SEARCH("Amber",C38)))</formula>
    </cfRule>
    <cfRule type="containsText" dxfId="15" priority="40" operator="containsText" text="Green">
      <formula>NOT(ISERROR(SEARCH("Green",C38)))</formula>
    </cfRule>
  </conditionalFormatting>
  <conditionalFormatting sqref="C42">
    <cfRule type="containsText" dxfId="14" priority="38" operator="containsText" text="Amber">
      <formula>NOT(ISERROR(SEARCH("Amber",C42)))</formula>
    </cfRule>
    <cfRule type="containsText" dxfId="12" priority="37" operator="containsText" text="Green">
      <formula>NOT(ISERROR(SEARCH("Green",C42)))</formula>
    </cfRule>
  </conditionalFormatting>
  <conditionalFormatting sqref="C44">
    <cfRule type="containsText" dxfId="10" priority="34" operator="containsText" text="Green">
      <formula>NOT(ISERROR(SEARCH("Green",C44)))</formula>
    </cfRule>
    <cfRule type="containsText" dxfId="9" priority="35" operator="containsText" text="Amber">
      <formula>NOT(ISERROR(SEARCH("Amber",C44)))</formula>
    </cfRule>
  </conditionalFormatting>
  <conditionalFormatting sqref="C46">
    <cfRule type="containsText" dxfId="7" priority="32" operator="containsText" text="Amber">
      <formula>NOT(ISERROR(SEARCH("Amber",C46)))</formula>
    </cfRule>
    <cfRule type="containsText" dxfId="6" priority="31" operator="containsText" text="Green">
      <formula>NOT(ISERROR(SEARCH("Green",C46)))</formula>
    </cfRule>
  </conditionalFormatting>
  <conditionalFormatting sqref="C48">
    <cfRule type="containsText" dxfId="5" priority="28" operator="containsText" text="Green">
      <formula>NOT(ISERROR(SEARCH("Green",C48)))</formula>
    </cfRule>
    <cfRule type="containsText" dxfId="3" priority="29" operator="containsText" text="Amber">
      <formula>NOT(ISERROR(SEARCH("Amber",C48)))</formula>
    </cfRule>
  </conditionalFormatting>
  <conditionalFormatting sqref="C63:C64">
    <cfRule type="containsText" dxfId="2" priority="73" operator="containsText" text="Green">
      <formula>NOT(ISERROR(SEARCH("Green",C63)))</formula>
    </cfRule>
    <cfRule type="containsText" dxfId="1" priority="74" operator="containsText" text="Amber">
      <formula>NOT(ISERROR(SEARCH("Amber",C63)))</formula>
    </cfRule>
  </conditionalFormatting>
  <dataValidations count="6">
    <dataValidation type="whole" allowBlank="1" showInputMessage="1" showErrorMessage="1" errorTitle="Entry out of range" sqref="C15" xr:uid="{24C74605-14EC-4461-B15E-F5E3C375D70C}">
      <formula1>0</formula1>
      <formula2>15</formula2>
    </dataValidation>
    <dataValidation type="whole" allowBlank="1" showInputMessage="1" showErrorMessage="1" sqref="C17" xr:uid="{D20CA86E-FBC7-4838-9978-69595B04DB88}">
      <formula1>0</formula1>
      <formula2>15</formula2>
    </dataValidation>
    <dataValidation type="whole" allowBlank="1" showInputMessage="1" showErrorMessage="1" sqref="C19" xr:uid="{91721DC4-3212-4809-B696-EB558CECDD17}">
      <formula1>0</formula1>
      <formula2>10</formula2>
    </dataValidation>
    <dataValidation type="whole" allowBlank="1" showInputMessage="1" showErrorMessage="1" sqref="C21" xr:uid="{1987F63A-C2D7-4832-BBFA-222A775FF1BB}">
      <formula1>0</formula1>
      <formula2>25</formula2>
    </dataValidation>
    <dataValidation type="list" allowBlank="1" showInputMessage="1" showErrorMessage="1" errorTitle="Entry out of range" sqref="C14 C16 C18 C20 C22 C28:C31 C34 C36 C38 C42 C44 C46 C48" xr:uid="{7B4FD07D-3EAA-45E5-8148-FB79311337B0}">
      <formula1>$B$90:$B$92</formula1>
    </dataValidation>
    <dataValidation type="list" allowBlank="1" showInputMessage="1" showErrorMessage="1" errorTitle="Entry out of range" sqref="C24" xr:uid="{8B065FEF-B1EE-4378-A1C2-AEF4F89AD841}">
      <formula1>$B$90:$B$93</formula1>
    </dataValidation>
  </dataValidations>
  <pageMargins left="0.7" right="0.7" top="0.75" bottom="0.75" header="0.3" footer="0.3"/>
  <pageSetup paperSize="9" scale="45" orientation="portrait" horizontalDpi="4294967294" r:id="rId1"/>
  <headerFooter>
    <oddFooter>&amp;C_x000D_&amp;1#&amp;"Calibri"&amp;10&amp;K000000 AtkinsRéalis - Baseline / Référence</oddFooter>
  </headerFooter>
  <customProperties>
    <customPr name="GUID" r:id="rId2"/>
  </customProperties>
  <drawing r:id="rId3"/>
  <extLst>
    <ext xmlns:x14="http://schemas.microsoft.com/office/spreadsheetml/2009/9/main" uri="{78C0D931-6437-407d-A8EE-F0AAD7539E65}">
      <x14:conditionalFormattings>
        <x14:conditionalFormatting xmlns:xm="http://schemas.microsoft.com/office/excel/2006/main">
          <x14:cfRule type="containsText" priority="18" operator="containsText" id="{23E102DF-B2AE-447B-96C0-2B189A152BA7}">
            <xm:f>NOT(ISERROR(SEARCH("Red",C14)))</xm:f>
            <xm:f>"Red"</xm:f>
            <x14:dxf>
              <font>
                <color rgb="FFFF0000"/>
              </font>
              <fill>
                <patternFill>
                  <bgColor rgb="FFFF0000"/>
                </patternFill>
              </fill>
            </x14:dxf>
          </x14:cfRule>
          <xm:sqref>C14</xm:sqref>
        </x14:conditionalFormatting>
        <x14:conditionalFormatting xmlns:xm="http://schemas.microsoft.com/office/excel/2006/main">
          <x14:cfRule type="containsText" priority="72" operator="containsText" id="{B348F277-7148-409A-A0E1-68E592A2B110}">
            <xm:f>NOT(ISERROR(SEARCH("Red",C16)))</xm:f>
            <xm:f>"Red"</xm:f>
            <x14:dxf>
              <font>
                <color rgb="FFFF0000"/>
              </font>
              <fill>
                <patternFill>
                  <bgColor rgb="FFFF0000"/>
                </patternFill>
              </fill>
            </x14:dxf>
          </x14:cfRule>
          <xm:sqref>C16</xm:sqref>
        </x14:conditionalFormatting>
        <x14:conditionalFormatting xmlns:xm="http://schemas.microsoft.com/office/excel/2006/main">
          <x14:cfRule type="containsText" priority="15" operator="containsText" id="{50AF4278-E78E-4C72-9BCA-2106AFAF2998}">
            <xm:f>NOT(ISERROR(SEARCH("Red",C18)))</xm:f>
            <xm:f>"Red"</xm:f>
            <x14:dxf>
              <font>
                <color rgb="FFFF0000"/>
              </font>
              <fill>
                <patternFill>
                  <bgColor rgb="FFFF0000"/>
                </patternFill>
              </fill>
            </x14:dxf>
          </x14:cfRule>
          <xm:sqref>C18</xm:sqref>
        </x14:conditionalFormatting>
        <x14:conditionalFormatting xmlns:xm="http://schemas.microsoft.com/office/excel/2006/main">
          <x14:cfRule type="containsText" priority="66" operator="containsText" id="{029BB3F4-68B3-46C7-AD31-0E5A230A06AE}">
            <xm:f>NOT(ISERROR(SEARCH("Red",C20)))</xm:f>
            <xm:f>"Red"</xm:f>
            <x14:dxf>
              <font>
                <color rgb="FFFF0000"/>
              </font>
              <fill>
                <patternFill>
                  <bgColor rgb="FFFF0000"/>
                </patternFill>
              </fill>
            </x14:dxf>
          </x14:cfRule>
          <xm:sqref>C20</xm:sqref>
        </x14:conditionalFormatting>
        <x14:conditionalFormatting xmlns:xm="http://schemas.microsoft.com/office/excel/2006/main">
          <x14:cfRule type="containsText" priority="12" operator="containsText" id="{F6176365-1AA6-4D02-8CFB-C55CFAA5D42E}">
            <xm:f>NOT(ISERROR(SEARCH("Red",C22)))</xm:f>
            <xm:f>"Red"</xm:f>
            <x14:dxf>
              <font>
                <color rgb="FFFF0000"/>
              </font>
              <fill>
                <patternFill>
                  <bgColor rgb="FFFF0000"/>
                </patternFill>
              </fill>
            </x14:dxf>
          </x14:cfRule>
          <xm:sqref>C22</xm:sqref>
        </x14:conditionalFormatting>
        <x14:conditionalFormatting xmlns:xm="http://schemas.microsoft.com/office/excel/2006/main">
          <x14:cfRule type="containsText" priority="3" operator="containsText" id="{8AF86B28-DC71-429C-B71C-BDB94FE51D73}">
            <xm:f>NOT(ISERROR(SEARCH("Red",C24)))</xm:f>
            <xm:f>"Red"</xm:f>
            <x14:dxf>
              <font>
                <color rgb="FFFF0000"/>
              </font>
              <fill>
                <patternFill>
                  <bgColor rgb="FFFF0000"/>
                </patternFill>
              </fill>
            </x14:dxf>
          </x14:cfRule>
          <xm:sqref>C24</xm:sqref>
        </x14:conditionalFormatting>
        <x14:conditionalFormatting xmlns:xm="http://schemas.microsoft.com/office/excel/2006/main">
          <x14:cfRule type="containsText" priority="6" operator="containsText" id="{5FC3F83D-8357-4B2E-BBAD-123ED4732D39}">
            <xm:f>NOT(ISERROR(SEARCH("Red",C28)))</xm:f>
            <xm:f>"Red"</xm:f>
            <x14:dxf>
              <font>
                <color rgb="FFFF0000"/>
              </font>
              <fill>
                <patternFill>
                  <bgColor rgb="FFFF0000"/>
                </patternFill>
              </fill>
            </x14:dxf>
          </x14:cfRule>
          <xm:sqref>C28:C31</xm:sqref>
        </x14:conditionalFormatting>
        <x14:conditionalFormatting xmlns:xm="http://schemas.microsoft.com/office/excel/2006/main">
          <x14:cfRule type="containsText" priority="48" operator="containsText" id="{CE72EB3D-E4F8-4C59-A084-85656058F900}">
            <xm:f>NOT(ISERROR(SEARCH("Red",C34)))</xm:f>
            <xm:f>"Red"</xm:f>
            <x14:dxf>
              <font>
                <color rgb="FFFF0000"/>
              </font>
              <fill>
                <patternFill>
                  <bgColor rgb="FFFF0000"/>
                </patternFill>
              </fill>
            </x14:dxf>
          </x14:cfRule>
          <xm:sqref>C34</xm:sqref>
        </x14:conditionalFormatting>
        <x14:conditionalFormatting xmlns:xm="http://schemas.microsoft.com/office/excel/2006/main">
          <x14:cfRule type="containsText" priority="45" operator="containsText" id="{99B645CC-3237-4AD8-937A-F21DDE67E8B8}">
            <xm:f>NOT(ISERROR(SEARCH("Red",C36)))</xm:f>
            <xm:f>"Red"</xm:f>
            <x14:dxf>
              <font>
                <color rgb="FFFF0000"/>
              </font>
              <fill>
                <patternFill>
                  <bgColor rgb="FFFF0000"/>
                </patternFill>
              </fill>
            </x14:dxf>
          </x14:cfRule>
          <xm:sqref>C36</xm:sqref>
        </x14:conditionalFormatting>
        <x14:conditionalFormatting xmlns:xm="http://schemas.microsoft.com/office/excel/2006/main">
          <x14:cfRule type="containsText" priority="42" operator="containsText" id="{8C135DCA-2E6C-465C-978C-5237CED52864}">
            <xm:f>NOT(ISERROR(SEARCH("Red",C38)))</xm:f>
            <xm:f>"Red"</xm:f>
            <x14:dxf>
              <font>
                <color rgb="FFFF0000"/>
              </font>
              <fill>
                <patternFill>
                  <bgColor rgb="FFFF0000"/>
                </patternFill>
              </fill>
            </x14:dxf>
          </x14:cfRule>
          <xm:sqref>C38</xm:sqref>
        </x14:conditionalFormatting>
        <x14:conditionalFormatting xmlns:xm="http://schemas.microsoft.com/office/excel/2006/main">
          <x14:cfRule type="containsText" priority="39" operator="containsText" id="{6DEEE6BE-921F-43FB-B6E5-8E84C9DEA3F6}">
            <xm:f>NOT(ISERROR(SEARCH("Red",C42)))</xm:f>
            <xm:f>"Red"</xm:f>
            <x14:dxf>
              <font>
                <color rgb="FFFF0000"/>
              </font>
              <fill>
                <patternFill>
                  <bgColor rgb="FFFF0000"/>
                </patternFill>
              </fill>
            </x14:dxf>
          </x14:cfRule>
          <xm:sqref>C42</xm:sqref>
        </x14:conditionalFormatting>
        <x14:conditionalFormatting xmlns:xm="http://schemas.microsoft.com/office/excel/2006/main">
          <x14:cfRule type="containsText" priority="36" operator="containsText" id="{54BC18A5-E6BD-423B-84F8-9591C320C662}">
            <xm:f>NOT(ISERROR(SEARCH("Red",C44)))</xm:f>
            <xm:f>"Red"</xm:f>
            <x14:dxf>
              <font>
                <color rgb="FFFF0000"/>
              </font>
              <fill>
                <patternFill>
                  <bgColor rgb="FFFF0000"/>
                </patternFill>
              </fill>
            </x14:dxf>
          </x14:cfRule>
          <xm:sqref>C44</xm:sqref>
        </x14:conditionalFormatting>
        <x14:conditionalFormatting xmlns:xm="http://schemas.microsoft.com/office/excel/2006/main">
          <x14:cfRule type="containsText" priority="33" operator="containsText" id="{1D940FAA-934C-4798-A89D-A692848342A3}">
            <xm:f>NOT(ISERROR(SEARCH("Red",C46)))</xm:f>
            <xm:f>"Red"</xm:f>
            <x14:dxf>
              <font>
                <color rgb="FFFF0000"/>
              </font>
              <fill>
                <patternFill>
                  <bgColor rgb="FFFF0000"/>
                </patternFill>
              </fill>
            </x14:dxf>
          </x14:cfRule>
          <xm:sqref>C46</xm:sqref>
        </x14:conditionalFormatting>
        <x14:conditionalFormatting xmlns:xm="http://schemas.microsoft.com/office/excel/2006/main">
          <x14:cfRule type="containsText" priority="30" operator="containsText" id="{E0370033-FD18-40BF-84ED-D0972F1592A9}">
            <xm:f>NOT(ISERROR(SEARCH("Red",C48)))</xm:f>
            <xm:f>"Red"</xm:f>
            <x14:dxf>
              <font>
                <color rgb="FFFF0000"/>
              </font>
              <fill>
                <patternFill>
                  <bgColor rgb="FFFF0000"/>
                </patternFill>
              </fill>
            </x14:dxf>
          </x14:cfRule>
          <xm:sqref>C48</xm:sqref>
        </x14:conditionalFormatting>
        <x14:conditionalFormatting xmlns:xm="http://schemas.microsoft.com/office/excel/2006/main">
          <x14:cfRule type="containsText" priority="75" operator="containsText" id="{6F1BF434-CA43-4FC2-B044-8E956DEE2FE1}">
            <xm:f>NOT(ISERROR(SEARCH("Red",C63)))</xm:f>
            <xm:f>"Red"</xm:f>
            <x14:dxf>
              <font>
                <color rgb="FFFF0000"/>
              </font>
              <fill>
                <patternFill>
                  <bgColor rgb="FFFF0000"/>
                </patternFill>
              </fill>
            </x14:dxf>
          </x14:cfRule>
          <xm:sqref>C63:C64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382573"/>
    <pageSetUpPr fitToPage="1"/>
  </sheetPr>
  <dimension ref="B1:AR45"/>
  <sheetViews>
    <sheetView showGridLines="0" showRowColHeaders="0" zoomScale="115" zoomScaleNormal="115" workbookViewId="0">
      <selection activeCell="N2" sqref="N2"/>
    </sheetView>
  </sheetViews>
  <sheetFormatPr defaultColWidth="9.28515625" defaultRowHeight="15" x14ac:dyDescent="0.3"/>
  <cols>
    <col min="1" max="1" width="3.7109375" style="3" customWidth="1"/>
    <col min="2" max="16384" width="9.28515625" style="3"/>
  </cols>
  <sheetData>
    <row r="1" spans="2:12" ht="15.75" thickBot="1" x14ac:dyDescent="0.35"/>
    <row r="2" spans="2:12" ht="54.75" customHeight="1" thickBot="1" x14ac:dyDescent="0.35">
      <c r="B2" s="248" t="s">
        <v>563</v>
      </c>
      <c r="C2" s="243"/>
      <c r="D2" s="243"/>
      <c r="E2" s="243"/>
      <c r="F2" s="243"/>
      <c r="G2" s="243"/>
      <c r="H2" s="243"/>
      <c r="I2" s="243"/>
      <c r="J2" s="243"/>
      <c r="K2" s="243"/>
      <c r="L2" s="244"/>
    </row>
    <row r="3" spans="2:12" ht="71.25" customHeight="1" x14ac:dyDescent="0.3">
      <c r="B3" s="1111" t="s">
        <v>564</v>
      </c>
      <c r="C3" s="1112"/>
      <c r="D3" s="899" t="s">
        <v>565</v>
      </c>
      <c r="E3" s="899"/>
      <c r="F3" s="899"/>
      <c r="G3" s="899"/>
      <c r="H3" s="899"/>
      <c r="I3" s="899"/>
      <c r="J3" s="899"/>
      <c r="K3" s="899"/>
      <c r="L3" s="1025"/>
    </row>
    <row r="4" spans="2:12" ht="71.25" customHeight="1" x14ac:dyDescent="0.3">
      <c r="B4" s="1113" t="s">
        <v>566</v>
      </c>
      <c r="C4" s="1114"/>
      <c r="D4" s="1115" t="s">
        <v>567</v>
      </c>
      <c r="E4" s="1115"/>
      <c r="F4" s="1115"/>
      <c r="G4" s="1115"/>
      <c r="H4" s="1115"/>
      <c r="I4" s="1115"/>
      <c r="J4" s="1115"/>
      <c r="K4" s="1115"/>
      <c r="L4" s="1116"/>
    </row>
    <row r="5" spans="2:12" ht="71.25" customHeight="1" x14ac:dyDescent="0.3">
      <c r="B5" s="1113" t="s">
        <v>568</v>
      </c>
      <c r="C5" s="1114"/>
      <c r="D5" s="1115" t="s">
        <v>569</v>
      </c>
      <c r="E5" s="1115"/>
      <c r="F5" s="1115"/>
      <c r="G5" s="1115"/>
      <c r="H5" s="1115"/>
      <c r="I5" s="1115"/>
      <c r="J5" s="1115"/>
      <c r="K5" s="1115"/>
      <c r="L5" s="1116"/>
    </row>
    <row r="6" spans="2:12" ht="71.25" customHeight="1" x14ac:dyDescent="0.3">
      <c r="B6" s="1113" t="s">
        <v>570</v>
      </c>
      <c r="C6" s="1114"/>
      <c r="D6" s="1115" t="s">
        <v>571</v>
      </c>
      <c r="E6" s="1115"/>
      <c r="F6" s="1115"/>
      <c r="G6" s="1115"/>
      <c r="H6" s="1115"/>
      <c r="I6" s="1115"/>
      <c r="J6" s="1115"/>
      <c r="K6" s="1115"/>
      <c r="L6" s="1116"/>
    </row>
    <row r="7" spans="2:12" ht="71.25" customHeight="1" thickBot="1" x14ac:dyDescent="0.35">
      <c r="B7" s="1117" t="s">
        <v>572</v>
      </c>
      <c r="C7" s="1118"/>
      <c r="D7" s="1027" t="s">
        <v>573</v>
      </c>
      <c r="E7" s="1027"/>
      <c r="F7" s="1027"/>
      <c r="G7" s="1027"/>
      <c r="H7" s="1027"/>
      <c r="I7" s="1027"/>
      <c r="J7" s="1027"/>
      <c r="K7" s="1027"/>
      <c r="L7" s="1028"/>
    </row>
    <row r="8" spans="2:12" s="4" customFormat="1" ht="13.5" customHeight="1" thickBot="1" x14ac:dyDescent="0.25">
      <c r="B8" s="189"/>
      <c r="C8" s="190"/>
      <c r="D8" s="190"/>
      <c r="E8" s="190"/>
      <c r="F8" s="190"/>
      <c r="G8" s="190"/>
      <c r="H8" s="190"/>
      <c r="I8" s="190"/>
      <c r="J8" s="190"/>
      <c r="K8" s="190"/>
      <c r="L8" s="191"/>
    </row>
    <row r="10" spans="2:12" s="4" customFormat="1" ht="13.5" customHeight="1" x14ac:dyDescent="0.2"/>
    <row r="11" spans="2:12" s="4" customFormat="1" ht="19.5" customHeight="1" x14ac:dyDescent="0.2">
      <c r="B11" s="188"/>
    </row>
    <row r="42" spans="18:44" x14ac:dyDescent="0.3">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row>
    <row r="44" spans="18:44" x14ac:dyDescent="0.3">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row>
    <row r="45" spans="18:44" x14ac:dyDescent="0.3">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row>
  </sheetData>
  <sheetProtection algorithmName="SHA-512" hashValue="3zxAeGVJJ3Pj+wx27Pj8421FfBra+Zzf5rhWMPBn1JA2xUpISSCLnEPGRA3wDjHEYttBTrKfcEvpiFZzBtoC3A==" saltValue="XYVwcsg7x3D/oTWZx/HDgA==" spinCount="100000" sheet="1" selectLockedCells="1" selectUnlockedCells="1"/>
  <mergeCells count="10">
    <mergeCell ref="D3:L3"/>
    <mergeCell ref="B3:C3"/>
    <mergeCell ref="B6:C6"/>
    <mergeCell ref="D6:L6"/>
    <mergeCell ref="B7:C7"/>
    <mergeCell ref="D7:L7"/>
    <mergeCell ref="B5:C5"/>
    <mergeCell ref="D5:L5"/>
    <mergeCell ref="B4:C4"/>
    <mergeCell ref="D4:L4"/>
  </mergeCells>
  <pageMargins left="0.70866141732283472" right="0.70866141732283472" top="0.74803149606299213" bottom="0.74803149606299213" header="0.31496062992125984" footer="0.31496062992125984"/>
  <pageSetup paperSize="9" scale="78" orientation="portrait" r:id="rId1"/>
  <headerFooter>
    <oddFooter>&amp;C_x000D_&amp;1#&amp;"Calibri"&amp;10&amp;K000000 AtkinsRéalis - Baseline / Référence</oddFooter>
  </headerFooter>
  <customProperties>
    <customPr name="GU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rgb="FFACEACF"/>
  </sheetPr>
  <dimension ref="A1:AB23"/>
  <sheetViews>
    <sheetView showGridLines="0" topLeftCell="A9" zoomScale="105" zoomScaleNormal="130" workbookViewId="0">
      <selection activeCell="K13" sqref="K13"/>
    </sheetView>
  </sheetViews>
  <sheetFormatPr defaultColWidth="9.28515625" defaultRowHeight="12.75" x14ac:dyDescent="0.2"/>
  <cols>
    <col min="1" max="1" width="16.42578125" style="33" customWidth="1"/>
    <col min="2" max="3" width="10" style="33" bestFit="1" customWidth="1"/>
    <col min="4" max="6" width="5.42578125" style="33" customWidth="1"/>
    <col min="7" max="8" width="10" style="33" bestFit="1" customWidth="1"/>
    <col min="9" max="9" width="5.42578125" style="33" customWidth="1"/>
    <col min="10" max="10" width="9.42578125" style="33" bestFit="1" customWidth="1"/>
    <col min="11" max="11" width="8.42578125" style="33" customWidth="1"/>
    <col min="12" max="15" width="5.42578125" style="33" customWidth="1"/>
    <col min="16" max="16" width="8" style="33" customWidth="1"/>
    <col min="17" max="22" width="5.42578125" style="33" customWidth="1"/>
    <col min="23" max="23" width="5" style="33" customWidth="1"/>
    <col min="24" max="26" width="5.42578125" style="33" customWidth="1"/>
    <col min="27" max="27" width="11.28515625" style="33" bestFit="1" customWidth="1"/>
    <col min="28" max="34" width="5.42578125" style="33" customWidth="1"/>
    <col min="35" max="35" width="5" style="33" customWidth="1"/>
    <col min="36" max="46" width="5.42578125" style="33" customWidth="1"/>
    <col min="47" max="16384" width="9.28515625" style="33"/>
  </cols>
  <sheetData>
    <row r="1" spans="1:28" x14ac:dyDescent="0.2">
      <c r="A1" s="32" t="s">
        <v>574</v>
      </c>
    </row>
    <row r="2" spans="1:28" x14ac:dyDescent="0.2">
      <c r="A2" s="34"/>
      <c r="F2" s="35"/>
      <c r="H2" s="36"/>
      <c r="I2" s="37"/>
      <c r="T2" s="38"/>
      <c r="V2" s="39"/>
      <c r="Y2" s="39"/>
      <c r="Z2" s="39"/>
    </row>
    <row r="4" spans="1:28" x14ac:dyDescent="0.2">
      <c r="A4" s="40" t="s">
        <v>575</v>
      </c>
    </row>
    <row r="6" spans="1:28" ht="48" customHeight="1" x14ac:dyDescent="0.2">
      <c r="A6" s="41" t="s">
        <v>576</v>
      </c>
      <c r="B6" s="41" t="s">
        <v>577</v>
      </c>
      <c r="C6" s="41" t="s">
        <v>578</v>
      </c>
      <c r="D6" s="41" t="s">
        <v>579</v>
      </c>
      <c r="E6" s="41" t="s">
        <v>580</v>
      </c>
      <c r="F6" s="41" t="s">
        <v>581</v>
      </c>
      <c r="G6" s="41" t="s">
        <v>582</v>
      </c>
      <c r="H6" s="41" t="s">
        <v>583</v>
      </c>
      <c r="I6" s="41" t="s">
        <v>584</v>
      </c>
      <c r="J6" s="41" t="s">
        <v>585</v>
      </c>
      <c r="K6" s="41" t="s">
        <v>586</v>
      </c>
      <c r="L6" s="41" t="s">
        <v>47</v>
      </c>
      <c r="M6" s="41" t="s">
        <v>48</v>
      </c>
      <c r="N6" s="41" t="s">
        <v>49</v>
      </c>
      <c r="O6" s="41" t="s">
        <v>299</v>
      </c>
      <c r="P6" s="41" t="s">
        <v>587</v>
      </c>
      <c r="Q6" s="41" t="s">
        <v>588</v>
      </c>
      <c r="R6" s="41" t="s">
        <v>589</v>
      </c>
      <c r="S6" s="41" t="s">
        <v>54</v>
      </c>
      <c r="T6" s="41" t="s">
        <v>56</v>
      </c>
      <c r="U6" s="41" t="s">
        <v>590</v>
      </c>
      <c r="V6" s="41" t="s">
        <v>591</v>
      </c>
      <c r="W6" s="41" t="s">
        <v>592</v>
      </c>
      <c r="X6" s="41" t="s">
        <v>62</v>
      </c>
      <c r="Y6" s="41" t="s">
        <v>593</v>
      </c>
      <c r="Z6" s="41" t="s">
        <v>594</v>
      </c>
      <c r="AA6" s="41" t="s">
        <v>595</v>
      </c>
      <c r="AB6" s="41" t="s">
        <v>125</v>
      </c>
    </row>
    <row r="7" spans="1:28" ht="22.5" customHeight="1" x14ac:dyDescent="0.2">
      <c r="A7" s="34" t="str">
        <f>IF($A$2="","",$A$2)</f>
        <v/>
      </c>
      <c r="B7" s="42">
        <f>'Project Compliance Tool'!C9</f>
        <v>0</v>
      </c>
      <c r="C7" s="42">
        <f>'Project Compliance Tool'!D9</f>
        <v>0</v>
      </c>
      <c r="D7" s="77">
        <f>'Project Compliance Tool'!E9</f>
        <v>0</v>
      </c>
      <c r="E7" s="43">
        <f>'Project Compliance Tool'!F9</f>
        <v>0</v>
      </c>
      <c r="F7" s="43">
        <f>'Project Compliance Tool'!G9</f>
        <v>0</v>
      </c>
      <c r="G7" s="44" t="str">
        <f>'Project Compliance Tool'!O65</f>
        <v/>
      </c>
      <c r="H7" s="44">
        <f>'Project Compliance Tool'!N65</f>
        <v>0</v>
      </c>
      <c r="I7" s="45" t="str">
        <f>IFERROR(H7/G7,"")</f>
        <v/>
      </c>
      <c r="J7" s="46">
        <f>IF(SUM($K$14:$K$22)&gt;0,"MPS",C13)</f>
        <v>0</v>
      </c>
      <c r="K7" s="46">
        <f>IF(SUM($K$14:$K$22)&gt;0,"MPS",D13)</f>
        <v>0</v>
      </c>
      <c r="L7" s="46">
        <f>IF(SUM($K$14:$K$22)&gt;0,"MPS",E13)</f>
        <v>0</v>
      </c>
      <c r="M7" s="46" t="str">
        <f>IF(SUM($K$14:$K$22)&gt;0,"MPS",F13)</f>
        <v/>
      </c>
      <c r="N7" s="46">
        <f>IF(SUM($K$14:$K$22)&gt;0,"Multiple Project Types",G13)</f>
        <v>0</v>
      </c>
      <c r="O7" s="46">
        <f>IF(SUM($K$14:$K$22)&gt;0,"MPS",H13)</f>
        <v>0</v>
      </c>
      <c r="P7" s="46">
        <f>IF(SUM($K$14:$K$22)&gt;0,"MPS",I13)</f>
        <v>0</v>
      </c>
      <c r="Q7" s="46">
        <f>IF(SUM($K$14:$K$22)&gt;0,"MPS",J13)</f>
        <v>0</v>
      </c>
      <c r="R7" s="46" t="str">
        <f>IF(SUM($K$14:$K$22)&gt;0,"MPS",K13)</f>
        <v/>
      </c>
      <c r="S7" s="47" t="e">
        <f>IF(R7="MPS","MPS",R7/P7)</f>
        <v>#VALUE!</v>
      </c>
      <c r="T7" s="44" t="str">
        <f>'Project Compliance Tool'!P65</f>
        <v/>
      </c>
      <c r="U7" s="48" t="str">
        <f>'Project Compliance Tool'!Q65</f>
        <v/>
      </c>
      <c r="V7" s="48" t="str">
        <f>'Project Compliance Tool'!R65</f>
        <v/>
      </c>
      <c r="W7" s="48" t="str">
        <f>'Project Compliance Tool'!S65</f>
        <v/>
      </c>
      <c r="X7" s="46" t="str">
        <f>IF(SUM($M$14:$M$22)&gt;0,"MPS",M13)</f>
        <v/>
      </c>
      <c r="Y7" s="49" t="str">
        <f>'Project Compliance Tool'!T65</f>
        <v/>
      </c>
      <c r="Z7" s="49" t="str">
        <f>'Project Compliance Tool'!U65</f>
        <v/>
      </c>
      <c r="AA7" s="44">
        <f>Q23</f>
        <v>0</v>
      </c>
      <c r="AB7" s="49" t="str">
        <f>'Project Compliance Tool'!V65</f>
        <v>Check Project Details</v>
      </c>
    </row>
    <row r="10" spans="1:28" x14ac:dyDescent="0.2">
      <c r="A10" s="40" t="s">
        <v>596</v>
      </c>
    </row>
    <row r="12" spans="1:28" ht="76.5" x14ac:dyDescent="0.2">
      <c r="A12" s="41" t="s">
        <v>576</v>
      </c>
      <c r="B12" s="41" t="s">
        <v>597</v>
      </c>
      <c r="C12" s="41" t="s">
        <v>598</v>
      </c>
      <c r="D12" s="41" t="s">
        <v>599</v>
      </c>
      <c r="E12" s="41" t="s">
        <v>47</v>
      </c>
      <c r="F12" s="41" t="s">
        <v>48</v>
      </c>
      <c r="G12" s="41" t="s">
        <v>49</v>
      </c>
      <c r="H12" s="41" t="s">
        <v>50</v>
      </c>
      <c r="I12" s="41" t="s">
        <v>51</v>
      </c>
      <c r="J12" s="41" t="s">
        <v>52</v>
      </c>
      <c r="K12" s="41" t="s">
        <v>53</v>
      </c>
      <c r="L12" s="41" t="s">
        <v>54</v>
      </c>
      <c r="M12" s="41" t="s">
        <v>62</v>
      </c>
      <c r="N12" s="41" t="s">
        <v>600</v>
      </c>
      <c r="O12" s="41" t="s">
        <v>592</v>
      </c>
      <c r="P12" s="41" t="s">
        <v>601</v>
      </c>
      <c r="Q12" s="41" t="s">
        <v>595</v>
      </c>
      <c r="R12" s="41" t="s">
        <v>602</v>
      </c>
      <c r="T12" s="41" t="s">
        <v>603</v>
      </c>
      <c r="U12" s="41" t="s">
        <v>604</v>
      </c>
    </row>
    <row r="13" spans="1:28" x14ac:dyDescent="0.2">
      <c r="A13" s="34" t="str">
        <f>IF($A$2="","",$A$2)</f>
        <v/>
      </c>
      <c r="B13" s="34" t="e">
        <f>U13&amp;T13&amp;$A$2</f>
        <v>#N/A</v>
      </c>
      <c r="C13" s="34">
        <f>'Project Compliance Tool'!D12</f>
        <v>0</v>
      </c>
      <c r="D13" s="50">
        <f>'Project Compliance Tool'!E12</f>
        <v>0</v>
      </c>
      <c r="E13" s="50">
        <f>'Project Compliance Tool'!F12</f>
        <v>0</v>
      </c>
      <c r="F13" s="50" t="str">
        <f>'Project Compliance Tool'!G12</f>
        <v/>
      </c>
      <c r="G13" s="34">
        <f>'Project Compliance Tool'!H12</f>
        <v>0</v>
      </c>
      <c r="H13" s="34">
        <f>'Project Compliance Tool'!I12</f>
        <v>0</v>
      </c>
      <c r="I13" s="50">
        <f>'Project Compliance Tool'!K12</f>
        <v>0</v>
      </c>
      <c r="J13" s="50">
        <f>'Project Compliance Tool'!L12</f>
        <v>0</v>
      </c>
      <c r="K13" s="50" t="str">
        <f>'Project Compliance Tool'!M12</f>
        <v/>
      </c>
      <c r="L13" s="51">
        <f>'Project Compliance Tool'!N12</f>
        <v>0</v>
      </c>
      <c r="M13" s="50" t="str">
        <f>'Project Compliance Tool'!W12</f>
        <v/>
      </c>
      <c r="N13" s="44" t="str">
        <f>'Project Compliance Tool'!P12</f>
        <v/>
      </c>
      <c r="O13" s="50" t="str">
        <f>'Project Compliance Tool'!S12</f>
        <v/>
      </c>
      <c r="P13" s="50" t="str">
        <f>'Project Compliance Tool'!T12</f>
        <v/>
      </c>
      <c r="Q13" s="44" t="str">
        <f>IFERROR(N13*M13,"")</f>
        <v/>
      </c>
      <c r="R13" s="44">
        <f>'Project Compliance Tool'!O12</f>
        <v>0</v>
      </c>
      <c r="T13" s="34">
        <f>COUNTIF($U$13:U13,U13)</f>
        <v>1</v>
      </c>
      <c r="U13" s="34" t="e">
        <f>VLOOKUP(C13,'Eligible Technologies'!$J$17:$Q$26,7,FALSE)</f>
        <v>#N/A</v>
      </c>
      <c r="V13" s="52">
        <f t="shared" ref="V13:V22" si="0">IF(LEN(TRIM(C13))=0,0,LEN(TRIM(C13))-LEN(SUBSTITUTE(C13," ",""))+1)</f>
        <v>1</v>
      </c>
      <c r="W13" s="52" t="e">
        <f>RIGHT(C13,LEN(C13)-FIND("^^",SUBSTITUTE(C13," ",
"^^",LEN(C13)-LEN(SUBSTITUTE(C13," ","")))))</f>
        <v>#VALUE!</v>
      </c>
    </row>
    <row r="14" spans="1:28" x14ac:dyDescent="0.2">
      <c r="A14" s="34" t="str">
        <f t="shared" ref="A14:A22" si="1">IF($A$2="","",$A$2)</f>
        <v/>
      </c>
      <c r="B14" s="34" t="e">
        <f>U14&amp;T14&amp;$A$2</f>
        <v>#N/A</v>
      </c>
      <c r="C14" s="34">
        <f>'Project Compliance Tool'!D13</f>
        <v>0</v>
      </c>
      <c r="D14" s="50">
        <f>'Project Compliance Tool'!E13</f>
        <v>0</v>
      </c>
      <c r="E14" s="50">
        <f>'Project Compliance Tool'!F13</f>
        <v>0</v>
      </c>
      <c r="F14" s="50" t="str">
        <f>'Project Compliance Tool'!G13</f>
        <v/>
      </c>
      <c r="G14" s="34">
        <f>'Project Compliance Tool'!H13</f>
        <v>0</v>
      </c>
      <c r="H14" s="34">
        <f>'Project Compliance Tool'!I13</f>
        <v>0</v>
      </c>
      <c r="I14" s="50">
        <f>'Project Compliance Tool'!K13</f>
        <v>0</v>
      </c>
      <c r="J14" s="50">
        <f>'Project Compliance Tool'!L13</f>
        <v>0</v>
      </c>
      <c r="K14" s="50" t="str">
        <f>'Project Compliance Tool'!M13</f>
        <v/>
      </c>
      <c r="L14" s="51">
        <f>'Project Compliance Tool'!N13</f>
        <v>0</v>
      </c>
      <c r="M14" s="50" t="str">
        <f>'Project Compliance Tool'!W13</f>
        <v/>
      </c>
      <c r="N14" s="44" t="str">
        <f>'Project Compliance Tool'!P13</f>
        <v/>
      </c>
      <c r="O14" s="50" t="str">
        <f>'Project Compliance Tool'!S13</f>
        <v/>
      </c>
      <c r="P14" s="50" t="str">
        <f>'Project Compliance Tool'!T13</f>
        <v/>
      </c>
      <c r="Q14" s="44" t="str">
        <f t="shared" ref="Q14:Q22" si="2">IFERROR(N14*M14,"")</f>
        <v/>
      </c>
      <c r="R14" s="44">
        <f>'Project Compliance Tool'!O13</f>
        <v>0</v>
      </c>
      <c r="T14" s="34">
        <f>COUNTIF($U$13:U14,U14)</f>
        <v>2</v>
      </c>
      <c r="U14" s="34" t="e">
        <f>VLOOKUP(C14,'Eligible Technologies'!$J$17:$Q$26,7,FALSE)</f>
        <v>#N/A</v>
      </c>
      <c r="V14" s="52">
        <f t="shared" si="0"/>
        <v>1</v>
      </c>
      <c r="W14" s="52" t="e">
        <f>RIGHT(C14,LEN(C14)-FIND("^^",SUBSTITUTE(C14," ",
"^^",LEN(C14)-LEN(SUBSTITUTE(C14," ","")))))</f>
        <v>#VALUE!</v>
      </c>
    </row>
    <row r="15" spans="1:28" x14ac:dyDescent="0.2">
      <c r="A15" s="34" t="str">
        <f t="shared" si="1"/>
        <v/>
      </c>
      <c r="B15" s="34" t="e">
        <f t="shared" ref="B15:B22" si="3">U15&amp;T15&amp;$A$2</f>
        <v>#N/A</v>
      </c>
      <c r="C15" s="34">
        <f>'Project Compliance Tool'!D14</f>
        <v>0</v>
      </c>
      <c r="D15" s="50">
        <f>'Project Compliance Tool'!E14</f>
        <v>0</v>
      </c>
      <c r="E15" s="50">
        <f>'Project Compliance Tool'!F14</f>
        <v>0</v>
      </c>
      <c r="F15" s="50" t="str">
        <f>'Project Compliance Tool'!G14</f>
        <v/>
      </c>
      <c r="G15" s="34">
        <f>'Project Compliance Tool'!H14</f>
        <v>0</v>
      </c>
      <c r="H15" s="34">
        <f>'Project Compliance Tool'!I14</f>
        <v>0</v>
      </c>
      <c r="I15" s="50">
        <f>'Project Compliance Tool'!K14</f>
        <v>0</v>
      </c>
      <c r="J15" s="50">
        <f>'Project Compliance Tool'!L14</f>
        <v>0</v>
      </c>
      <c r="K15" s="50" t="str">
        <f>'Project Compliance Tool'!M14</f>
        <v/>
      </c>
      <c r="L15" s="51">
        <f>'Project Compliance Tool'!N14</f>
        <v>0</v>
      </c>
      <c r="M15" s="50" t="str">
        <f>'Project Compliance Tool'!W14</f>
        <v/>
      </c>
      <c r="N15" s="44" t="str">
        <f>'Project Compliance Tool'!P14</f>
        <v/>
      </c>
      <c r="O15" s="50" t="str">
        <f>'Project Compliance Tool'!S14</f>
        <v/>
      </c>
      <c r="P15" s="50" t="str">
        <f>'Project Compliance Tool'!T14</f>
        <v/>
      </c>
      <c r="Q15" s="44" t="str">
        <f t="shared" si="2"/>
        <v/>
      </c>
      <c r="R15" s="44">
        <f>'Project Compliance Tool'!O14</f>
        <v>0</v>
      </c>
      <c r="T15" s="34">
        <f>COUNTIF($U$13:U15,U15)</f>
        <v>3</v>
      </c>
      <c r="U15" s="34" t="e">
        <f>VLOOKUP(C15,'Eligible Technologies'!$J$17:$Q$26,7,FALSE)</f>
        <v>#N/A</v>
      </c>
      <c r="V15" s="52">
        <f t="shared" si="0"/>
        <v>1</v>
      </c>
      <c r="W15" s="52" t="e">
        <f>RIGHT(C15,LEN(C15)-FIND("^^",SUBSTITUTE(C15," ",
"^^",LEN(C15)-LEN(SUBSTITUTE(C15," ","")))))</f>
        <v>#VALUE!</v>
      </c>
    </row>
    <row r="16" spans="1:28" x14ac:dyDescent="0.2">
      <c r="A16" s="34" t="str">
        <f t="shared" si="1"/>
        <v/>
      </c>
      <c r="B16" s="34" t="e">
        <f t="shared" si="3"/>
        <v>#N/A</v>
      </c>
      <c r="C16" s="34">
        <f>'Project Compliance Tool'!D15</f>
        <v>0</v>
      </c>
      <c r="D16" s="50">
        <f>'Project Compliance Tool'!E15</f>
        <v>0</v>
      </c>
      <c r="E16" s="50">
        <f>'Project Compliance Tool'!F15</f>
        <v>0</v>
      </c>
      <c r="F16" s="50" t="str">
        <f>'Project Compliance Tool'!G15</f>
        <v/>
      </c>
      <c r="G16" s="34">
        <f>'Project Compliance Tool'!H15</f>
        <v>0</v>
      </c>
      <c r="H16" s="34">
        <f>'Project Compliance Tool'!I15</f>
        <v>0</v>
      </c>
      <c r="I16" s="50">
        <f>'Project Compliance Tool'!K15</f>
        <v>0</v>
      </c>
      <c r="J16" s="50">
        <f>'Project Compliance Tool'!L15</f>
        <v>0</v>
      </c>
      <c r="K16" s="50" t="str">
        <f>'Project Compliance Tool'!M15</f>
        <v/>
      </c>
      <c r="L16" s="51">
        <f>'Project Compliance Tool'!N15</f>
        <v>0</v>
      </c>
      <c r="M16" s="50" t="str">
        <f>'Project Compliance Tool'!W15</f>
        <v/>
      </c>
      <c r="N16" s="44" t="str">
        <f>'Project Compliance Tool'!P15</f>
        <v/>
      </c>
      <c r="O16" s="50" t="str">
        <f>'Project Compliance Tool'!S15</f>
        <v/>
      </c>
      <c r="P16" s="50" t="str">
        <f>'Project Compliance Tool'!T15</f>
        <v/>
      </c>
      <c r="Q16" s="44" t="str">
        <f t="shared" si="2"/>
        <v/>
      </c>
      <c r="R16" s="44">
        <f>'Project Compliance Tool'!O15</f>
        <v>0</v>
      </c>
      <c r="T16" s="34">
        <f>COUNTIF($U$13:U16,U16)</f>
        <v>4</v>
      </c>
      <c r="U16" s="34" t="e">
        <f>VLOOKUP(C16,'Eligible Technologies'!$J$17:$Q$26,7,FALSE)</f>
        <v>#N/A</v>
      </c>
      <c r="V16" s="52">
        <f t="shared" si="0"/>
        <v>1</v>
      </c>
      <c r="W16" s="52" t="e">
        <f>RIGHT(C16,LEN(C16)-FIND("^^",SUBSTITUTE(C16," ",
"^^",LEN(C16)-LEN(SUBSTITUTE(C16," ","")))))</f>
        <v>#VALUE!</v>
      </c>
    </row>
    <row r="17" spans="1:23" x14ac:dyDescent="0.2">
      <c r="A17" s="34" t="str">
        <f t="shared" si="1"/>
        <v/>
      </c>
      <c r="B17" s="34" t="e">
        <f t="shared" si="3"/>
        <v>#N/A</v>
      </c>
      <c r="C17" s="34">
        <f>'Project Compliance Tool'!D16</f>
        <v>0</v>
      </c>
      <c r="D17" s="50">
        <f>'Project Compliance Tool'!E16</f>
        <v>0</v>
      </c>
      <c r="E17" s="50">
        <f>'Project Compliance Tool'!F16</f>
        <v>0</v>
      </c>
      <c r="F17" s="50" t="str">
        <f>'Project Compliance Tool'!G16</f>
        <v/>
      </c>
      <c r="G17" s="34">
        <f>'Project Compliance Tool'!H16</f>
        <v>0</v>
      </c>
      <c r="H17" s="34">
        <f>'Project Compliance Tool'!I16</f>
        <v>0</v>
      </c>
      <c r="I17" s="50">
        <f>'Project Compliance Tool'!K16</f>
        <v>0</v>
      </c>
      <c r="J17" s="50">
        <f>'Project Compliance Tool'!L16</f>
        <v>0</v>
      </c>
      <c r="K17" s="50" t="str">
        <f>'Project Compliance Tool'!M16</f>
        <v/>
      </c>
      <c r="L17" s="51">
        <f>'Project Compliance Tool'!N16</f>
        <v>0</v>
      </c>
      <c r="M17" s="50" t="str">
        <f>'Project Compliance Tool'!W16</f>
        <v/>
      </c>
      <c r="N17" s="44" t="str">
        <f>'Project Compliance Tool'!P16</f>
        <v/>
      </c>
      <c r="O17" s="50" t="str">
        <f>'Project Compliance Tool'!S16</f>
        <v/>
      </c>
      <c r="P17" s="50" t="str">
        <f>'Project Compliance Tool'!T16</f>
        <v/>
      </c>
      <c r="Q17" s="44" t="str">
        <f t="shared" si="2"/>
        <v/>
      </c>
      <c r="R17" s="44">
        <f>'Project Compliance Tool'!O16</f>
        <v>0</v>
      </c>
      <c r="T17" s="34">
        <f>COUNTIF($U$13:U17,U17)</f>
        <v>5</v>
      </c>
      <c r="U17" s="34" t="e">
        <f>VLOOKUP(C17,'Eligible Technologies'!$J$17:$Q$26,7,FALSE)</f>
        <v>#N/A</v>
      </c>
      <c r="V17" s="52">
        <f t="shared" si="0"/>
        <v>1</v>
      </c>
      <c r="W17" s="52" t="e">
        <f t="shared" ref="W17:W22" si="4">RIGHT(C17,LEN(C17)-FIND("^^",SUBSTITUTE(C17," ",
"^^",LEN(C17)-LEN(SUBSTITUTE(C17," ","")))))</f>
        <v>#VALUE!</v>
      </c>
    </row>
    <row r="18" spans="1:23" x14ac:dyDescent="0.2">
      <c r="A18" s="34" t="str">
        <f t="shared" si="1"/>
        <v/>
      </c>
      <c r="B18" s="34" t="e">
        <f t="shared" si="3"/>
        <v>#N/A</v>
      </c>
      <c r="C18" s="34">
        <f>'Project Compliance Tool'!D17</f>
        <v>0</v>
      </c>
      <c r="D18" s="50">
        <f>'Project Compliance Tool'!E17</f>
        <v>0</v>
      </c>
      <c r="E18" s="50">
        <f>'Project Compliance Tool'!F17</f>
        <v>0</v>
      </c>
      <c r="F18" s="50" t="str">
        <f>'Project Compliance Tool'!G17</f>
        <v/>
      </c>
      <c r="G18" s="34">
        <f>'Project Compliance Tool'!H17</f>
        <v>0</v>
      </c>
      <c r="H18" s="34">
        <f>'Project Compliance Tool'!I17</f>
        <v>0</v>
      </c>
      <c r="I18" s="50">
        <f>'Project Compliance Tool'!K17</f>
        <v>0</v>
      </c>
      <c r="J18" s="50">
        <f>'Project Compliance Tool'!L17</f>
        <v>0</v>
      </c>
      <c r="K18" s="50" t="str">
        <f>'Project Compliance Tool'!M17</f>
        <v/>
      </c>
      <c r="L18" s="51">
        <f>'Project Compliance Tool'!N17</f>
        <v>0</v>
      </c>
      <c r="M18" s="50" t="str">
        <f>'Project Compliance Tool'!W17</f>
        <v/>
      </c>
      <c r="N18" s="44" t="str">
        <f>'Project Compliance Tool'!P17</f>
        <v/>
      </c>
      <c r="O18" s="50" t="str">
        <f>'Project Compliance Tool'!S17</f>
        <v/>
      </c>
      <c r="P18" s="50" t="str">
        <f>'Project Compliance Tool'!T17</f>
        <v/>
      </c>
      <c r="Q18" s="44" t="str">
        <f t="shared" si="2"/>
        <v/>
      </c>
      <c r="R18" s="44">
        <f>'Project Compliance Tool'!O17</f>
        <v>0</v>
      </c>
      <c r="T18" s="34">
        <f>COUNTIF($U$13:U18,U18)</f>
        <v>6</v>
      </c>
      <c r="U18" s="34" t="e">
        <f>VLOOKUP(C18,'Eligible Technologies'!$J$17:$Q$26,7,FALSE)</f>
        <v>#N/A</v>
      </c>
      <c r="V18" s="52">
        <f t="shared" si="0"/>
        <v>1</v>
      </c>
      <c r="W18" s="52" t="e">
        <f t="shared" si="4"/>
        <v>#VALUE!</v>
      </c>
    </row>
    <row r="19" spans="1:23" x14ac:dyDescent="0.2">
      <c r="A19" s="34" t="str">
        <f t="shared" si="1"/>
        <v/>
      </c>
      <c r="B19" s="34" t="e">
        <f t="shared" si="3"/>
        <v>#N/A</v>
      </c>
      <c r="C19" s="34">
        <f>'Project Compliance Tool'!D18</f>
        <v>0</v>
      </c>
      <c r="D19" s="50">
        <f>'Project Compliance Tool'!E18</f>
        <v>0</v>
      </c>
      <c r="E19" s="50">
        <f>'Project Compliance Tool'!F18</f>
        <v>0</v>
      </c>
      <c r="F19" s="50" t="str">
        <f>'Project Compliance Tool'!G18</f>
        <v/>
      </c>
      <c r="G19" s="34">
        <f>'Project Compliance Tool'!H18</f>
        <v>0</v>
      </c>
      <c r="H19" s="34">
        <f>'Project Compliance Tool'!I18</f>
        <v>0</v>
      </c>
      <c r="I19" s="50">
        <f>'Project Compliance Tool'!K18</f>
        <v>0</v>
      </c>
      <c r="J19" s="50">
        <f>'Project Compliance Tool'!L18</f>
        <v>0</v>
      </c>
      <c r="K19" s="50" t="str">
        <f>'Project Compliance Tool'!M18</f>
        <v/>
      </c>
      <c r="L19" s="51">
        <f>'Project Compliance Tool'!N18</f>
        <v>0</v>
      </c>
      <c r="M19" s="50" t="str">
        <f>'Project Compliance Tool'!W18</f>
        <v/>
      </c>
      <c r="N19" s="44" t="str">
        <f>'Project Compliance Tool'!P18</f>
        <v/>
      </c>
      <c r="O19" s="50" t="str">
        <f>'Project Compliance Tool'!S18</f>
        <v/>
      </c>
      <c r="P19" s="50" t="str">
        <f>'Project Compliance Tool'!T18</f>
        <v/>
      </c>
      <c r="Q19" s="44" t="str">
        <f t="shared" si="2"/>
        <v/>
      </c>
      <c r="R19" s="44">
        <f>'Project Compliance Tool'!O18</f>
        <v>0</v>
      </c>
      <c r="T19" s="34">
        <f>COUNTIF($U$13:U19,U19)</f>
        <v>7</v>
      </c>
      <c r="U19" s="34" t="e">
        <f>VLOOKUP(C19,'Eligible Technologies'!$J$17:$Q$26,7,FALSE)</f>
        <v>#N/A</v>
      </c>
      <c r="V19" s="52">
        <f t="shared" si="0"/>
        <v>1</v>
      </c>
      <c r="W19" s="52" t="e">
        <f t="shared" si="4"/>
        <v>#VALUE!</v>
      </c>
    </row>
    <row r="20" spans="1:23" x14ac:dyDescent="0.2">
      <c r="A20" s="34" t="str">
        <f t="shared" si="1"/>
        <v/>
      </c>
      <c r="B20" s="34" t="e">
        <f t="shared" si="3"/>
        <v>#N/A</v>
      </c>
      <c r="C20" s="34">
        <f>'Project Compliance Tool'!D19</f>
        <v>0</v>
      </c>
      <c r="D20" s="50">
        <f>'Project Compliance Tool'!E19</f>
        <v>0</v>
      </c>
      <c r="E20" s="50">
        <f>'Project Compliance Tool'!F19</f>
        <v>0</v>
      </c>
      <c r="F20" s="50" t="str">
        <f>'Project Compliance Tool'!G19</f>
        <v/>
      </c>
      <c r="G20" s="34">
        <f>'Project Compliance Tool'!H19</f>
        <v>0</v>
      </c>
      <c r="H20" s="34">
        <f>'Project Compliance Tool'!I19</f>
        <v>0</v>
      </c>
      <c r="I20" s="50">
        <f>'Project Compliance Tool'!K19</f>
        <v>0</v>
      </c>
      <c r="J20" s="50">
        <f>'Project Compliance Tool'!L19</f>
        <v>0</v>
      </c>
      <c r="K20" s="50" t="str">
        <f>'Project Compliance Tool'!M19</f>
        <v/>
      </c>
      <c r="L20" s="51">
        <f>'Project Compliance Tool'!N19</f>
        <v>0</v>
      </c>
      <c r="M20" s="50" t="str">
        <f>'Project Compliance Tool'!W19</f>
        <v/>
      </c>
      <c r="N20" s="44" t="str">
        <f>'Project Compliance Tool'!P19</f>
        <v/>
      </c>
      <c r="O20" s="50" t="str">
        <f>'Project Compliance Tool'!S19</f>
        <v/>
      </c>
      <c r="P20" s="50" t="str">
        <f>'Project Compliance Tool'!T19</f>
        <v/>
      </c>
      <c r="Q20" s="44" t="str">
        <f t="shared" si="2"/>
        <v/>
      </c>
      <c r="R20" s="44">
        <f>'Project Compliance Tool'!O19</f>
        <v>0</v>
      </c>
      <c r="T20" s="34">
        <f>COUNTIF($U$13:U20,U20)</f>
        <v>8</v>
      </c>
      <c r="U20" s="34" t="e">
        <f>VLOOKUP(C20,'Eligible Technologies'!$J$17:$Q$26,7,FALSE)</f>
        <v>#N/A</v>
      </c>
      <c r="V20" s="52">
        <f t="shared" si="0"/>
        <v>1</v>
      </c>
      <c r="W20" s="52" t="e">
        <f t="shared" si="4"/>
        <v>#VALUE!</v>
      </c>
    </row>
    <row r="21" spans="1:23" x14ac:dyDescent="0.2">
      <c r="A21" s="34" t="str">
        <f t="shared" si="1"/>
        <v/>
      </c>
      <c r="B21" s="34" t="e">
        <f t="shared" si="3"/>
        <v>#N/A</v>
      </c>
      <c r="C21" s="34">
        <f>'Project Compliance Tool'!D20</f>
        <v>0</v>
      </c>
      <c r="D21" s="50">
        <f>'Project Compliance Tool'!E20</f>
        <v>0</v>
      </c>
      <c r="E21" s="50">
        <f>'Project Compliance Tool'!F20</f>
        <v>0</v>
      </c>
      <c r="F21" s="50" t="str">
        <f>'Project Compliance Tool'!G20</f>
        <v/>
      </c>
      <c r="G21" s="34">
        <f>'Project Compliance Tool'!H20</f>
        <v>0</v>
      </c>
      <c r="H21" s="34">
        <f>'Project Compliance Tool'!I20</f>
        <v>0</v>
      </c>
      <c r="I21" s="50">
        <f>'Project Compliance Tool'!K20</f>
        <v>0</v>
      </c>
      <c r="J21" s="50">
        <f>'Project Compliance Tool'!L20</f>
        <v>0</v>
      </c>
      <c r="K21" s="50" t="str">
        <f>'Project Compliance Tool'!M20</f>
        <v/>
      </c>
      <c r="L21" s="51">
        <f>'Project Compliance Tool'!N20</f>
        <v>0</v>
      </c>
      <c r="M21" s="50" t="str">
        <f>'Project Compliance Tool'!W20</f>
        <v/>
      </c>
      <c r="N21" s="44" t="str">
        <f>'Project Compliance Tool'!P20</f>
        <v/>
      </c>
      <c r="O21" s="50" t="str">
        <f>'Project Compliance Tool'!S20</f>
        <v/>
      </c>
      <c r="P21" s="50" t="str">
        <f>'Project Compliance Tool'!T20</f>
        <v/>
      </c>
      <c r="Q21" s="44" t="str">
        <f t="shared" si="2"/>
        <v/>
      </c>
      <c r="R21" s="44">
        <f>'Project Compliance Tool'!O20</f>
        <v>0</v>
      </c>
      <c r="T21" s="34">
        <f>COUNTIF($U$13:U21,U21)</f>
        <v>9</v>
      </c>
      <c r="U21" s="34" t="e">
        <f>VLOOKUP(C21,'Eligible Technologies'!$J$17:$Q$26,7,FALSE)</f>
        <v>#N/A</v>
      </c>
      <c r="V21" s="52">
        <f t="shared" si="0"/>
        <v>1</v>
      </c>
      <c r="W21" s="52" t="e">
        <f t="shared" si="4"/>
        <v>#VALUE!</v>
      </c>
    </row>
    <row r="22" spans="1:23" x14ac:dyDescent="0.2">
      <c r="A22" s="34" t="str">
        <f t="shared" si="1"/>
        <v/>
      </c>
      <c r="B22" s="34" t="e">
        <f t="shared" si="3"/>
        <v>#N/A</v>
      </c>
      <c r="C22" s="34">
        <f>'Project Compliance Tool'!D61</f>
        <v>0</v>
      </c>
      <c r="D22" s="50">
        <f>'Project Compliance Tool'!E61</f>
        <v>0</v>
      </c>
      <c r="E22" s="50">
        <f>'Project Compliance Tool'!F61</f>
        <v>0</v>
      </c>
      <c r="F22" s="50" t="str">
        <f>'Project Compliance Tool'!G61</f>
        <v/>
      </c>
      <c r="G22" s="34">
        <f>'Project Compliance Tool'!H61</f>
        <v>0</v>
      </c>
      <c r="H22" s="34">
        <f>'Project Compliance Tool'!I61</f>
        <v>0</v>
      </c>
      <c r="I22" s="50">
        <f>'Project Compliance Tool'!K61</f>
        <v>0</v>
      </c>
      <c r="J22" s="50">
        <f>'Project Compliance Tool'!L61</f>
        <v>0</v>
      </c>
      <c r="K22" s="50" t="str">
        <f>'Project Compliance Tool'!M61</f>
        <v/>
      </c>
      <c r="L22" s="51">
        <f>'Project Compliance Tool'!N61</f>
        <v>0</v>
      </c>
      <c r="M22" s="50" t="str">
        <f>'Project Compliance Tool'!W61</f>
        <v/>
      </c>
      <c r="N22" s="44" t="str">
        <f>'Project Compliance Tool'!P61</f>
        <v/>
      </c>
      <c r="O22" s="50" t="str">
        <f>'Project Compliance Tool'!S61</f>
        <v/>
      </c>
      <c r="P22" s="50" t="str">
        <f>'Project Compliance Tool'!T61</f>
        <v/>
      </c>
      <c r="Q22" s="44" t="str">
        <f t="shared" si="2"/>
        <v/>
      </c>
      <c r="R22" s="44">
        <f>'Project Compliance Tool'!O61</f>
        <v>0</v>
      </c>
      <c r="T22" s="34">
        <f>COUNTIF($U$13:U22,U22)</f>
        <v>10</v>
      </c>
      <c r="U22" s="34" t="e">
        <f>VLOOKUP(C22,'Eligible Technologies'!$J$17:$Q$26,7,FALSE)</f>
        <v>#N/A</v>
      </c>
      <c r="V22" s="52">
        <f t="shared" si="0"/>
        <v>1</v>
      </c>
      <c r="W22" s="52" t="e">
        <f t="shared" si="4"/>
        <v>#VALUE!</v>
      </c>
    </row>
    <row r="23" spans="1:23" x14ac:dyDescent="0.2">
      <c r="N23" s="44">
        <f>SUM(N13:N22)</f>
        <v>0</v>
      </c>
      <c r="O23" s="49">
        <f>SUM(O13:O22)</f>
        <v>0</v>
      </c>
      <c r="P23" s="49">
        <f>SUM(P13:P22)</f>
        <v>0</v>
      </c>
      <c r="Q23" s="44">
        <f>SUM(Q13:Q22)</f>
        <v>0</v>
      </c>
      <c r="R23" s="44">
        <f>SUM(R13:R22)</f>
        <v>0</v>
      </c>
    </row>
  </sheetData>
  <sheetProtection algorithmName="SHA-512" hashValue="4rKqlHARhD06BatU2PsWe5IG/5XyWpDZu/AFl7uQMXt7S7lBXVUPxDK55xpP05CaFH99+weT+tfwGi6pWG13VQ==" saltValue="Gpb0DpCDQRrhsKMCsXELIA==" spinCount="100000" sheet="1" formatColumns="0" formatRows="0"/>
  <pageMargins left="0.7" right="0.7" top="0.75" bottom="0.75" header="0.3" footer="0.3"/>
  <pageSetup paperSize="9" orientation="portrait" horizontalDpi="4294967293" r:id="rId1"/>
  <headerFooter>
    <oddFooter>&amp;C_x000D_&amp;1#&amp;"Calibri"&amp;10&amp;K000000 AtkinsRéalis - Baseline / Référence</oddFooter>
  </headerFooter>
  <customProperties>
    <customPr name="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26956-BD8A-4512-BD8C-0A8C79D8B0EA}">
  <dimension ref="A1:AJ39"/>
  <sheetViews>
    <sheetView zoomScale="80" zoomScaleNormal="80" workbookViewId="0">
      <selection activeCell="Y11" sqref="Y11"/>
    </sheetView>
  </sheetViews>
  <sheetFormatPr defaultRowHeight="12.75" x14ac:dyDescent="0.2"/>
  <cols>
    <col min="1" max="1" width="8.28515625" customWidth="1"/>
    <col min="2" max="2" width="11" customWidth="1"/>
    <col min="3" max="3" width="11.5703125" customWidth="1"/>
    <col min="4" max="4" width="10" customWidth="1"/>
    <col min="5" max="5" width="9.5703125" customWidth="1"/>
    <col min="6" max="7" width="10.28515625" customWidth="1"/>
    <col min="8" max="8" width="11.28515625" customWidth="1"/>
    <col min="9" max="9" width="10.7109375" customWidth="1"/>
    <col min="10" max="10" width="8.7109375" customWidth="1"/>
    <col min="11" max="11" width="9.5703125" customWidth="1"/>
    <col min="12" max="13" width="8.28515625" customWidth="1"/>
    <col min="14" max="14" width="9.7109375" customWidth="1"/>
    <col min="15" max="15" width="11.42578125" customWidth="1"/>
    <col min="16" max="16" width="10.42578125" customWidth="1"/>
    <col min="17" max="17" width="10.7109375" customWidth="1"/>
    <col min="18" max="18" width="10.42578125" customWidth="1"/>
    <col min="19" max="19" width="8.28515625" customWidth="1"/>
    <col min="20" max="20" width="10.28515625" customWidth="1"/>
    <col min="21" max="26" width="8.28515625" customWidth="1"/>
    <col min="27" max="27" width="11.42578125" customWidth="1"/>
    <col min="28" max="28" width="10.42578125" customWidth="1"/>
    <col min="29" max="29" width="1.7109375" customWidth="1"/>
    <col min="30" max="30" width="13.28515625" customWidth="1"/>
    <col min="31" max="31" width="10.7109375" customWidth="1"/>
    <col min="33" max="33" width="11.7109375" customWidth="1"/>
    <col min="34" max="34" width="12.28515625" customWidth="1"/>
    <col min="35" max="35" width="10.42578125" customWidth="1"/>
  </cols>
  <sheetData>
    <row r="1" spans="1:36" ht="25.5" x14ac:dyDescent="0.2">
      <c r="A1" s="779" t="s">
        <v>574</v>
      </c>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row>
    <row r="2" spans="1:36" x14ac:dyDescent="0.2">
      <c r="A2" s="781"/>
      <c r="B2" s="33"/>
      <c r="C2" s="33"/>
      <c r="D2" s="33"/>
      <c r="E2" s="33"/>
      <c r="F2" s="35"/>
      <c r="G2" s="33"/>
      <c r="H2" s="36"/>
      <c r="I2" s="37"/>
      <c r="J2" s="33"/>
      <c r="K2" s="33"/>
      <c r="L2" s="33"/>
      <c r="M2" s="33"/>
      <c r="N2" s="33"/>
      <c r="O2" s="33"/>
      <c r="P2" s="33"/>
      <c r="Q2" s="33"/>
      <c r="R2" s="33"/>
      <c r="S2" s="33"/>
      <c r="T2" s="38"/>
      <c r="U2" s="33"/>
      <c r="V2" s="39"/>
      <c r="W2" s="33"/>
      <c r="X2" s="33"/>
      <c r="Y2" s="39"/>
      <c r="Z2" s="39"/>
      <c r="AA2" s="33"/>
      <c r="AB2" s="33"/>
      <c r="AC2" s="33"/>
    </row>
    <row r="3" spans="1:36" x14ac:dyDescent="0.2">
      <c r="A3" s="33"/>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row>
    <row r="4" spans="1:36" ht="25.5" x14ac:dyDescent="0.2">
      <c r="A4" s="40" t="s">
        <v>575</v>
      </c>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row>
    <row r="5" spans="1:36" x14ac:dyDescent="0.2">
      <c r="A5" s="33"/>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33"/>
    </row>
    <row r="6" spans="1:36" ht="57.6" customHeight="1" x14ac:dyDescent="0.2">
      <c r="A6" s="780" t="s">
        <v>576</v>
      </c>
      <c r="B6" s="780" t="s">
        <v>577</v>
      </c>
      <c r="C6" s="780" t="s">
        <v>578</v>
      </c>
      <c r="D6" s="780" t="s">
        <v>579</v>
      </c>
      <c r="E6" s="780" t="s">
        <v>580</v>
      </c>
      <c r="F6" s="780" t="s">
        <v>581</v>
      </c>
      <c r="G6" s="780" t="s">
        <v>582</v>
      </c>
      <c r="H6" s="780" t="s">
        <v>583</v>
      </c>
      <c r="I6" s="780" t="s">
        <v>584</v>
      </c>
      <c r="J6" s="780" t="s">
        <v>585</v>
      </c>
      <c r="K6" s="780" t="s">
        <v>586</v>
      </c>
      <c r="L6" s="780" t="s">
        <v>47</v>
      </c>
      <c r="M6" s="780" t="s">
        <v>48</v>
      </c>
      <c r="N6" s="780" t="s">
        <v>49</v>
      </c>
      <c r="O6" s="780" t="s">
        <v>299</v>
      </c>
      <c r="P6" s="780" t="s">
        <v>587</v>
      </c>
      <c r="Q6" s="780" t="s">
        <v>588</v>
      </c>
      <c r="R6" s="780" t="s">
        <v>589</v>
      </c>
      <c r="S6" s="780" t="s">
        <v>54</v>
      </c>
      <c r="T6" s="780" t="s">
        <v>56</v>
      </c>
      <c r="U6" s="780" t="s">
        <v>590</v>
      </c>
      <c r="V6" s="780" t="s">
        <v>591</v>
      </c>
      <c r="W6" s="780" t="s">
        <v>592</v>
      </c>
      <c r="X6" s="780" t="s">
        <v>62</v>
      </c>
      <c r="Y6" s="780" t="s">
        <v>593</v>
      </c>
      <c r="Z6" s="780" t="s">
        <v>594</v>
      </c>
      <c r="AA6" s="780" t="s">
        <v>595</v>
      </c>
      <c r="AB6" s="780" t="s">
        <v>125</v>
      </c>
      <c r="AD6" s="778" t="s">
        <v>605</v>
      </c>
      <c r="AE6" s="778" t="s">
        <v>606</v>
      </c>
      <c r="AF6" s="778" t="s">
        <v>607</v>
      </c>
      <c r="AG6" s="778" t="s">
        <v>608</v>
      </c>
      <c r="AH6" s="778" t="s">
        <v>609</v>
      </c>
      <c r="AI6" s="778" t="s">
        <v>610</v>
      </c>
      <c r="AJ6" s="778" t="s">
        <v>611</v>
      </c>
    </row>
    <row r="7" spans="1:36" ht="113.1" customHeight="1" x14ac:dyDescent="0.2">
      <c r="A7" s="781" t="s">
        <v>612</v>
      </c>
      <c r="B7" s="785">
        <f>'Project Compliance Tool'!C9</f>
        <v>0</v>
      </c>
      <c r="C7" s="785">
        <f>'Project Compliance Tool'!D9</f>
        <v>0</v>
      </c>
      <c r="D7" s="786">
        <f>IF('Project Compliance Tool'!E9="", 0, 'Project Compliance Tool'!E9)</f>
        <v>0</v>
      </c>
      <c r="E7" s="787">
        <f>'Project Compliance Tool'!F9</f>
        <v>0</v>
      </c>
      <c r="F7" s="787">
        <f>'Project Compliance Tool'!G9</f>
        <v>0</v>
      </c>
      <c r="G7" s="788">
        <f>'Project Compliance Tool'!O67</f>
        <v>0</v>
      </c>
      <c r="H7" s="788">
        <f>'Project Compliance Tool'!N67</f>
        <v>0</v>
      </c>
      <c r="I7" s="789" t="str">
        <f>IF(G7=0, "", ROUND(H7 / G7, 2) * 100 &amp; "%")</f>
        <v/>
      </c>
      <c r="J7" s="786" t="e" cm="1">
        <f t="array" ref="J7">IF(COUNTA(_xlfn.UNIQUE(_xlfn._xlws.FILTER('Project Compliance Tool'!D12:D26, 'Project Compliance Tool'!D12:D26&lt;&gt;""))) = 1, INDEX('Project Compliance Tool'!D12:D26, MATCH(TRUE, 'Project Compliance Tool'!D12:D26&lt;&gt;"", 0)), _xlfn.TEXTJOIN(", ", TRUE, _xlfn.UNIQUE(_xlfn._xlws.FILTER('Project Compliance Tool'!D12:D26, 'Project Compliance Tool'!D12:D26&lt;&gt;""))))</f>
        <v>#N/A</v>
      </c>
      <c r="K7" s="786" t="e" cm="1">
        <f t="array" ref="K7">IF(COUNTA(_xlfn.UNIQUE(_xlfn._xlws.FILTER('Project Compliance Tool'!E12:E26, 'Project Compliance Tool'!E12:E26&lt;&gt;""))) = 1, INDEX('Project Compliance Tool'!E12:E26, MATCH(TRUE, 'Project Compliance Tool'!E12:E26&lt;&gt;"", 0)),"MPS")</f>
        <v>#N/A</v>
      </c>
      <c r="L7" s="786" t="e" cm="1">
        <f t="array" ref="L7">IF(COUNTA(_xlfn.UNIQUE(_xlfn._xlws.FILTER('Project Compliance Tool'!F12:F26, 'Project Compliance Tool'!F12:F26&lt;&gt;""))) = 1, INDEX('Project Compliance Tool'!F12:F26, MATCH(TRUE, 'Project Compliance Tool'!F12:F26&lt;&gt;"", 0)),"MPS")</f>
        <v>#N/A</v>
      </c>
      <c r="M7" s="789" t="e" cm="1">
        <f t="array" ref="M7">IF(COUNTA(_xlfn.UNIQUE(_xlfn._xlws.FILTER('Project Compliance Tool'!G12:G26, 'Project Compliance Tool'!G12:G26&lt;&gt;""))) = 1, INDEX('Project Compliance Tool'!G12:G26, MATCH(TRUE, 'Project Compliance Tool'!G12:G26&lt;&gt;"", 0)), "MPS")</f>
        <v>#N/A</v>
      </c>
      <c r="N7" s="786" t="e" cm="1" vm="3">
        <f t="array" ref="N7">_xlfn.TEXTJOIN(", ", TRUE, _xlfn._xlws.SORT(_xlfn.UNIQUE(_xlfn._xlws.FILTER('Project Compliance Tool'!H12:H26, 'Project Compliance Tool'!H12:H26&lt;&gt;""))))</f>
        <v>#VALUE!</v>
      </c>
      <c r="O7" s="786" t="e" cm="1">
        <f t="array" ref="O7">IF(COUNTA(_xlfn.UNIQUE(_xlfn._xlws.FILTER('Project Compliance Tool'!I12:I26, 'Project Compliance Tool'!I12:I26&lt;&gt;""))) = 1, INDEX('Project Compliance Tool'!I12:I26, MATCH(TRUE, 'Project Compliance Tool'!I12:I26&lt;&gt;"", 0)), _xlfn.TEXTJOIN(", ", TRUE, _xlfn.UNIQUE(_xlfn._xlws.FILTER('Project Compliance Tool'!I12:I26, 'Project Compliance Tool'!I12:I26&lt;&gt;""))))</f>
        <v>#N/A</v>
      </c>
      <c r="P7" s="790">
        <f>SUM('Project Compliance Tool'!K12:K26)</f>
        <v>0</v>
      </c>
      <c r="Q7" s="790">
        <f>SUM('Project Compliance Tool'!L12:L26)</f>
        <v>0</v>
      </c>
      <c r="R7" s="790">
        <f>SUM('Project Compliance Tool'!M12:M26)</f>
        <v>0</v>
      </c>
      <c r="S7" s="789" t="str">
        <f>IF(SUM('Project Compliance Tool'!M12:M26)=0, "", SUMPRODUCT('Project Compliance Tool'!N12:N26, 'Project Compliance Tool'!M12:M26) / SUM('Project Compliance Tool'!M12:M26))</f>
        <v/>
      </c>
      <c r="T7" s="788" t="str">
        <f>'Project Compliance Tool'!P65</f>
        <v/>
      </c>
      <c r="U7" s="791" t="str">
        <f>'Project Compliance Tool'!Q65</f>
        <v/>
      </c>
      <c r="V7" s="791" t="str">
        <f>'Project Compliance Tool'!R65</f>
        <v/>
      </c>
      <c r="W7" s="791" t="str">
        <f>'Project Compliance Tool'!S65</f>
        <v/>
      </c>
      <c r="X7" s="786" t="e" cm="1" vm="3">
        <f t="array" ref="X7">IF(COUNTA(_xlfn.UNIQUE(_xlfn._xlws.FILTER('Project Compliance Tool'!W12:W26, 'Project Compliance Tool'!W12:W26&lt;&gt;"")))=1, INDEX(_xlfn.UNIQUE(_xlfn._xlws.FILTER('Project Compliance Tool'!W12:W26, 'Project Compliance Tool'!W12:W26&lt;&gt;"")), 1), "MPS")</f>
        <v>#VALUE!</v>
      </c>
      <c r="Y7" s="792" t="str">
        <f>'Project Compliance Tool'!T65</f>
        <v/>
      </c>
      <c r="Z7" s="792" t="str">
        <f>'Project Compliance Tool'!U65</f>
        <v/>
      </c>
      <c r="AA7" s="788" cm="1">
        <f t="array" ref="AA7">SUMPRODUCT('Project Compliance Tool'!P12:P26, 'Project Compliance Tool'!W12:W26, --('Project Compliance Tool'!Q12:Q26&lt;&gt;""))</f>
        <v>0</v>
      </c>
      <c r="AB7" s="792" t="str">
        <f>'Project Compliance Tool'!V65</f>
        <v>Check Project Details</v>
      </c>
      <c r="AD7" s="786" t="e" cm="1" vm="3">
        <f t="array" ref="AD7">_xlfn.TEXTJOIN(", ", TRUE, _xlfn._xlws.SORT(_xlfn.UNIQUE(_xlfn._xlws.FILTER('Project Compliance Tool'!C70:C79, 'Project Compliance Tool'!C70:C79&lt;&gt;""))))</f>
        <v>#VALUE!</v>
      </c>
      <c r="AE7" s="785" t="e" cm="1">
        <f t="array" ref="AE7">IF(COUNTA(_xlfn.UNIQUE(_xlfn._xlws.FILTER('Project Compliance Tool'!E70:E79, 'Project Compliance Tool'!E70:E79&lt;&gt;""))) = 1, INDEX('Project Compliance Tool'!E70:E79, MATCH(TRUE, 'Project Compliance Tool'!E70:E79&lt;&gt;"", 0)), _xlfn.TEXTJOIN(", ", TRUE, _xlfn.UNIQUE(_xlfn._xlws.FILTER('Project Compliance Tool'!E70:E79, 'Project Compliance Tool'!E70:E79&lt;&gt;""))))</f>
        <v>#N/A</v>
      </c>
      <c r="AF7" s="785" t="str">
        <f>IF(COUNTA('Project Compliance Tool'!G70:G79)=0, "0", _xlfn.TEXTJOIN(", ", TRUE, 'Project Compliance Tool'!G70:G79))</f>
        <v>0</v>
      </c>
      <c r="AG7" s="796">
        <f>'Project Compliance Tool'!N65</f>
        <v>0</v>
      </c>
      <c r="AH7" s="788">
        <f>'Project Compliance Tool'!N66</f>
        <v>0</v>
      </c>
      <c r="AI7" s="788" t="str">
        <f>'Project Compliance Tool'!O65</f>
        <v/>
      </c>
      <c r="AJ7" s="788">
        <f>'Project Compliance Tool'!O66</f>
        <v>0</v>
      </c>
    </row>
    <row r="10" spans="1:36" x14ac:dyDescent="0.2">
      <c r="A10" s="33"/>
      <c r="B10" s="33"/>
      <c r="C10" s="33"/>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C10" s="33"/>
    </row>
    <row r="11" spans="1:36" ht="25.5" x14ac:dyDescent="0.2">
      <c r="A11" s="40" t="s">
        <v>596</v>
      </c>
      <c r="B11" s="33"/>
      <c r="C11" s="33"/>
      <c r="D11" s="33"/>
      <c r="E11" s="33"/>
      <c r="F11" s="33"/>
      <c r="G11" s="33"/>
      <c r="H11" s="33"/>
      <c r="I11" s="33"/>
      <c r="J11" s="33"/>
      <c r="K11" s="33"/>
      <c r="L11" s="33"/>
      <c r="M11" s="33"/>
      <c r="N11" s="33"/>
      <c r="O11" s="33"/>
      <c r="P11" s="33"/>
      <c r="Q11" s="33"/>
      <c r="R11" s="33"/>
      <c r="S11" s="33"/>
      <c r="T11" s="33"/>
      <c r="U11" s="33"/>
      <c r="V11" s="33"/>
      <c r="W11" s="33"/>
      <c r="X11" s="33"/>
      <c r="Y11" s="33"/>
      <c r="Z11" s="33"/>
      <c r="AA11" s="33"/>
      <c r="AB11" s="33"/>
      <c r="AC11" s="33"/>
    </row>
    <row r="12" spans="1:36" x14ac:dyDescent="0.2">
      <c r="A12" s="33"/>
      <c r="B12" s="33"/>
      <c r="C12" s="33"/>
      <c r="D12" s="33"/>
      <c r="E12" s="33"/>
      <c r="F12" s="33"/>
      <c r="G12" s="33"/>
      <c r="H12" s="33"/>
      <c r="I12" s="33"/>
      <c r="J12" s="33"/>
      <c r="K12" s="33"/>
      <c r="L12" s="33"/>
      <c r="M12" s="33"/>
      <c r="N12" s="33"/>
      <c r="O12" s="33"/>
      <c r="P12" s="33"/>
      <c r="Q12" s="33"/>
      <c r="R12" s="33"/>
      <c r="S12" s="33"/>
      <c r="T12" s="33"/>
      <c r="U12" s="33"/>
      <c r="V12" s="33"/>
      <c r="W12" s="33"/>
      <c r="X12" s="33"/>
      <c r="Y12" s="33"/>
      <c r="Z12" s="33"/>
      <c r="AA12" s="33"/>
      <c r="AB12" s="33"/>
      <c r="AC12" s="33"/>
    </row>
    <row r="13" spans="1:36" ht="51" x14ac:dyDescent="0.2">
      <c r="A13" s="780" t="s">
        <v>576</v>
      </c>
      <c r="B13" s="780" t="s">
        <v>597</v>
      </c>
      <c r="C13" s="780" t="s">
        <v>598</v>
      </c>
      <c r="D13" s="780" t="s">
        <v>599</v>
      </c>
      <c r="E13" s="780" t="s">
        <v>47</v>
      </c>
      <c r="F13" s="780" t="s">
        <v>48</v>
      </c>
      <c r="G13" s="780" t="s">
        <v>49</v>
      </c>
      <c r="H13" s="780" t="s">
        <v>50</v>
      </c>
      <c r="I13" s="780" t="s">
        <v>51</v>
      </c>
      <c r="J13" s="780" t="s">
        <v>52</v>
      </c>
      <c r="K13" s="780" t="s">
        <v>53</v>
      </c>
      <c r="L13" s="780" t="s">
        <v>54</v>
      </c>
      <c r="M13" s="780" t="s">
        <v>62</v>
      </c>
      <c r="N13" s="780" t="s">
        <v>600</v>
      </c>
      <c r="O13" s="780" t="s">
        <v>592</v>
      </c>
      <c r="P13" s="780" t="s">
        <v>601</v>
      </c>
      <c r="Q13" s="780" t="s">
        <v>595</v>
      </c>
      <c r="R13" s="780" t="s">
        <v>602</v>
      </c>
      <c r="S13" s="33"/>
      <c r="T13" s="780" t="s">
        <v>603</v>
      </c>
      <c r="U13" s="780" t="s">
        <v>604</v>
      </c>
      <c r="V13" s="33"/>
      <c r="W13" s="33"/>
      <c r="X13" s="33"/>
      <c r="Y13" s="33"/>
      <c r="Z13" s="33"/>
      <c r="AA13" s="33"/>
      <c r="AB13" s="33"/>
      <c r="AC13" s="33"/>
    </row>
    <row r="14" spans="1:36" x14ac:dyDescent="0.2">
      <c r="A14" s="781" t="s">
        <v>612</v>
      </c>
      <c r="B14" s="786" t="str">
        <f>IF(AND(U14&lt;&gt;"", T14&lt;&gt;""), U14 &amp; T14, "")</f>
        <v/>
      </c>
      <c r="C14" s="786">
        <f>'Project Compliance Tool'!D12</f>
        <v>0</v>
      </c>
      <c r="D14" s="793">
        <f>'Project Compliance Tool'!E12</f>
        <v>0</v>
      </c>
      <c r="E14" s="793">
        <f>'Project Compliance Tool'!F12</f>
        <v>0</v>
      </c>
      <c r="F14" s="794" t="str">
        <f>'Project Compliance Tool'!G12</f>
        <v/>
      </c>
      <c r="G14" s="786">
        <f>'Project Compliance Tool'!H12</f>
        <v>0</v>
      </c>
      <c r="H14" s="786">
        <f>'Project Compliance Tool'!I12</f>
        <v>0</v>
      </c>
      <c r="I14" s="790">
        <f>'Project Compliance Tool'!K12</f>
        <v>0</v>
      </c>
      <c r="J14" s="790">
        <f>'Project Compliance Tool'!L12</f>
        <v>0</v>
      </c>
      <c r="K14" s="790" t="str">
        <f>'Project Compliance Tool'!M12</f>
        <v/>
      </c>
      <c r="L14" s="795">
        <f>'Project Compliance Tool'!N12</f>
        <v>0</v>
      </c>
      <c r="M14" s="793" t="str">
        <f>'Project Compliance Tool'!W12</f>
        <v/>
      </c>
      <c r="N14" s="788" t="str">
        <f>'Project Compliance Tool'!P12</f>
        <v/>
      </c>
      <c r="O14" s="793" t="str">
        <f>'Project Compliance Tool'!S12</f>
        <v/>
      </c>
      <c r="P14" s="793" t="str">
        <f>'Project Compliance Tool'!T12</f>
        <v/>
      </c>
      <c r="Q14" s="788">
        <f>IF(OR(M14="", N14=""), 0, M14 * N14)</f>
        <v>0</v>
      </c>
      <c r="R14" s="788">
        <f>'Project Compliance Tool'!O12</f>
        <v>0</v>
      </c>
      <c r="S14" s="33"/>
      <c r="T14" s="786" t="str">
        <f>IF(U14&lt;&gt;"", COUNTIF(U$14:U14, U14), "")</f>
        <v/>
      </c>
      <c r="U14" s="786" t="str">
        <f>UPPER(LEFT('Project Compliance Tool'!D12,1) &amp; IFERROR(MID('Project Compliance Tool'!D12,FIND(" ",'Project Compliance Tool'!D12)+1,1),""))</f>
        <v/>
      </c>
      <c r="V14" s="52">
        <v>1</v>
      </c>
      <c r="W14" s="52" t="e">
        <v>#VALUE!</v>
      </c>
      <c r="X14" s="33"/>
      <c r="Y14" s="33"/>
      <c r="Z14" s="33"/>
      <c r="AA14" s="33"/>
      <c r="AB14" s="33"/>
      <c r="AC14" s="33"/>
    </row>
    <row r="15" spans="1:36" x14ac:dyDescent="0.2">
      <c r="A15" s="781" t="s">
        <v>612</v>
      </c>
      <c r="B15" s="786" t="str">
        <f>IF(AND(U15&lt;&gt;"", T15&lt;&gt;""), U15 &amp; T15, "")</f>
        <v/>
      </c>
      <c r="C15" s="786">
        <f>'Project Compliance Tool'!D13</f>
        <v>0</v>
      </c>
      <c r="D15" s="793">
        <f>'Project Compliance Tool'!E13</f>
        <v>0</v>
      </c>
      <c r="E15" s="793">
        <f>'Project Compliance Tool'!F13</f>
        <v>0</v>
      </c>
      <c r="F15" s="794" t="str">
        <f>'Project Compliance Tool'!G13</f>
        <v/>
      </c>
      <c r="G15" s="786">
        <f>'Project Compliance Tool'!H13</f>
        <v>0</v>
      </c>
      <c r="H15" s="786">
        <f>'Project Compliance Tool'!I13</f>
        <v>0</v>
      </c>
      <c r="I15" s="790">
        <f>'Project Compliance Tool'!K13</f>
        <v>0</v>
      </c>
      <c r="J15" s="790">
        <f>'Project Compliance Tool'!L13</f>
        <v>0</v>
      </c>
      <c r="K15" s="790" t="str">
        <f>'Project Compliance Tool'!M13</f>
        <v/>
      </c>
      <c r="L15" s="795">
        <f>'Project Compliance Tool'!N13</f>
        <v>0</v>
      </c>
      <c r="M15" s="793" t="str">
        <f>'Project Compliance Tool'!W13</f>
        <v/>
      </c>
      <c r="N15" s="788" t="str">
        <f>'Project Compliance Tool'!P13</f>
        <v/>
      </c>
      <c r="O15" s="793" t="str">
        <f>'Project Compliance Tool'!S13</f>
        <v/>
      </c>
      <c r="P15" s="793" t="str">
        <f>'Project Compliance Tool'!T13</f>
        <v/>
      </c>
      <c r="Q15" s="788">
        <f>IF(OR(M15="", N15=""), 0, M15 * N15)</f>
        <v>0</v>
      </c>
      <c r="R15" s="788">
        <f>'Project Compliance Tool'!O13</f>
        <v>0</v>
      </c>
      <c r="S15" s="33"/>
      <c r="T15" s="786" t="str">
        <f>IF(U15&lt;&gt;"", COUNTIF(U$14:U15, U15), "")</f>
        <v/>
      </c>
      <c r="U15" s="786" t="str">
        <f>UPPER(LEFT('Project Compliance Tool'!D13,1) &amp; IFERROR(MID('Project Compliance Tool'!D13,FIND(" ",'Project Compliance Tool'!D13)+1,1),""))</f>
        <v/>
      </c>
      <c r="V15" s="52">
        <v>2</v>
      </c>
      <c r="W15" s="52" t="s">
        <v>613</v>
      </c>
      <c r="X15" s="33"/>
      <c r="Y15" s="33"/>
      <c r="Z15" s="33"/>
      <c r="AA15" s="33"/>
      <c r="AB15" s="33"/>
      <c r="AC15" s="33"/>
    </row>
    <row r="16" spans="1:36" ht="19.149999999999999" customHeight="1" x14ac:dyDescent="0.2">
      <c r="A16" s="781" t="s">
        <v>612</v>
      </c>
      <c r="B16" s="786" t="str">
        <f t="shared" ref="B16:B23" si="0">IF(AND(U16&lt;&gt;"", T16&lt;&gt;""), U16 &amp; T16, "")</f>
        <v/>
      </c>
      <c r="C16" s="786">
        <f>'Project Compliance Tool'!D14</f>
        <v>0</v>
      </c>
      <c r="D16" s="793">
        <f>'Project Compliance Tool'!E14</f>
        <v>0</v>
      </c>
      <c r="E16" s="793">
        <f>'Project Compliance Tool'!F14</f>
        <v>0</v>
      </c>
      <c r="F16" s="794" t="str">
        <f>'Project Compliance Tool'!G14</f>
        <v/>
      </c>
      <c r="G16" s="786">
        <f>'Project Compliance Tool'!H14</f>
        <v>0</v>
      </c>
      <c r="H16" s="786">
        <f>'Project Compliance Tool'!I14</f>
        <v>0</v>
      </c>
      <c r="I16" s="790">
        <f>'Project Compliance Tool'!K14</f>
        <v>0</v>
      </c>
      <c r="J16" s="790">
        <f>'Project Compliance Tool'!L14</f>
        <v>0</v>
      </c>
      <c r="K16" s="790" t="str">
        <f>'Project Compliance Tool'!M14</f>
        <v/>
      </c>
      <c r="L16" s="795">
        <f>'Project Compliance Tool'!N14</f>
        <v>0</v>
      </c>
      <c r="M16" s="793" t="str">
        <f>'Project Compliance Tool'!W14</f>
        <v/>
      </c>
      <c r="N16" s="788" t="str">
        <f>'Project Compliance Tool'!P14</f>
        <v/>
      </c>
      <c r="O16" s="793" t="str">
        <f>'Project Compliance Tool'!S14</f>
        <v/>
      </c>
      <c r="P16" s="793" t="str">
        <f>'Project Compliance Tool'!T14</f>
        <v/>
      </c>
      <c r="Q16" s="788">
        <f t="shared" ref="Q16:Q23" si="1">IF(OR(M16="", N16=""), 0, M16 * N16)</f>
        <v>0</v>
      </c>
      <c r="R16" s="788">
        <f>'Project Compliance Tool'!O14</f>
        <v>0</v>
      </c>
      <c r="S16" s="33"/>
      <c r="T16" s="786" t="str">
        <f>IF(U16&lt;&gt;"", COUNTIF(U$14:U16, U16), "")</f>
        <v/>
      </c>
      <c r="U16" s="786" t="str">
        <f>UPPER(LEFT('Project Compliance Tool'!D14,1) &amp; IFERROR(MID('Project Compliance Tool'!D14,FIND(" ",'Project Compliance Tool'!D14)+1,1),""))</f>
        <v/>
      </c>
      <c r="V16" s="52">
        <v>1</v>
      </c>
      <c r="W16" s="52" t="e">
        <v>#VALUE!</v>
      </c>
      <c r="X16" s="33"/>
      <c r="Y16" s="33"/>
      <c r="Z16" s="33"/>
      <c r="AA16" s="33"/>
      <c r="AB16" s="33"/>
      <c r="AC16" s="33"/>
    </row>
    <row r="17" spans="1:29" ht="19.149999999999999" customHeight="1" x14ac:dyDescent="0.2">
      <c r="A17" s="781" t="s">
        <v>612</v>
      </c>
      <c r="B17" s="786" t="str">
        <f t="shared" si="0"/>
        <v/>
      </c>
      <c r="C17" s="786">
        <f>'Project Compliance Tool'!D15</f>
        <v>0</v>
      </c>
      <c r="D17" s="793">
        <f>'Project Compliance Tool'!E15</f>
        <v>0</v>
      </c>
      <c r="E17" s="793">
        <f>'Project Compliance Tool'!F15</f>
        <v>0</v>
      </c>
      <c r="F17" s="794" t="str">
        <f>'Project Compliance Tool'!G15</f>
        <v/>
      </c>
      <c r="G17" s="786">
        <f>'Project Compliance Tool'!H15</f>
        <v>0</v>
      </c>
      <c r="H17" s="786">
        <f>'Project Compliance Tool'!I15</f>
        <v>0</v>
      </c>
      <c r="I17" s="790">
        <f>'Project Compliance Tool'!K15</f>
        <v>0</v>
      </c>
      <c r="J17" s="790">
        <f>'Project Compliance Tool'!L15</f>
        <v>0</v>
      </c>
      <c r="K17" s="790" t="str">
        <f>'Project Compliance Tool'!M15</f>
        <v/>
      </c>
      <c r="L17" s="795">
        <f>'Project Compliance Tool'!N15</f>
        <v>0</v>
      </c>
      <c r="M17" s="793" t="str">
        <f>'Project Compliance Tool'!W15</f>
        <v/>
      </c>
      <c r="N17" s="788" t="str">
        <f>'Project Compliance Tool'!P15</f>
        <v/>
      </c>
      <c r="O17" s="793" t="str">
        <f>'Project Compliance Tool'!S15</f>
        <v/>
      </c>
      <c r="P17" s="793" t="str">
        <f>'Project Compliance Tool'!T15</f>
        <v/>
      </c>
      <c r="Q17" s="788">
        <f t="shared" si="1"/>
        <v>0</v>
      </c>
      <c r="R17" s="788">
        <f>'Project Compliance Tool'!O15</f>
        <v>0</v>
      </c>
      <c r="S17" s="33"/>
      <c r="T17" s="786" t="str">
        <f>IF(U17&lt;&gt;"", COUNTIF(U$14:U17, U17), "")</f>
        <v/>
      </c>
      <c r="U17" s="786" t="str">
        <f>UPPER(LEFT('Project Compliance Tool'!D15,1) &amp; IFERROR(MID('Project Compliance Tool'!D15,FIND(" ",'Project Compliance Tool'!D15)+1,1),""))</f>
        <v/>
      </c>
      <c r="V17" s="52">
        <v>1</v>
      </c>
      <c r="W17" s="52" t="e">
        <v>#VALUE!</v>
      </c>
      <c r="X17" s="33"/>
      <c r="Y17" s="33"/>
      <c r="Z17" s="33"/>
      <c r="AA17" s="33"/>
      <c r="AB17" s="33"/>
      <c r="AC17" s="33"/>
    </row>
    <row r="18" spans="1:29" ht="19.149999999999999" customHeight="1" x14ac:dyDescent="0.2">
      <c r="A18" s="781" t="s">
        <v>612</v>
      </c>
      <c r="B18" s="786" t="str">
        <f t="shared" si="0"/>
        <v/>
      </c>
      <c r="C18" s="786">
        <f>'Project Compliance Tool'!D16</f>
        <v>0</v>
      </c>
      <c r="D18" s="793">
        <f>'Project Compliance Tool'!E16</f>
        <v>0</v>
      </c>
      <c r="E18" s="793">
        <f>'Project Compliance Tool'!F16</f>
        <v>0</v>
      </c>
      <c r="F18" s="794" t="str">
        <f>'Project Compliance Tool'!G16</f>
        <v/>
      </c>
      <c r="G18" s="786">
        <f>'Project Compliance Tool'!H16</f>
        <v>0</v>
      </c>
      <c r="H18" s="786">
        <f>'Project Compliance Tool'!I16</f>
        <v>0</v>
      </c>
      <c r="I18" s="790">
        <f>'Project Compliance Tool'!K16</f>
        <v>0</v>
      </c>
      <c r="J18" s="790">
        <f>'Project Compliance Tool'!L16</f>
        <v>0</v>
      </c>
      <c r="K18" s="790" t="str">
        <f>'Project Compliance Tool'!M16</f>
        <v/>
      </c>
      <c r="L18" s="795">
        <f>'Project Compliance Tool'!N16</f>
        <v>0</v>
      </c>
      <c r="M18" s="793" t="str">
        <f>'Project Compliance Tool'!W16</f>
        <v/>
      </c>
      <c r="N18" s="788" t="str">
        <f>'Project Compliance Tool'!P16</f>
        <v/>
      </c>
      <c r="O18" s="793" t="str">
        <f>'Project Compliance Tool'!S16</f>
        <v/>
      </c>
      <c r="P18" s="793" t="str">
        <f>'Project Compliance Tool'!T16</f>
        <v/>
      </c>
      <c r="Q18" s="788">
        <f t="shared" si="1"/>
        <v>0</v>
      </c>
      <c r="R18" s="788">
        <f>'Project Compliance Tool'!O16</f>
        <v>0</v>
      </c>
      <c r="S18" s="33"/>
      <c r="T18" s="786" t="str">
        <f>IF(U18&lt;&gt;"", COUNTIF(U$14:U18, U18), "")</f>
        <v/>
      </c>
      <c r="U18" s="786" t="str">
        <f>UPPER(LEFT('Project Compliance Tool'!D16,1) &amp; IFERROR(MID('Project Compliance Tool'!D16,FIND(" ",'Project Compliance Tool'!D16)+1,1),""))</f>
        <v/>
      </c>
      <c r="V18" s="52">
        <v>1</v>
      </c>
      <c r="W18" s="52" t="e">
        <v>#VALUE!</v>
      </c>
      <c r="X18" s="33"/>
      <c r="Y18" s="33"/>
      <c r="Z18" s="33"/>
      <c r="AA18" s="33"/>
      <c r="AB18" s="33"/>
      <c r="AC18" s="33"/>
    </row>
    <row r="19" spans="1:29" ht="19.149999999999999" customHeight="1" x14ac:dyDescent="0.2">
      <c r="A19" s="781" t="s">
        <v>612</v>
      </c>
      <c r="B19" s="786" t="str">
        <f t="shared" si="0"/>
        <v/>
      </c>
      <c r="C19" s="786">
        <f>'Project Compliance Tool'!D17</f>
        <v>0</v>
      </c>
      <c r="D19" s="793">
        <f>'Project Compliance Tool'!E17</f>
        <v>0</v>
      </c>
      <c r="E19" s="793">
        <f>'Project Compliance Tool'!F17</f>
        <v>0</v>
      </c>
      <c r="F19" s="794" t="str">
        <f>'Project Compliance Tool'!G17</f>
        <v/>
      </c>
      <c r="G19" s="786">
        <f>'Project Compliance Tool'!H17</f>
        <v>0</v>
      </c>
      <c r="H19" s="786">
        <f>'Project Compliance Tool'!I17</f>
        <v>0</v>
      </c>
      <c r="I19" s="790">
        <f>'Project Compliance Tool'!K17</f>
        <v>0</v>
      </c>
      <c r="J19" s="790">
        <f>'Project Compliance Tool'!L17</f>
        <v>0</v>
      </c>
      <c r="K19" s="790" t="str">
        <f>'Project Compliance Tool'!M17</f>
        <v/>
      </c>
      <c r="L19" s="795">
        <f>'Project Compliance Tool'!N17</f>
        <v>0</v>
      </c>
      <c r="M19" s="793" t="str">
        <f>'Project Compliance Tool'!W17</f>
        <v/>
      </c>
      <c r="N19" s="788" t="str">
        <f>'Project Compliance Tool'!P17</f>
        <v/>
      </c>
      <c r="O19" s="793" t="str">
        <f>'Project Compliance Tool'!S17</f>
        <v/>
      </c>
      <c r="P19" s="793" t="str">
        <f>'Project Compliance Tool'!T17</f>
        <v/>
      </c>
      <c r="Q19" s="788">
        <f t="shared" si="1"/>
        <v>0</v>
      </c>
      <c r="R19" s="788">
        <f>'Project Compliance Tool'!O17</f>
        <v>0</v>
      </c>
      <c r="S19" s="33"/>
      <c r="T19" s="786" t="str">
        <f>IF(U19&lt;&gt;"", COUNTIF(U$14:U19, U19), "")</f>
        <v/>
      </c>
      <c r="U19" s="786" t="str">
        <f>UPPER(LEFT('Project Compliance Tool'!D17,1) &amp; IFERROR(MID('Project Compliance Tool'!D17,FIND(" ",'Project Compliance Tool'!D17)+1,1),""))</f>
        <v/>
      </c>
      <c r="V19" s="52">
        <v>1</v>
      </c>
      <c r="W19" s="52" t="e">
        <v>#VALUE!</v>
      </c>
      <c r="X19" s="33"/>
      <c r="Y19" s="33"/>
      <c r="Z19" s="33"/>
      <c r="AA19" s="33"/>
      <c r="AB19" s="33"/>
      <c r="AC19" s="33"/>
    </row>
    <row r="20" spans="1:29" ht="19.149999999999999" customHeight="1" x14ac:dyDescent="0.2">
      <c r="A20" s="781" t="s">
        <v>612</v>
      </c>
      <c r="B20" s="786" t="str">
        <f t="shared" si="0"/>
        <v/>
      </c>
      <c r="C20" s="786">
        <f>'Project Compliance Tool'!D18</f>
        <v>0</v>
      </c>
      <c r="D20" s="793">
        <f>'Project Compliance Tool'!E18</f>
        <v>0</v>
      </c>
      <c r="E20" s="793">
        <f>'Project Compliance Tool'!F18</f>
        <v>0</v>
      </c>
      <c r="F20" s="794" t="str">
        <f>'Project Compliance Tool'!G18</f>
        <v/>
      </c>
      <c r="G20" s="786">
        <f>'Project Compliance Tool'!H18</f>
        <v>0</v>
      </c>
      <c r="H20" s="786">
        <f>'Project Compliance Tool'!I18</f>
        <v>0</v>
      </c>
      <c r="I20" s="790">
        <f>'Project Compliance Tool'!K18</f>
        <v>0</v>
      </c>
      <c r="J20" s="790">
        <f>'Project Compliance Tool'!L18</f>
        <v>0</v>
      </c>
      <c r="K20" s="790" t="str">
        <f>'Project Compliance Tool'!M18</f>
        <v/>
      </c>
      <c r="L20" s="795">
        <f>'Project Compliance Tool'!N18</f>
        <v>0</v>
      </c>
      <c r="M20" s="793" t="str">
        <f>'Project Compliance Tool'!W18</f>
        <v/>
      </c>
      <c r="N20" s="788" t="str">
        <f>'Project Compliance Tool'!P18</f>
        <v/>
      </c>
      <c r="O20" s="793" t="str">
        <f>'Project Compliance Tool'!S18</f>
        <v/>
      </c>
      <c r="P20" s="793" t="str">
        <f>'Project Compliance Tool'!T18</f>
        <v/>
      </c>
      <c r="Q20" s="788">
        <f t="shared" si="1"/>
        <v>0</v>
      </c>
      <c r="R20" s="788">
        <f>'Project Compliance Tool'!O18</f>
        <v>0</v>
      </c>
      <c r="S20" s="33"/>
      <c r="T20" s="786" t="str">
        <f>IF(U20&lt;&gt;"", COUNTIF(U$14:U20, U20), "")</f>
        <v/>
      </c>
      <c r="U20" s="786" t="str">
        <f>UPPER(LEFT('Project Compliance Tool'!D18,1) &amp; IFERROR(MID('Project Compliance Tool'!D18,FIND(" ",'Project Compliance Tool'!D18)+1,1),""))</f>
        <v/>
      </c>
      <c r="V20" s="52">
        <v>1</v>
      </c>
      <c r="W20" s="52" t="e">
        <v>#VALUE!</v>
      </c>
      <c r="X20" s="33"/>
      <c r="Y20" s="33"/>
      <c r="Z20" s="33"/>
      <c r="AA20" s="33"/>
      <c r="AB20" s="33"/>
      <c r="AC20" s="33"/>
    </row>
    <row r="21" spans="1:29" ht="19.149999999999999" customHeight="1" x14ac:dyDescent="0.2">
      <c r="A21" s="781" t="s">
        <v>612</v>
      </c>
      <c r="B21" s="786" t="str">
        <f t="shared" si="0"/>
        <v/>
      </c>
      <c r="C21" s="786">
        <f>'Project Compliance Tool'!D19</f>
        <v>0</v>
      </c>
      <c r="D21" s="793">
        <f>'Project Compliance Tool'!E19</f>
        <v>0</v>
      </c>
      <c r="E21" s="793">
        <f>'Project Compliance Tool'!F19</f>
        <v>0</v>
      </c>
      <c r="F21" s="794" t="str">
        <f>'Project Compliance Tool'!G19</f>
        <v/>
      </c>
      <c r="G21" s="786">
        <f>'Project Compliance Tool'!H19</f>
        <v>0</v>
      </c>
      <c r="H21" s="786">
        <f>'Project Compliance Tool'!I19</f>
        <v>0</v>
      </c>
      <c r="I21" s="790">
        <f>'Project Compliance Tool'!K19</f>
        <v>0</v>
      </c>
      <c r="J21" s="790">
        <f>'Project Compliance Tool'!L19</f>
        <v>0</v>
      </c>
      <c r="K21" s="790" t="str">
        <f>'Project Compliance Tool'!M19</f>
        <v/>
      </c>
      <c r="L21" s="795">
        <f>'Project Compliance Tool'!N19</f>
        <v>0</v>
      </c>
      <c r="M21" s="793" t="str">
        <f>'Project Compliance Tool'!W19</f>
        <v/>
      </c>
      <c r="N21" s="788" t="str">
        <f>'Project Compliance Tool'!P19</f>
        <v/>
      </c>
      <c r="O21" s="793" t="str">
        <f>'Project Compliance Tool'!S19</f>
        <v/>
      </c>
      <c r="P21" s="793" t="str">
        <f>'Project Compliance Tool'!T19</f>
        <v/>
      </c>
      <c r="Q21" s="788">
        <f t="shared" si="1"/>
        <v>0</v>
      </c>
      <c r="R21" s="788">
        <f>'Project Compliance Tool'!O19</f>
        <v>0</v>
      </c>
      <c r="S21" s="33"/>
      <c r="T21" s="786" t="str">
        <f>IF(U21&lt;&gt;"", COUNTIF(U$14:U21, U21), "")</f>
        <v/>
      </c>
      <c r="U21" s="786" t="str">
        <f>UPPER(LEFT('Project Compliance Tool'!D19,1) &amp; IFERROR(MID('Project Compliance Tool'!D19,FIND(" ",'Project Compliance Tool'!D19)+1,1),""))</f>
        <v/>
      </c>
      <c r="V21" s="52">
        <v>1</v>
      </c>
      <c r="W21" s="52" t="e">
        <v>#VALUE!</v>
      </c>
      <c r="X21" s="33"/>
      <c r="Y21" s="33"/>
      <c r="Z21" s="33"/>
      <c r="AA21" s="33"/>
      <c r="AB21" s="33"/>
      <c r="AC21" s="33"/>
    </row>
    <row r="22" spans="1:29" ht="19.149999999999999" customHeight="1" x14ac:dyDescent="0.2">
      <c r="A22" s="781" t="s">
        <v>612</v>
      </c>
      <c r="B22" s="786" t="str">
        <f t="shared" si="0"/>
        <v/>
      </c>
      <c r="C22" s="786">
        <f>'Project Compliance Tool'!D20</f>
        <v>0</v>
      </c>
      <c r="D22" s="793">
        <f>'Project Compliance Tool'!E20</f>
        <v>0</v>
      </c>
      <c r="E22" s="793">
        <f>'Project Compliance Tool'!F20</f>
        <v>0</v>
      </c>
      <c r="F22" s="794" t="str">
        <f>'Project Compliance Tool'!G20</f>
        <v/>
      </c>
      <c r="G22" s="786">
        <f>'Project Compliance Tool'!H20</f>
        <v>0</v>
      </c>
      <c r="H22" s="786">
        <f>'Project Compliance Tool'!I20</f>
        <v>0</v>
      </c>
      <c r="I22" s="790">
        <f>'Project Compliance Tool'!K20</f>
        <v>0</v>
      </c>
      <c r="J22" s="790">
        <f>'Project Compliance Tool'!L20</f>
        <v>0</v>
      </c>
      <c r="K22" s="790" t="str">
        <f>'Project Compliance Tool'!M20</f>
        <v/>
      </c>
      <c r="L22" s="795">
        <f>'Project Compliance Tool'!N20</f>
        <v>0</v>
      </c>
      <c r="M22" s="793" t="str">
        <f>'Project Compliance Tool'!W20</f>
        <v/>
      </c>
      <c r="N22" s="788" t="str">
        <f>'Project Compliance Tool'!P20</f>
        <v/>
      </c>
      <c r="O22" s="793" t="str">
        <f>'Project Compliance Tool'!S20</f>
        <v/>
      </c>
      <c r="P22" s="793" t="str">
        <f>'Project Compliance Tool'!T20</f>
        <v/>
      </c>
      <c r="Q22" s="788">
        <f t="shared" si="1"/>
        <v>0</v>
      </c>
      <c r="R22" s="788">
        <f>'Project Compliance Tool'!O20</f>
        <v>0</v>
      </c>
      <c r="S22" s="33"/>
      <c r="T22" s="786" t="str">
        <f>IF(U22&lt;&gt;"", COUNTIF(U$14:U22, U22), "")</f>
        <v/>
      </c>
      <c r="U22" s="786" t="str">
        <f>UPPER(LEFT('Project Compliance Tool'!D20,1) &amp; IFERROR(MID('Project Compliance Tool'!D20,FIND(" ",'Project Compliance Tool'!D20)+1,1),""))</f>
        <v/>
      </c>
      <c r="V22" s="52">
        <v>1</v>
      </c>
      <c r="W22" s="52" t="e">
        <v>#VALUE!</v>
      </c>
      <c r="X22" s="33"/>
      <c r="Y22" s="33"/>
      <c r="Z22" s="33"/>
      <c r="AA22" s="33"/>
      <c r="AB22" s="33"/>
      <c r="AC22" s="33"/>
    </row>
    <row r="23" spans="1:29" ht="19.149999999999999" customHeight="1" x14ac:dyDescent="0.2">
      <c r="A23" s="781" t="s">
        <v>612</v>
      </c>
      <c r="B23" s="786" t="str">
        <f t="shared" si="0"/>
        <v/>
      </c>
      <c r="C23" s="786">
        <f>'Project Compliance Tool'!D21</f>
        <v>0</v>
      </c>
      <c r="D23" s="793">
        <f>'Project Compliance Tool'!E21</f>
        <v>0</v>
      </c>
      <c r="E23" s="793">
        <f>'Project Compliance Tool'!F21</f>
        <v>0</v>
      </c>
      <c r="F23" s="794" t="str">
        <f>'Project Compliance Tool'!G21</f>
        <v/>
      </c>
      <c r="G23" s="786">
        <f>'Project Compliance Tool'!H21</f>
        <v>0</v>
      </c>
      <c r="H23" s="786">
        <f>'Project Compliance Tool'!I21</f>
        <v>0</v>
      </c>
      <c r="I23" s="790">
        <f>'Project Compliance Tool'!K21</f>
        <v>0</v>
      </c>
      <c r="J23" s="790">
        <f>'Project Compliance Tool'!L21</f>
        <v>0</v>
      </c>
      <c r="K23" s="790" t="str">
        <f>'Project Compliance Tool'!M21</f>
        <v/>
      </c>
      <c r="L23" s="795">
        <f>'Project Compliance Tool'!N21</f>
        <v>0</v>
      </c>
      <c r="M23" s="793" t="str">
        <f>'Project Compliance Tool'!W21</f>
        <v/>
      </c>
      <c r="N23" s="788" t="str">
        <f>'Project Compliance Tool'!P21</f>
        <v/>
      </c>
      <c r="O23" s="793" t="str">
        <f>'Project Compliance Tool'!S21</f>
        <v/>
      </c>
      <c r="P23" s="793" t="str">
        <f>'Project Compliance Tool'!T21</f>
        <v/>
      </c>
      <c r="Q23" s="788">
        <f t="shared" si="1"/>
        <v>0</v>
      </c>
      <c r="R23" s="788">
        <f>'Project Compliance Tool'!O21</f>
        <v>0</v>
      </c>
      <c r="S23" s="33"/>
      <c r="T23" s="786" t="str">
        <f>IF(U23&lt;&gt;"", COUNTIF(U$14:U23, U23), "")</f>
        <v/>
      </c>
      <c r="U23" s="786" t="str">
        <f>UPPER(LEFT('Project Compliance Tool'!D21,1) &amp; IFERROR(MID('Project Compliance Tool'!D21,FIND(" ",'Project Compliance Tool'!D21)+1,1),""))</f>
        <v/>
      </c>
      <c r="V23" s="52">
        <v>1</v>
      </c>
      <c r="W23" s="52" t="e">
        <v>#VALUE!</v>
      </c>
      <c r="X23" s="33"/>
      <c r="Y23" s="33"/>
      <c r="Z23" s="33"/>
      <c r="AA23" s="33"/>
      <c r="AB23" s="33"/>
      <c r="AC23" s="33"/>
    </row>
    <row r="24" spans="1:29" ht="19.149999999999999" customHeight="1" x14ac:dyDescent="0.2">
      <c r="A24" s="33"/>
      <c r="B24" s="33"/>
      <c r="C24" s="33"/>
      <c r="D24" s="33"/>
      <c r="E24" s="33"/>
      <c r="F24" s="33"/>
      <c r="G24" s="33"/>
      <c r="H24" s="33"/>
      <c r="I24" s="33"/>
      <c r="J24" s="33"/>
      <c r="K24" s="33"/>
      <c r="L24" s="33"/>
      <c r="M24" s="33"/>
      <c r="N24" s="788">
        <f>SUM(N14:N23)</f>
        <v>0</v>
      </c>
      <c r="O24" s="792">
        <f>SUM(O14:O23)</f>
        <v>0</v>
      </c>
      <c r="P24" s="792">
        <f>SUM(P14:P23)</f>
        <v>0</v>
      </c>
      <c r="Q24" s="788">
        <f>SUM(Q14:Q23)</f>
        <v>0</v>
      </c>
      <c r="R24" s="788">
        <f>SUM(R14:R23)</f>
        <v>0</v>
      </c>
      <c r="S24" s="33"/>
      <c r="T24" s="33"/>
      <c r="U24" s="33"/>
      <c r="V24" s="33"/>
      <c r="W24" s="33"/>
      <c r="X24" s="33"/>
      <c r="Y24" s="33"/>
      <c r="Z24" s="33"/>
      <c r="AA24" s="33"/>
      <c r="AB24" s="33"/>
      <c r="AC24" s="33"/>
    </row>
    <row r="25" spans="1:29" ht="19.149999999999999" customHeight="1" x14ac:dyDescent="0.2">
      <c r="A25" s="33"/>
      <c r="B25" s="33"/>
      <c r="C25" s="33"/>
      <c r="D25" s="33"/>
      <c r="E25" s="33"/>
      <c r="F25" s="33"/>
      <c r="G25" s="33"/>
      <c r="H25" s="33"/>
      <c r="I25" s="33"/>
      <c r="J25" s="33"/>
      <c r="K25" s="33"/>
      <c r="L25" s="33"/>
      <c r="M25" s="33"/>
      <c r="S25" s="33"/>
      <c r="T25" s="33"/>
      <c r="U25" s="33"/>
      <c r="V25" s="33"/>
      <c r="W25" s="33"/>
      <c r="X25" s="33"/>
      <c r="Y25" s="33"/>
      <c r="Z25" s="33"/>
      <c r="AA25" s="33"/>
      <c r="AB25" s="33"/>
      <c r="AC25" s="33"/>
    </row>
    <row r="26" spans="1:29" ht="49.5" customHeight="1" x14ac:dyDescent="0.2">
      <c r="A26" s="784" t="s">
        <v>614</v>
      </c>
    </row>
    <row r="28" spans="1:29" ht="42.6" customHeight="1" x14ac:dyDescent="0.2">
      <c r="A28" s="778" t="s">
        <v>576</v>
      </c>
      <c r="B28" s="778" t="s">
        <v>597</v>
      </c>
      <c r="C28" s="778" t="s">
        <v>49</v>
      </c>
      <c r="D28" s="778" t="s">
        <v>50</v>
      </c>
      <c r="E28" s="778" t="s">
        <v>130</v>
      </c>
      <c r="F28" s="778" t="s">
        <v>602</v>
      </c>
      <c r="I28" s="778" t="s">
        <v>615</v>
      </c>
      <c r="J28" s="778" t="s">
        <v>603</v>
      </c>
    </row>
    <row r="29" spans="1:29" ht="32.1" customHeight="1" x14ac:dyDescent="0.2">
      <c r="A29" s="781" t="s">
        <v>612</v>
      </c>
      <c r="B29" s="786" t="str">
        <f>J29</f>
        <v/>
      </c>
      <c r="C29" s="786" t="str">
        <f>IF('Project Compliance Tool'!C70="", "", 'Project Compliance Tool'!C70)</f>
        <v/>
      </c>
      <c r="D29" s="786" t="str">
        <f>IF('Project Compliance Tool'!E70="", "", 'Project Compliance Tool'!E70)</f>
        <v/>
      </c>
      <c r="E29" s="786">
        <f>'Project Compliance Tool'!G70</f>
        <v>0</v>
      </c>
      <c r="F29" s="788">
        <f>'Project Compliance Tool'!K70</f>
        <v>0</v>
      </c>
      <c r="I29" s="786" t="str">
        <f>IF('Project Compliance Tool'!C70="", "", 'Project Compliance Tool'!C70)</f>
        <v/>
      </c>
      <c r="J29" s="786" t="str">
        <f>IF(I29="","", "M" &amp; COUNTIF($I$29:I29, "&lt;&gt;"))</f>
        <v/>
      </c>
    </row>
    <row r="30" spans="1:29" ht="30.6" customHeight="1" x14ac:dyDescent="0.2">
      <c r="A30" s="781" t="s">
        <v>612</v>
      </c>
      <c r="B30" s="786" t="str">
        <f t="shared" ref="B30:B38" si="2">J30</f>
        <v/>
      </c>
      <c r="C30" s="786" t="str">
        <f>IF('Project Compliance Tool'!C71="", "", 'Project Compliance Tool'!C71)</f>
        <v/>
      </c>
      <c r="D30" s="786" t="str">
        <f>IF('Project Compliance Tool'!E71="", "", 'Project Compliance Tool'!E71)</f>
        <v/>
      </c>
      <c r="E30" s="786">
        <f>'Project Compliance Tool'!G71</f>
        <v>0</v>
      </c>
      <c r="F30" s="788">
        <f>'Project Compliance Tool'!K71</f>
        <v>0</v>
      </c>
      <c r="I30" s="786" t="str">
        <f>IF('Project Compliance Tool'!C71="", "", 'Project Compliance Tool'!C71)</f>
        <v/>
      </c>
      <c r="J30" s="786" t="str">
        <f>IF(I30="","", "M" &amp; COUNTIF($I$29:I30, "&lt;&gt;"))</f>
        <v/>
      </c>
    </row>
    <row r="31" spans="1:29" ht="20.65" customHeight="1" x14ac:dyDescent="0.2">
      <c r="A31" s="781" t="s">
        <v>612</v>
      </c>
      <c r="B31" s="786" t="str">
        <f t="shared" si="2"/>
        <v/>
      </c>
      <c r="C31" s="786" t="str">
        <f>IF('Project Compliance Tool'!C72="", "", 'Project Compliance Tool'!C72)</f>
        <v/>
      </c>
      <c r="D31" s="786" t="str">
        <f>IF('Project Compliance Tool'!E72="", "", 'Project Compliance Tool'!E72)</f>
        <v/>
      </c>
      <c r="E31" s="786">
        <f>'Project Compliance Tool'!G72</f>
        <v>0</v>
      </c>
      <c r="F31" s="788">
        <f>'Project Compliance Tool'!K72</f>
        <v>0</v>
      </c>
      <c r="I31" s="786" t="str">
        <f>IF('Project Compliance Tool'!C72="", "", 'Project Compliance Tool'!C72)</f>
        <v/>
      </c>
      <c r="J31" s="786" t="str">
        <f>IF(I31="","", "M" &amp; COUNTIF($I$29:I31, "&lt;&gt;"))</f>
        <v/>
      </c>
    </row>
    <row r="32" spans="1:29" ht="20.65" customHeight="1" x14ac:dyDescent="0.2">
      <c r="A32" s="781" t="s">
        <v>612</v>
      </c>
      <c r="B32" s="786" t="str">
        <f t="shared" si="2"/>
        <v/>
      </c>
      <c r="C32" s="786" t="str">
        <f>IF('Project Compliance Tool'!C73="", "", 'Project Compliance Tool'!C73)</f>
        <v/>
      </c>
      <c r="D32" s="786" t="str">
        <f>IF('Project Compliance Tool'!E73="", "", 'Project Compliance Tool'!E73)</f>
        <v/>
      </c>
      <c r="E32" s="786">
        <f>'Project Compliance Tool'!G73</f>
        <v>0</v>
      </c>
      <c r="F32" s="788">
        <f>'Project Compliance Tool'!K73</f>
        <v>0</v>
      </c>
      <c r="I32" s="786" t="str">
        <f>IF('Project Compliance Tool'!C73="", "", 'Project Compliance Tool'!C73)</f>
        <v/>
      </c>
      <c r="J32" s="786" t="str">
        <f>IF(I32="","", "M" &amp; COUNTIF($I$29:I32, "&lt;&gt;"))</f>
        <v/>
      </c>
    </row>
    <row r="33" spans="1:10" ht="20.65" customHeight="1" x14ac:dyDescent="0.2">
      <c r="A33" s="781" t="s">
        <v>612</v>
      </c>
      <c r="B33" s="786" t="str">
        <f t="shared" si="2"/>
        <v/>
      </c>
      <c r="C33" s="786" t="str">
        <f>IF('Project Compliance Tool'!C74="", "", 'Project Compliance Tool'!C74)</f>
        <v/>
      </c>
      <c r="D33" s="786" t="str">
        <f>IF('Project Compliance Tool'!E74="", "", 'Project Compliance Tool'!E74)</f>
        <v/>
      </c>
      <c r="E33" s="786">
        <f>'Project Compliance Tool'!G74</f>
        <v>0</v>
      </c>
      <c r="F33" s="788">
        <f>'Project Compliance Tool'!K74</f>
        <v>0</v>
      </c>
      <c r="I33" s="786" t="str">
        <f>IF('Project Compliance Tool'!C74="", "", 'Project Compliance Tool'!C74)</f>
        <v/>
      </c>
      <c r="J33" s="786" t="str">
        <f>IF(I33="","", "M" &amp; COUNTIF($I$29:I33, "&lt;&gt;"))</f>
        <v/>
      </c>
    </row>
    <row r="34" spans="1:10" ht="20.65" customHeight="1" x14ac:dyDescent="0.2">
      <c r="A34" s="781" t="s">
        <v>612</v>
      </c>
      <c r="B34" s="786" t="str">
        <f t="shared" si="2"/>
        <v/>
      </c>
      <c r="C34" s="786" t="str">
        <f>IF('Project Compliance Tool'!C75="", "", 'Project Compliance Tool'!C75)</f>
        <v/>
      </c>
      <c r="D34" s="786" t="str">
        <f>IF('Project Compliance Tool'!E75="", "", 'Project Compliance Tool'!E75)</f>
        <v/>
      </c>
      <c r="E34" s="786">
        <f>'Project Compliance Tool'!G75</f>
        <v>0</v>
      </c>
      <c r="F34" s="788">
        <f>'Project Compliance Tool'!K75</f>
        <v>0</v>
      </c>
      <c r="I34" s="786" t="str">
        <f>IF('Project Compliance Tool'!C75="", "", 'Project Compliance Tool'!C75)</f>
        <v/>
      </c>
      <c r="J34" s="786" t="str">
        <f>IF(I34="","", "M" &amp; COUNTIF($I$29:I34, "&lt;&gt;"))</f>
        <v/>
      </c>
    </row>
    <row r="35" spans="1:10" ht="20.65" customHeight="1" x14ac:dyDescent="0.2">
      <c r="A35" s="781" t="s">
        <v>612</v>
      </c>
      <c r="B35" s="786" t="str">
        <f t="shared" si="2"/>
        <v/>
      </c>
      <c r="C35" s="786" t="str">
        <f>IF('Project Compliance Tool'!C76="", "", 'Project Compliance Tool'!C76)</f>
        <v/>
      </c>
      <c r="D35" s="786" t="str">
        <f>IF('Project Compliance Tool'!E76="", "", 'Project Compliance Tool'!E76)</f>
        <v/>
      </c>
      <c r="E35" s="786">
        <f>'Project Compliance Tool'!G76</f>
        <v>0</v>
      </c>
      <c r="F35" s="788">
        <f>'Project Compliance Tool'!K76</f>
        <v>0</v>
      </c>
      <c r="I35" s="786" t="str">
        <f>IF('Project Compliance Tool'!C76="", "", 'Project Compliance Tool'!C76)</f>
        <v/>
      </c>
      <c r="J35" s="786" t="str">
        <f>IF(I35="","", "M" &amp; COUNTIF($I$29:I35, "&lt;&gt;"))</f>
        <v/>
      </c>
    </row>
    <row r="36" spans="1:10" ht="20.65" customHeight="1" x14ac:dyDescent="0.2">
      <c r="A36" s="781" t="s">
        <v>612</v>
      </c>
      <c r="B36" s="786" t="str">
        <f t="shared" si="2"/>
        <v/>
      </c>
      <c r="C36" s="786" t="str">
        <f>IF('Project Compliance Tool'!C77="", "", 'Project Compliance Tool'!C77)</f>
        <v/>
      </c>
      <c r="D36" s="786" t="str">
        <f>IF('Project Compliance Tool'!E77="", "", 'Project Compliance Tool'!E77)</f>
        <v/>
      </c>
      <c r="E36" s="786">
        <f>'Project Compliance Tool'!G77</f>
        <v>0</v>
      </c>
      <c r="F36" s="788">
        <f>'Project Compliance Tool'!K77</f>
        <v>0</v>
      </c>
      <c r="I36" s="786" t="str">
        <f>IF('Project Compliance Tool'!C77="", "", 'Project Compliance Tool'!C77)</f>
        <v/>
      </c>
      <c r="J36" s="786" t="str">
        <f>IF(I36="","", "M" &amp; COUNTIF($I$29:I36, "&lt;&gt;"))</f>
        <v/>
      </c>
    </row>
    <row r="37" spans="1:10" ht="20.65" customHeight="1" x14ac:dyDescent="0.2">
      <c r="A37" s="781" t="s">
        <v>612</v>
      </c>
      <c r="B37" s="786" t="str">
        <f t="shared" si="2"/>
        <v/>
      </c>
      <c r="C37" s="786" t="str">
        <f>IF('Project Compliance Tool'!C78="", "", 'Project Compliance Tool'!C78)</f>
        <v/>
      </c>
      <c r="D37" s="786" t="str">
        <f>IF('Project Compliance Tool'!E78="", "", 'Project Compliance Tool'!E78)</f>
        <v/>
      </c>
      <c r="E37" s="786">
        <f>'Project Compliance Tool'!G78</f>
        <v>0</v>
      </c>
      <c r="F37" s="788">
        <f>'Project Compliance Tool'!K78</f>
        <v>0</v>
      </c>
      <c r="I37" s="786" t="str">
        <f>IF('Project Compliance Tool'!C78="", "", 'Project Compliance Tool'!C78)</f>
        <v/>
      </c>
      <c r="J37" s="786" t="str">
        <f>IF(I37="","", "M" &amp; COUNTIF($I$29:I37, "&lt;&gt;"))</f>
        <v/>
      </c>
    </row>
    <row r="38" spans="1:10" ht="20.65" customHeight="1" x14ac:dyDescent="0.2">
      <c r="A38" s="781" t="s">
        <v>612</v>
      </c>
      <c r="B38" s="786" t="str">
        <f t="shared" si="2"/>
        <v/>
      </c>
      <c r="C38" s="786" t="str">
        <f>IF('Project Compliance Tool'!C79="", "", 'Project Compliance Tool'!C79)</f>
        <v/>
      </c>
      <c r="D38" s="786" t="str">
        <f>IF('Project Compliance Tool'!E79="", "", 'Project Compliance Tool'!E79)</f>
        <v/>
      </c>
      <c r="E38" s="786">
        <f>'Project Compliance Tool'!G79</f>
        <v>0</v>
      </c>
      <c r="F38" s="788">
        <f>'Project Compliance Tool'!K79</f>
        <v>0</v>
      </c>
      <c r="I38" s="786" t="str">
        <f>IF('Project Compliance Tool'!C79="", "", 'Project Compliance Tool'!C79)</f>
        <v/>
      </c>
      <c r="J38" s="786" t="str">
        <f>IF(I38="","", "M" &amp; COUNTIF($I$29:I38, "&lt;&gt;"))</f>
        <v/>
      </c>
    </row>
    <row r="39" spans="1:10" x14ac:dyDescent="0.2">
      <c r="F39" s="788">
        <f>SUM(F29:F38)</f>
        <v>0</v>
      </c>
    </row>
  </sheetData>
  <pageMargins left="0.7" right="0.7" top="0.75" bottom="0.75" header="0.3" footer="0.3"/>
  <headerFooter>
    <oddFooter>&amp;C_x000D_&amp;1#&amp;"Calibri"&amp;10&amp;K000000 AtkinsRéalis - Baseline / Référence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382573"/>
    <pageSetUpPr fitToPage="1"/>
  </sheetPr>
  <dimension ref="A1:BD366"/>
  <sheetViews>
    <sheetView showGridLines="0" zoomScaleNormal="100" workbookViewId="0">
      <selection activeCell="D3" sqref="D3"/>
    </sheetView>
  </sheetViews>
  <sheetFormatPr defaultColWidth="8.7109375" defaultRowHeight="12.75" x14ac:dyDescent="0.2"/>
  <cols>
    <col min="1" max="1" width="8.7109375" customWidth="1"/>
    <col min="2" max="3" width="12.42578125" customWidth="1"/>
    <col min="4" max="4" width="76.42578125" customWidth="1"/>
    <col min="5" max="5" width="10.42578125" customWidth="1"/>
  </cols>
  <sheetData>
    <row r="1" spans="1:56" ht="13.5" thickBot="1" x14ac:dyDescent="0.2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row>
    <row r="2" spans="1:56" ht="15" x14ac:dyDescent="0.2">
      <c r="A2" s="2"/>
      <c r="B2" s="162" t="s">
        <v>555</v>
      </c>
      <c r="C2" s="163" t="s">
        <v>616</v>
      </c>
      <c r="D2" s="164" t="s">
        <v>617</v>
      </c>
      <c r="E2" s="165" t="s">
        <v>618</v>
      </c>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row>
    <row r="3" spans="1:56" ht="69.599999999999994" customHeight="1" x14ac:dyDescent="0.2">
      <c r="A3" s="2"/>
      <c r="B3" s="527" t="s">
        <v>619</v>
      </c>
      <c r="C3" s="528">
        <v>41</v>
      </c>
      <c r="D3" s="526" t="s">
        <v>620</v>
      </c>
      <c r="E3" s="529" t="s">
        <v>621</v>
      </c>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row>
    <row r="4" spans="1:56" ht="19.5" customHeight="1" x14ac:dyDescent="0.2">
      <c r="A4" s="2"/>
      <c r="B4" s="527" t="s">
        <v>622</v>
      </c>
      <c r="C4" s="528">
        <v>40.200000000000003</v>
      </c>
      <c r="D4" s="526" t="s">
        <v>623</v>
      </c>
      <c r="E4" s="529" t="s">
        <v>621</v>
      </c>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row>
    <row r="5" spans="1:56" ht="114.75" x14ac:dyDescent="0.2">
      <c r="A5" s="2"/>
      <c r="B5" s="527" t="s">
        <v>624</v>
      </c>
      <c r="C5" s="528">
        <v>39</v>
      </c>
      <c r="D5" s="526" t="s">
        <v>625</v>
      </c>
      <c r="E5" s="529" t="s">
        <v>621</v>
      </c>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row>
    <row r="6" spans="1:56" ht="38.25" x14ac:dyDescent="0.2">
      <c r="A6" s="2"/>
      <c r="B6" s="527" t="s">
        <v>626</v>
      </c>
      <c r="C6" s="528">
        <v>38</v>
      </c>
      <c r="D6" s="526" t="s">
        <v>627</v>
      </c>
      <c r="E6" s="529" t="s">
        <v>628</v>
      </c>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row>
    <row r="7" spans="1:56" x14ac:dyDescent="0.2">
      <c r="A7" s="2"/>
      <c r="B7" s="527" t="s">
        <v>629</v>
      </c>
      <c r="C7" s="528">
        <v>37.200000000000003</v>
      </c>
      <c r="D7" s="526" t="s">
        <v>630</v>
      </c>
      <c r="E7" s="529" t="s">
        <v>628</v>
      </c>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row>
    <row r="8" spans="1:56" ht="76.5" x14ac:dyDescent="0.2">
      <c r="A8" s="2"/>
      <c r="B8" s="166">
        <v>45170</v>
      </c>
      <c r="C8" s="167">
        <v>37</v>
      </c>
      <c r="D8" s="168" t="s">
        <v>631</v>
      </c>
      <c r="E8" s="169" t="s">
        <v>628</v>
      </c>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row>
    <row r="9" spans="1:56" ht="25.5" x14ac:dyDescent="0.2">
      <c r="A9" s="2"/>
      <c r="B9" s="166">
        <v>44470</v>
      </c>
      <c r="C9" s="167">
        <v>36.1</v>
      </c>
      <c r="D9" s="168" t="s">
        <v>632</v>
      </c>
      <c r="E9" s="169" t="s">
        <v>633</v>
      </c>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row>
    <row r="10" spans="1:56" ht="25.5" x14ac:dyDescent="0.2">
      <c r="A10" s="2"/>
      <c r="B10" s="166">
        <v>44378</v>
      </c>
      <c r="C10" s="167">
        <v>36</v>
      </c>
      <c r="D10" s="168" t="s">
        <v>634</v>
      </c>
      <c r="E10" s="169" t="s">
        <v>635</v>
      </c>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row>
    <row r="11" spans="1:56" ht="76.5" x14ac:dyDescent="0.2">
      <c r="A11" s="2"/>
      <c r="B11" s="166">
        <v>44044</v>
      </c>
      <c r="C11" s="167">
        <v>35.1</v>
      </c>
      <c r="D11" s="168" t="s">
        <v>636</v>
      </c>
      <c r="E11" s="169" t="s">
        <v>635</v>
      </c>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row>
    <row r="12" spans="1:56" ht="255" x14ac:dyDescent="0.2">
      <c r="A12" s="2"/>
      <c r="B12" s="166">
        <v>44013</v>
      </c>
      <c r="C12" s="167">
        <v>35</v>
      </c>
      <c r="D12" s="168" t="s">
        <v>637</v>
      </c>
      <c r="E12" s="169" t="s">
        <v>635</v>
      </c>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row>
    <row r="13" spans="1:56" x14ac:dyDescent="0.2">
      <c r="A13" s="2"/>
      <c r="B13" s="166">
        <v>43952</v>
      </c>
      <c r="C13" s="167">
        <v>34.1</v>
      </c>
      <c r="D13" s="168" t="s">
        <v>638</v>
      </c>
      <c r="E13" s="169" t="s">
        <v>639</v>
      </c>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row>
    <row r="14" spans="1:56" ht="63.75" x14ac:dyDescent="0.2">
      <c r="A14" s="2"/>
      <c r="B14" s="166">
        <v>43556</v>
      </c>
      <c r="C14" s="167">
        <v>34</v>
      </c>
      <c r="D14" s="168" t="s">
        <v>640</v>
      </c>
      <c r="E14" s="169" t="s">
        <v>641</v>
      </c>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row>
    <row r="15" spans="1:56" x14ac:dyDescent="0.2">
      <c r="A15" s="2"/>
      <c r="B15" s="166">
        <v>43479</v>
      </c>
      <c r="C15" s="167">
        <v>33.1</v>
      </c>
      <c r="D15" s="168" t="s">
        <v>642</v>
      </c>
      <c r="E15" s="169" t="s">
        <v>643</v>
      </c>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row>
    <row r="16" spans="1:56" ht="153" x14ac:dyDescent="0.2">
      <c r="A16" s="2"/>
      <c r="B16" s="166">
        <v>43221</v>
      </c>
      <c r="C16" s="167">
        <v>33</v>
      </c>
      <c r="D16" s="168" t="s">
        <v>644</v>
      </c>
      <c r="E16" s="169" t="s">
        <v>645</v>
      </c>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row>
    <row r="17" spans="1:41" ht="38.25" x14ac:dyDescent="0.2">
      <c r="A17" s="2"/>
      <c r="B17" s="166">
        <v>43009</v>
      </c>
      <c r="C17" s="167">
        <v>32.1</v>
      </c>
      <c r="D17" s="168" t="s">
        <v>646</v>
      </c>
      <c r="E17" s="169" t="s">
        <v>647</v>
      </c>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row>
    <row r="18" spans="1:41" ht="38.25" x14ac:dyDescent="0.2">
      <c r="A18" s="2"/>
      <c r="B18" s="166">
        <v>42948</v>
      </c>
      <c r="C18" s="167">
        <v>32</v>
      </c>
      <c r="D18" s="168" t="s">
        <v>648</v>
      </c>
      <c r="E18" s="169" t="s">
        <v>649</v>
      </c>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row>
    <row r="19" spans="1:41" x14ac:dyDescent="0.2">
      <c r="A19" s="2"/>
      <c r="B19" s="170">
        <v>42826</v>
      </c>
      <c r="C19" s="171">
        <v>31.2</v>
      </c>
      <c r="D19" s="172" t="s">
        <v>650</v>
      </c>
      <c r="E19" s="173" t="s">
        <v>649</v>
      </c>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row>
    <row r="20" spans="1:41" ht="38.25" x14ac:dyDescent="0.2">
      <c r="A20" s="2"/>
      <c r="B20" s="170">
        <v>42705</v>
      </c>
      <c r="C20" s="171">
        <v>31.1</v>
      </c>
      <c r="D20" s="172" t="s">
        <v>651</v>
      </c>
      <c r="E20" s="173" t="s">
        <v>649</v>
      </c>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row>
    <row r="21" spans="1:41" ht="204" x14ac:dyDescent="0.2">
      <c r="A21" s="2"/>
      <c r="B21" s="170">
        <v>42552</v>
      </c>
      <c r="C21" s="171">
        <v>31</v>
      </c>
      <c r="D21" s="172" t="s">
        <v>652</v>
      </c>
      <c r="E21" s="173" t="s">
        <v>653</v>
      </c>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row>
    <row r="22" spans="1:41" ht="63.75" x14ac:dyDescent="0.2">
      <c r="A22" s="2"/>
      <c r="B22" s="170">
        <v>42156</v>
      </c>
      <c r="C22" s="171">
        <v>30</v>
      </c>
      <c r="D22" s="172" t="s">
        <v>654</v>
      </c>
      <c r="E22" s="173" t="s">
        <v>553</v>
      </c>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row>
    <row r="23" spans="1:41" ht="39.75" x14ac:dyDescent="0.2">
      <c r="A23" s="2"/>
      <c r="B23" s="170">
        <v>41791</v>
      </c>
      <c r="C23" s="171">
        <v>29</v>
      </c>
      <c r="D23" s="174" t="s">
        <v>655</v>
      </c>
      <c r="E23" s="173" t="s">
        <v>553</v>
      </c>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row>
    <row r="24" spans="1:41" ht="25.5" x14ac:dyDescent="0.2">
      <c r="A24" s="2"/>
      <c r="B24" s="175">
        <v>41671</v>
      </c>
      <c r="C24" s="167">
        <v>28.2</v>
      </c>
      <c r="D24" s="168" t="s">
        <v>656</v>
      </c>
      <c r="E24" s="169" t="s">
        <v>657</v>
      </c>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row>
    <row r="25" spans="1:41" ht="25.5" x14ac:dyDescent="0.2">
      <c r="A25" s="2"/>
      <c r="B25" s="175">
        <v>41609</v>
      </c>
      <c r="C25" s="167">
        <v>28.1</v>
      </c>
      <c r="D25" s="168" t="s">
        <v>658</v>
      </c>
      <c r="E25" s="169" t="s">
        <v>657</v>
      </c>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row>
    <row r="26" spans="1:41" ht="52.5" x14ac:dyDescent="0.2">
      <c r="A26" s="2"/>
      <c r="B26" s="175">
        <v>41456</v>
      </c>
      <c r="C26" s="167">
        <v>28</v>
      </c>
      <c r="D26" s="168" t="s">
        <v>659</v>
      </c>
      <c r="E26" s="169" t="s">
        <v>657</v>
      </c>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row>
    <row r="27" spans="1:41" ht="25.5" x14ac:dyDescent="0.2">
      <c r="A27" s="2"/>
      <c r="B27" s="175">
        <v>41333</v>
      </c>
      <c r="C27" s="167">
        <v>27.5</v>
      </c>
      <c r="D27" s="168" t="s">
        <v>660</v>
      </c>
      <c r="E27" s="169" t="s">
        <v>657</v>
      </c>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row>
    <row r="28" spans="1:41" ht="25.5" x14ac:dyDescent="0.2">
      <c r="A28" s="2"/>
      <c r="B28" s="175">
        <v>41275</v>
      </c>
      <c r="C28" s="167">
        <v>27.1</v>
      </c>
      <c r="D28" s="176" t="s">
        <v>661</v>
      </c>
      <c r="E28" s="169" t="s">
        <v>553</v>
      </c>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row>
    <row r="29" spans="1:41" ht="25.5" x14ac:dyDescent="0.2">
      <c r="A29" s="2"/>
      <c r="B29" s="175">
        <v>41214</v>
      </c>
      <c r="C29" s="167">
        <v>27</v>
      </c>
      <c r="D29" s="176" t="s">
        <v>662</v>
      </c>
      <c r="E29" s="173" t="s">
        <v>657</v>
      </c>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row>
    <row r="30" spans="1:41" ht="63.75" x14ac:dyDescent="0.2">
      <c r="A30" s="2"/>
      <c r="B30" s="175">
        <v>41091</v>
      </c>
      <c r="C30" s="177">
        <v>26.2</v>
      </c>
      <c r="D30" s="178" t="s">
        <v>663</v>
      </c>
      <c r="E30" s="179" t="s">
        <v>664</v>
      </c>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row>
    <row r="31" spans="1:41" x14ac:dyDescent="0.2">
      <c r="A31" s="2"/>
      <c r="B31" s="180">
        <v>40920</v>
      </c>
      <c r="C31" s="181" t="s">
        <v>665</v>
      </c>
      <c r="D31" s="182" t="s">
        <v>666</v>
      </c>
      <c r="E31" s="183" t="s">
        <v>664</v>
      </c>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row>
    <row r="32" spans="1:41" ht="141" thickBot="1" x14ac:dyDescent="0.25">
      <c r="A32" s="2"/>
      <c r="B32" s="184">
        <v>40848</v>
      </c>
      <c r="C32" s="185" t="s">
        <v>667</v>
      </c>
      <c r="D32" s="186" t="s">
        <v>668</v>
      </c>
      <c r="E32" s="187" t="s">
        <v>664</v>
      </c>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row>
    <row r="33" spans="1:41" x14ac:dyDescent="0.2">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row>
    <row r="34" spans="1:41" x14ac:dyDescent="0.2">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row>
    <row r="35" spans="1:41" x14ac:dyDescent="0.2">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row>
    <row r="36" spans="1:41" x14ac:dyDescent="0.2">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row>
    <row r="37" spans="1:41" x14ac:dyDescent="0.2">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row>
    <row r="38" spans="1:41" x14ac:dyDescent="0.2">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row>
    <row r="39" spans="1:41" x14ac:dyDescent="0.2">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row>
    <row r="40" spans="1:41" x14ac:dyDescent="0.2">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row>
    <row r="41" spans="1:41" x14ac:dyDescent="0.2">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row>
    <row r="42" spans="1:41" x14ac:dyDescent="0.2">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row>
    <row r="43" spans="1:41" x14ac:dyDescent="0.2">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row>
    <row r="44" spans="1:41" x14ac:dyDescent="0.2">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row>
    <row r="45" spans="1:41" x14ac:dyDescent="0.2">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row>
    <row r="46" spans="1:41" x14ac:dyDescent="0.2">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row>
    <row r="47" spans="1:41" x14ac:dyDescent="0.2">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row>
    <row r="48" spans="1:41" x14ac:dyDescent="0.2">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row>
    <row r="49" spans="1:41" x14ac:dyDescent="0.2">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row>
    <row r="50" spans="1:41" x14ac:dyDescent="0.2">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row>
    <row r="51" spans="1:41"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row>
    <row r="52" spans="1:41" x14ac:dyDescent="0.2">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row>
    <row r="53" spans="1:41" x14ac:dyDescent="0.2">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row>
    <row r="54" spans="1:41" x14ac:dyDescent="0.2">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row>
    <row r="55" spans="1:41" x14ac:dyDescent="0.2">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row>
    <row r="56" spans="1:41" x14ac:dyDescent="0.2">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row>
    <row r="57" spans="1:41" x14ac:dyDescent="0.2">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row>
    <row r="58" spans="1:41" x14ac:dyDescent="0.2">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row>
    <row r="59" spans="1:41" x14ac:dyDescent="0.2">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row>
    <row r="60" spans="1:41" x14ac:dyDescent="0.2">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row>
    <row r="61" spans="1:41" x14ac:dyDescent="0.2">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row>
    <row r="62" spans="1:41" x14ac:dyDescent="0.2">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row>
    <row r="63" spans="1:41" x14ac:dyDescent="0.2">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row>
    <row r="64" spans="1:41" x14ac:dyDescent="0.2">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row>
    <row r="65" spans="1:41" x14ac:dyDescent="0.2">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row>
    <row r="66" spans="1:41" x14ac:dyDescent="0.2">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row>
    <row r="67" spans="1:41" x14ac:dyDescent="0.2">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row>
    <row r="68" spans="1:41" x14ac:dyDescent="0.2">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row>
    <row r="69" spans="1:41" x14ac:dyDescent="0.2">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row>
    <row r="70" spans="1:41" x14ac:dyDescent="0.2">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row>
    <row r="71" spans="1:41" x14ac:dyDescent="0.2">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row>
    <row r="72" spans="1:41" x14ac:dyDescent="0.2">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row>
    <row r="73" spans="1:41" x14ac:dyDescent="0.2">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row>
    <row r="74" spans="1:41" x14ac:dyDescent="0.2">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row>
    <row r="75" spans="1:41" x14ac:dyDescent="0.2">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row>
    <row r="76" spans="1:41" x14ac:dyDescent="0.2">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row>
    <row r="77" spans="1:41" x14ac:dyDescent="0.2">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row>
    <row r="78" spans="1:41" x14ac:dyDescent="0.2">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row>
    <row r="79" spans="1:41" x14ac:dyDescent="0.2">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row>
    <row r="80" spans="1:41" x14ac:dyDescent="0.2">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row>
    <row r="81" spans="1:41" x14ac:dyDescent="0.2">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row>
    <row r="82" spans="1:41"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row>
    <row r="83" spans="1:41"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row>
    <row r="84" spans="1:41"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row>
    <row r="85" spans="1:41"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row>
    <row r="86" spans="1:41"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row>
    <row r="87" spans="1:41"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row>
    <row r="88" spans="1:41"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row>
    <row r="89" spans="1:4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row>
    <row r="90" spans="1:41"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row>
    <row r="91" spans="1:41"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row>
    <row r="92" spans="1:41"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row>
    <row r="93" spans="1:41"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row>
    <row r="94" spans="1:41"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row>
    <row r="95" spans="1:41"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row>
    <row r="96" spans="1:41"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row>
    <row r="97" spans="1:41"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row>
    <row r="98" spans="1:41"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row>
    <row r="99" spans="1:41"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row>
    <row r="100" spans="1:4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row>
    <row r="101" spans="1:4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row>
    <row r="102" spans="1:4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row>
    <row r="103" spans="1:4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row>
    <row r="104" spans="1:4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row>
    <row r="105" spans="1:4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row>
    <row r="106" spans="1:4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row>
    <row r="107" spans="1:4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row>
    <row r="108" spans="1:4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row>
    <row r="109" spans="1:4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row>
    <row r="110" spans="1:4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row>
    <row r="111" spans="1:4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row>
    <row r="112" spans="1:4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row>
    <row r="113" spans="1:4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row>
    <row r="114" spans="1:4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row>
    <row r="115" spans="1:4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row>
    <row r="116" spans="1:4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row>
    <row r="117" spans="1:4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row>
    <row r="118" spans="1:4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row>
    <row r="119" spans="1:4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row>
    <row r="120" spans="1:4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row>
    <row r="121" spans="1:4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row>
    <row r="122" spans="1:4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row>
    <row r="123" spans="1:4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row>
    <row r="124" spans="1:4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row>
    <row r="125" spans="1:4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row>
    <row r="126" spans="1:4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row>
    <row r="127" spans="1:4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row>
    <row r="128" spans="1:4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row>
    <row r="129" spans="1:4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row>
    <row r="130" spans="1:4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row>
    <row r="131" spans="1:4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row>
    <row r="132" spans="1:4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row>
    <row r="133" spans="1:4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row>
    <row r="134" spans="1:4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row>
    <row r="135" spans="1:4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row>
    <row r="136" spans="1:4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row>
    <row r="137" spans="1:4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row>
    <row r="138" spans="1:4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row>
    <row r="139" spans="1:4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row>
    <row r="140" spans="1:4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row>
    <row r="141" spans="1:4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row>
    <row r="142" spans="1:4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row>
    <row r="143" spans="1:4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row>
    <row r="144" spans="1:4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row>
    <row r="145" spans="1:4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row>
    <row r="146" spans="1:4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row>
    <row r="147" spans="1:4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row>
    <row r="148" spans="1:4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row>
    <row r="149" spans="1:4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row>
    <row r="150" spans="1:4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row>
    <row r="151" spans="1:4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row>
    <row r="152" spans="1:4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row>
    <row r="153" spans="1:4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row>
    <row r="154" spans="1:4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row>
    <row r="155" spans="1:4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row>
    <row r="156" spans="1:4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row>
    <row r="157" spans="1:4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row>
    <row r="158" spans="1:4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row>
    <row r="159" spans="1:4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row>
    <row r="160" spans="1:4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row>
    <row r="161" spans="1:4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row>
    <row r="162" spans="1:4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row>
    <row r="163" spans="1:4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row>
    <row r="164" spans="1:4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row>
    <row r="165" spans="1:4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row>
    <row r="166" spans="1:4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row>
    <row r="167" spans="1:4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row>
    <row r="168" spans="1:4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row>
    <row r="169" spans="1:4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row>
    <row r="170" spans="1:4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row>
    <row r="171" spans="1:4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row>
    <row r="172" spans="1:4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row>
    <row r="173" spans="1:4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row>
    <row r="174" spans="1:4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row>
    <row r="175" spans="1:4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row>
    <row r="176" spans="1:4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row>
    <row r="177" spans="1:4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row>
    <row r="178" spans="1:4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row>
    <row r="179" spans="1:4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row>
    <row r="180" spans="1:4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row>
    <row r="181" spans="1:4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row>
    <row r="182" spans="1:4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row>
    <row r="183" spans="1:4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row>
    <row r="184" spans="1:4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row>
    <row r="185" spans="1:4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row>
    <row r="186" spans="1:4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row>
    <row r="187" spans="1:4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row>
    <row r="188" spans="1:4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row>
    <row r="189" spans="1:4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row>
    <row r="190" spans="1:4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row>
    <row r="191" spans="1:4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row>
    <row r="192" spans="1:4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row>
    <row r="193" spans="1:4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row>
    <row r="194" spans="1:4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row>
    <row r="195" spans="1:4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row>
    <row r="196" spans="1:4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row>
    <row r="197" spans="1:4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row>
    <row r="198" spans="1:4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row>
    <row r="199" spans="1:4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row>
    <row r="200" spans="1:4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row>
    <row r="201" spans="1:4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row>
    <row r="202" spans="1:4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row>
    <row r="203" spans="1:4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row>
    <row r="204" spans="1:4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row>
    <row r="205" spans="1:4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row>
    <row r="206" spans="1:4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row>
    <row r="207" spans="1:4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row>
    <row r="208" spans="1:4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row>
    <row r="209" spans="1:4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row>
    <row r="210" spans="1:4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row>
    <row r="211" spans="1:4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row>
    <row r="212" spans="1:4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row>
    <row r="213" spans="1:4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row>
    <row r="214" spans="1:4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row>
    <row r="215" spans="1:4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row>
    <row r="216" spans="1:4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row>
    <row r="217" spans="1:4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row>
    <row r="218" spans="1:4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row>
    <row r="219" spans="1:4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row>
    <row r="220" spans="1:4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row>
    <row r="221" spans="1:4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row>
    <row r="222" spans="1:4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row>
    <row r="223" spans="1:4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row>
    <row r="224" spans="1:4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row>
    <row r="225" spans="1:4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row>
    <row r="226" spans="1:4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row>
    <row r="227" spans="1:4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row>
    <row r="228" spans="1:4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row>
    <row r="229" spans="1:4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row>
    <row r="230" spans="1:4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row>
    <row r="231" spans="1:4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row>
    <row r="232" spans="1:4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row>
    <row r="233" spans="1:4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row>
    <row r="234" spans="1:4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row>
    <row r="235" spans="1:4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row>
    <row r="236" spans="1:4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row>
    <row r="237" spans="1:4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row>
    <row r="238" spans="1:4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row>
    <row r="239" spans="1:4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row>
    <row r="240" spans="1:4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row>
    <row r="241" spans="1:4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row>
    <row r="242" spans="1:4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row>
    <row r="243" spans="1:4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row>
    <row r="244" spans="1:4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row>
    <row r="245" spans="1:4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row>
    <row r="246" spans="1:4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row>
    <row r="247" spans="1:4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row>
    <row r="248" spans="1:4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row>
    <row r="249" spans="1:4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row>
    <row r="250" spans="1:4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row>
    <row r="251" spans="1:4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row>
    <row r="252" spans="1:4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row>
    <row r="253" spans="1:4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row>
    <row r="254" spans="1:4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row>
    <row r="255" spans="1:4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row>
    <row r="256" spans="1:4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row>
    <row r="257" spans="1:4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row>
    <row r="258" spans="1:4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row>
    <row r="259" spans="1:4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row>
    <row r="260" spans="1:4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row>
    <row r="261" spans="1:4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row>
    <row r="262" spans="1:4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row>
    <row r="263" spans="1:4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row>
    <row r="264" spans="1:4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row>
    <row r="265" spans="1:4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row>
    <row r="266" spans="1:4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row>
    <row r="267" spans="1:4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row>
    <row r="268" spans="1:4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row>
    <row r="269" spans="1:4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row>
    <row r="270" spans="1:4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row>
    <row r="271" spans="1:4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row>
    <row r="272" spans="1:4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row>
    <row r="273" spans="1:4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row>
    <row r="274" spans="1:4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row>
    <row r="275" spans="1:4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row>
    <row r="276" spans="1:4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row>
    <row r="277" spans="1:4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row>
    <row r="278" spans="1:4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row>
    <row r="279" spans="1:4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row>
    <row r="280" spans="1:4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row>
    <row r="281" spans="1:4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row>
    <row r="282" spans="1:4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row>
    <row r="283" spans="1:4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row>
    <row r="284" spans="1:4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row>
    <row r="285" spans="1:4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row>
    <row r="286" spans="1:4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row>
    <row r="287" spans="1:4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row>
    <row r="288" spans="1:4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row>
    <row r="289" spans="1:4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row>
    <row r="290" spans="1:4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row>
    <row r="291" spans="1:4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row>
    <row r="292" spans="1:4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row>
    <row r="293" spans="1:4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row>
    <row r="294" spans="1:4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row>
    <row r="295" spans="1:4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row>
    <row r="296" spans="1:4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row>
    <row r="297" spans="1:4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row>
    <row r="298" spans="1:4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row>
    <row r="299" spans="1:4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row>
    <row r="300" spans="1:4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row>
    <row r="301" spans="1:4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row>
    <row r="302" spans="1:4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row>
    <row r="303" spans="1:4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row>
    <row r="304" spans="1:4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row>
    <row r="305" spans="1:4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row>
    <row r="306" spans="1:4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row>
    <row r="307" spans="1:4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row>
    <row r="308" spans="1:4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row>
    <row r="309" spans="1:4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row>
    <row r="310" spans="1:4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row>
    <row r="311" spans="1:4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row>
    <row r="312" spans="1:4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row>
    <row r="313" spans="1:4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row>
    <row r="314" spans="1:4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row>
    <row r="315" spans="1:4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row>
    <row r="316" spans="1:4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row>
    <row r="317" spans="1:4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row>
    <row r="318" spans="1:4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row>
    <row r="319" spans="1:4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row>
    <row r="320" spans="1:4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row>
    <row r="321" spans="1:4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row>
    <row r="322" spans="1:4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row>
    <row r="323" spans="1:4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row>
    <row r="324" spans="1:4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row>
    <row r="325" spans="1:4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row>
    <row r="326" spans="1:4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row>
    <row r="327" spans="1:4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row>
    <row r="328" spans="1:4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row>
    <row r="329" spans="1:4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row>
    <row r="330" spans="1:4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row>
    <row r="331" spans="1:4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row>
    <row r="332" spans="1:4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row>
    <row r="333" spans="1:4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row>
    <row r="334" spans="1:4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row>
    <row r="335" spans="1:4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row>
    <row r="336" spans="1:4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row>
    <row r="337" spans="1:4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row>
    <row r="338" spans="1:4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row>
    <row r="339" spans="1:4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row>
    <row r="340" spans="1:4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row>
    <row r="341" spans="1:4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row>
    <row r="342" spans="1:4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row>
    <row r="343" spans="1:4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row>
    <row r="344" spans="1:4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row>
    <row r="345" spans="1:4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row>
    <row r="346" spans="1:4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row>
    <row r="347" spans="1:4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row>
    <row r="348" spans="1:4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row>
    <row r="349" spans="1:4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row>
    <row r="350" spans="1:4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row>
    <row r="351" spans="1:4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row>
    <row r="352" spans="1:41" x14ac:dyDescent="0.2">
      <c r="B352" s="2"/>
      <c r="C352" s="2"/>
      <c r="D352" s="2"/>
      <c r="E352" s="2"/>
    </row>
    <row r="353" spans="2:5" x14ac:dyDescent="0.2">
      <c r="B353" s="2"/>
      <c r="C353" s="2"/>
      <c r="D353" s="2"/>
      <c r="E353" s="2"/>
    </row>
    <row r="354" spans="2:5" x14ac:dyDescent="0.2">
      <c r="B354" s="2"/>
      <c r="C354" s="2"/>
      <c r="D354" s="2"/>
      <c r="E354" s="2"/>
    </row>
    <row r="355" spans="2:5" x14ac:dyDescent="0.2">
      <c r="B355" s="2"/>
      <c r="C355" s="2"/>
      <c r="D355" s="2"/>
      <c r="E355" s="2"/>
    </row>
    <row r="356" spans="2:5" x14ac:dyDescent="0.2">
      <c r="B356" s="2"/>
      <c r="C356" s="2"/>
      <c r="D356" s="2"/>
      <c r="E356" s="2"/>
    </row>
    <row r="357" spans="2:5" x14ac:dyDescent="0.2">
      <c r="B357" s="2"/>
      <c r="C357" s="2"/>
      <c r="D357" s="2"/>
      <c r="E357" s="2"/>
    </row>
    <row r="358" spans="2:5" x14ac:dyDescent="0.2">
      <c r="B358" s="2"/>
      <c r="C358" s="2"/>
      <c r="D358" s="2"/>
      <c r="E358" s="2"/>
    </row>
    <row r="359" spans="2:5" x14ac:dyDescent="0.2">
      <c r="B359" s="2"/>
      <c r="C359" s="2"/>
      <c r="D359" s="2"/>
      <c r="E359" s="2"/>
    </row>
    <row r="360" spans="2:5" x14ac:dyDescent="0.2">
      <c r="B360" s="2"/>
      <c r="C360" s="2"/>
      <c r="D360" s="2"/>
      <c r="E360" s="2"/>
    </row>
    <row r="361" spans="2:5" x14ac:dyDescent="0.2">
      <c r="B361" s="2"/>
      <c r="C361" s="2"/>
      <c r="D361" s="2"/>
      <c r="E361" s="2"/>
    </row>
    <row r="362" spans="2:5" x14ac:dyDescent="0.2">
      <c r="B362" s="2"/>
      <c r="C362" s="2"/>
      <c r="D362" s="2"/>
      <c r="E362" s="2"/>
    </row>
    <row r="363" spans="2:5" x14ac:dyDescent="0.2">
      <c r="B363" s="2"/>
      <c r="C363" s="2"/>
      <c r="D363" s="2"/>
      <c r="E363" s="2"/>
    </row>
    <row r="364" spans="2:5" x14ac:dyDescent="0.2">
      <c r="B364" s="2"/>
      <c r="C364" s="2"/>
      <c r="D364" s="2"/>
      <c r="E364" s="2"/>
    </row>
    <row r="365" spans="2:5" x14ac:dyDescent="0.2">
      <c r="B365" s="2"/>
      <c r="C365" s="2"/>
      <c r="D365" s="2"/>
      <c r="E365" s="2"/>
    </row>
    <row r="366" spans="2:5" x14ac:dyDescent="0.2">
      <c r="B366" s="2"/>
      <c r="C366" s="2"/>
      <c r="D366" s="2"/>
      <c r="E366" s="2"/>
    </row>
  </sheetData>
  <sheetProtection algorithmName="SHA-512" hashValue="K6ieEnmvHzchaUGmdLzemtxGvQgbh2UYSj2SapHz4ohiJaG4hVO3dcIqCfRmpMs41g9v0fcaLx3GDPwlLbKNrQ==" saltValue="oVT+XjPNT5BaHDX+c+Gk8w==" spinCount="100000" sheet="1" objects="1" scenarios="1"/>
  <pageMargins left="0.70866141732283472" right="0.70866141732283472" top="0.74803149606299213" bottom="0.74803149606299213" header="0.31496062992125984" footer="0.31496062992125984"/>
  <pageSetup paperSize="9" scale="53" orientation="portrait" r:id="rId1"/>
  <headerFooter>
    <oddFooter>&amp;C_x000D_&amp;1#&amp;"Calibri"&amp;10&amp;K000000 AtkinsRéalis - Baseline / Référence</oddFooter>
  </headerFooter>
  <customProperties>
    <customPr name="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EBA6F-7DCE-4F1B-9460-358E553AF87C}">
  <sheetPr codeName="Sheet7">
    <tabColor rgb="FF382573"/>
  </sheetPr>
  <dimension ref="A1:B12"/>
  <sheetViews>
    <sheetView showRowColHeaders="0" zoomScale="80" zoomScaleNormal="80" workbookViewId="0">
      <selection activeCell="A7" sqref="A7"/>
    </sheetView>
  </sheetViews>
  <sheetFormatPr defaultColWidth="9.28515625" defaultRowHeight="12.75" x14ac:dyDescent="0.2"/>
  <cols>
    <col min="1" max="1" width="4.28515625" style="26" customWidth="1"/>
    <col min="2" max="2" width="187.42578125" style="26" customWidth="1"/>
    <col min="3" max="16384" width="9.28515625" style="26"/>
  </cols>
  <sheetData>
    <row r="1" spans="1:2" ht="16.5" thickBot="1" x14ac:dyDescent="0.25">
      <c r="A1" s="28"/>
      <c r="B1" s="29"/>
    </row>
    <row r="2" spans="1:2" ht="15.75" x14ac:dyDescent="0.2">
      <c r="A2" s="28"/>
      <c r="B2" s="78"/>
    </row>
    <row r="3" spans="1:2" ht="34.5" customHeight="1" x14ac:dyDescent="0.2">
      <c r="B3" s="79" t="s">
        <v>1</v>
      </c>
    </row>
    <row r="4" spans="1:2" ht="13.5" customHeight="1" x14ac:dyDescent="0.2">
      <c r="B4" s="80" t="str">
        <f ca="1">"© Salix Finance "&amp;YEAR(NOW())</f>
        <v>© Salix Finance 2026</v>
      </c>
    </row>
    <row r="5" spans="1:2" ht="13.5" customHeight="1" x14ac:dyDescent="0.2">
      <c r="B5" s="80"/>
    </row>
    <row r="6" spans="1:2" ht="21" customHeight="1" x14ac:dyDescent="0.2">
      <c r="B6" s="81" t="s">
        <v>2</v>
      </c>
    </row>
    <row r="7" spans="1:2" ht="51" customHeight="1" x14ac:dyDescent="0.2">
      <c r="B7" s="82" t="s">
        <v>3</v>
      </c>
    </row>
    <row r="8" spans="1:2" ht="21.75" customHeight="1" x14ac:dyDescent="0.2">
      <c r="B8" s="81" t="s">
        <v>4</v>
      </c>
    </row>
    <row r="9" spans="1:2" ht="59.1" customHeight="1" x14ac:dyDescent="0.2">
      <c r="B9" s="82" t="s">
        <v>5</v>
      </c>
    </row>
    <row r="10" spans="1:2" ht="23.65" customHeight="1" x14ac:dyDescent="0.2">
      <c r="B10" s="81" t="s">
        <v>6</v>
      </c>
    </row>
    <row r="11" spans="1:2" ht="97.15" customHeight="1" x14ac:dyDescent="0.2">
      <c r="B11" s="82" t="s">
        <v>7</v>
      </c>
    </row>
    <row r="12" spans="1:2" ht="16.5" thickBot="1" x14ac:dyDescent="0.25">
      <c r="A12" s="29"/>
      <c r="B12" s="83"/>
    </row>
  </sheetData>
  <sheetProtection algorithmName="SHA-512" hashValue="dnHEkylNPg21nWjHqwoWBVDcJatfW1ZSC8+N0nRVZyS9BPkOABf+Txh56tvf6NBOLreFwNN5RKGOtfX7qQFnhw==" saltValue="Pzf6CpGhIaBkoR74hUgapQ==" spinCount="100000" sheet="1" objects="1" scenarios="1"/>
  <pageMargins left="0.7" right="0.7" top="0.75" bottom="0.75" header="0.3" footer="0.3"/>
  <pageSetup paperSize="9" scale="84" orientation="portrait" r:id="rId1"/>
  <headerFooter>
    <oddFooter>&amp;C_x000D_&amp;1#&amp;"Calibri"&amp;10&amp;K000000 AtkinsRéalis - Baseline / Référence</oddFooter>
  </headerFooter>
  <colBreaks count="1" manualBreakCount="1">
    <brk id="2" max="13" man="1"/>
  </colBreaks>
  <customProperties>
    <customPr name="GU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382573"/>
    <pageSetUpPr fitToPage="1"/>
  </sheetPr>
  <dimension ref="A1:S105"/>
  <sheetViews>
    <sheetView showGridLines="0" showRowColHeaders="0" zoomScale="90" zoomScaleNormal="90" workbookViewId="0">
      <selection activeCell="H89" sqref="H89"/>
    </sheetView>
  </sheetViews>
  <sheetFormatPr defaultColWidth="9.28515625" defaultRowHeight="15.75" x14ac:dyDescent="0.25"/>
  <cols>
    <col min="1" max="1" width="4.42578125" style="13" customWidth="1"/>
    <col min="2" max="2" width="2.42578125" style="13" customWidth="1"/>
    <col min="3" max="16384" width="9.28515625" style="13"/>
  </cols>
  <sheetData>
    <row r="1" spans="1:18" ht="15" customHeight="1" thickBot="1" x14ac:dyDescent="0.3">
      <c r="A1" s="721"/>
      <c r="B1" s="721"/>
      <c r="C1" s="721"/>
      <c r="D1" s="721"/>
      <c r="E1" s="721"/>
      <c r="F1" s="721"/>
      <c r="G1" s="721"/>
      <c r="H1" s="721"/>
      <c r="I1" s="721"/>
      <c r="J1" s="721"/>
      <c r="K1" s="721"/>
      <c r="L1" s="721"/>
      <c r="M1" s="721"/>
      <c r="N1" s="721"/>
      <c r="O1" s="721"/>
      <c r="P1" s="721"/>
      <c r="Q1" s="721"/>
      <c r="R1" s="721"/>
    </row>
    <row r="2" spans="1:18" ht="15" customHeight="1" x14ac:dyDescent="0.25">
      <c r="A2" s="721"/>
      <c r="B2" s="901"/>
      <c r="C2" s="902"/>
      <c r="D2" s="902"/>
      <c r="E2" s="902"/>
      <c r="F2" s="902"/>
      <c r="G2" s="902"/>
      <c r="H2" s="902"/>
      <c r="I2" s="902"/>
      <c r="J2" s="902"/>
      <c r="K2" s="902"/>
      <c r="L2" s="902"/>
      <c r="M2" s="902"/>
      <c r="N2" s="902"/>
      <c r="O2" s="902"/>
      <c r="P2" s="902"/>
      <c r="Q2" s="902"/>
      <c r="R2" s="903"/>
    </row>
    <row r="3" spans="1:18" ht="24.75" x14ac:dyDescent="0.25">
      <c r="A3" s="721"/>
      <c r="B3" s="722"/>
      <c r="C3" s="909" t="s">
        <v>8</v>
      </c>
      <c r="D3" s="909"/>
      <c r="E3" s="909"/>
      <c r="F3" s="909"/>
      <c r="G3" s="909"/>
      <c r="H3" s="909"/>
      <c r="I3" s="909"/>
      <c r="J3" s="909"/>
      <c r="K3" s="909"/>
      <c r="L3" s="909"/>
      <c r="M3" s="909"/>
      <c r="N3" s="909"/>
      <c r="O3" s="909"/>
      <c r="P3" s="86"/>
      <c r="Q3" s="86"/>
      <c r="R3" s="87"/>
    </row>
    <row r="4" spans="1:18" ht="14.65" customHeight="1" x14ac:dyDescent="0.25">
      <c r="A4" s="14"/>
      <c r="B4" s="84"/>
      <c r="C4" s="88"/>
      <c r="D4" s="88"/>
      <c r="E4" s="88"/>
      <c r="F4" s="88"/>
      <c r="G4" s="89"/>
      <c r="H4" s="89"/>
      <c r="I4" s="89"/>
      <c r="J4" s="89"/>
      <c r="K4" s="89"/>
      <c r="L4" s="89"/>
      <c r="M4" s="89"/>
      <c r="N4" s="89"/>
      <c r="O4" s="89"/>
      <c r="P4" s="89"/>
      <c r="Q4" s="89"/>
      <c r="R4" s="87"/>
    </row>
    <row r="5" spans="1:18" ht="20.65" customHeight="1" x14ac:dyDescent="0.25">
      <c r="A5" s="721"/>
      <c r="B5" s="722"/>
      <c r="C5" s="95" t="s">
        <v>9</v>
      </c>
      <c r="D5" s="90"/>
      <c r="E5" s="90"/>
      <c r="F5" s="90"/>
      <c r="G5" s="90"/>
      <c r="H5" s="90"/>
      <c r="I5" s="90"/>
      <c r="J5" s="90"/>
      <c r="K5" s="90"/>
      <c r="L5" s="90"/>
      <c r="M5" s="89"/>
      <c r="N5" s="90"/>
      <c r="O5" s="90"/>
      <c r="P5" s="90"/>
      <c r="Q5" s="90"/>
      <c r="R5" s="87"/>
    </row>
    <row r="6" spans="1:18" ht="57" customHeight="1" x14ac:dyDescent="0.25">
      <c r="A6" s="15"/>
      <c r="B6" s="85"/>
      <c r="C6" s="879" t="s">
        <v>10</v>
      </c>
      <c r="D6" s="879"/>
      <c r="E6" s="879"/>
      <c r="F6" s="879"/>
      <c r="G6" s="879"/>
      <c r="H6" s="879"/>
      <c r="I6" s="879"/>
      <c r="J6" s="879"/>
      <c r="K6" s="879"/>
      <c r="L6" s="879"/>
      <c r="M6" s="879"/>
      <c r="N6" s="879"/>
      <c r="O6" s="879"/>
      <c r="P6" s="879"/>
      <c r="Q6" s="879"/>
      <c r="R6" s="883"/>
    </row>
    <row r="7" spans="1:18" ht="19.5" customHeight="1" x14ac:dyDescent="0.25">
      <c r="A7" s="15"/>
      <c r="B7" s="85"/>
      <c r="C7" s="907" t="s">
        <v>11</v>
      </c>
      <c r="D7" s="907"/>
      <c r="E7" s="907"/>
      <c r="F7" s="907"/>
      <c r="G7" s="907"/>
      <c r="H7" s="907"/>
      <c r="I7" s="907"/>
      <c r="J7" s="91"/>
      <c r="K7" s="907"/>
      <c r="L7" s="907"/>
      <c r="M7" s="907"/>
      <c r="N7" s="91"/>
      <c r="O7" s="907"/>
      <c r="P7" s="907"/>
      <c r="Q7" s="907"/>
      <c r="R7" s="92"/>
    </row>
    <row r="8" spans="1:18" ht="18.75" customHeight="1" x14ac:dyDescent="0.25">
      <c r="A8" s="15"/>
      <c r="B8" s="85"/>
      <c r="C8" s="905" t="s">
        <v>12</v>
      </c>
      <c r="D8" s="905"/>
      <c r="E8" s="905"/>
      <c r="F8" s="905"/>
      <c r="G8" s="905"/>
      <c r="H8" s="905"/>
      <c r="I8" s="905"/>
      <c r="J8" s="905"/>
      <c r="K8" s="905"/>
      <c r="L8" s="905"/>
      <c r="M8" s="905"/>
      <c r="N8" s="905"/>
      <c r="O8" s="905"/>
      <c r="P8" s="905"/>
      <c r="Q8" s="905"/>
      <c r="R8" s="906"/>
    </row>
    <row r="9" spans="1:18" ht="2.25" customHeight="1" x14ac:dyDescent="0.25">
      <c r="A9" s="15"/>
      <c r="B9" s="85"/>
      <c r="C9" s="904"/>
      <c r="D9" s="904"/>
      <c r="E9" s="904"/>
      <c r="F9" s="904"/>
      <c r="G9" s="904"/>
      <c r="H9" s="904"/>
      <c r="I9" s="904"/>
      <c r="J9" s="904"/>
      <c r="K9" s="904"/>
      <c r="L9" s="904"/>
      <c r="M9" s="91"/>
      <c r="N9" s="91"/>
      <c r="O9" s="91"/>
      <c r="P9" s="91"/>
      <c r="Q9" s="91"/>
      <c r="R9" s="92"/>
    </row>
    <row r="10" spans="1:18" ht="15.75" customHeight="1" x14ac:dyDescent="0.25">
      <c r="A10" s="721"/>
      <c r="B10" s="722"/>
      <c r="C10" s="860" t="s">
        <v>13</v>
      </c>
      <c r="D10" s="908"/>
      <c r="E10" s="908"/>
      <c r="F10" s="908"/>
      <c r="G10" s="908"/>
      <c r="H10" s="908"/>
      <c r="I10" s="908"/>
      <c r="J10" s="908"/>
      <c r="K10" s="908"/>
      <c r="L10" s="908"/>
      <c r="M10" s="908"/>
      <c r="N10" s="908"/>
      <c r="O10" s="908"/>
      <c r="P10" s="908"/>
      <c r="Q10" s="908"/>
      <c r="R10" s="94"/>
    </row>
    <row r="11" spans="1:18" ht="15.75" customHeight="1" x14ac:dyDescent="0.25">
      <c r="A11" s="721"/>
      <c r="B11" s="722"/>
      <c r="C11" s="908"/>
      <c r="D11" s="908"/>
      <c r="E11" s="908"/>
      <c r="F11" s="908"/>
      <c r="G11" s="908"/>
      <c r="H11" s="908"/>
      <c r="I11" s="908"/>
      <c r="J11" s="908"/>
      <c r="K11" s="908"/>
      <c r="L11" s="908"/>
      <c r="M11" s="908"/>
      <c r="N11" s="908"/>
      <c r="O11" s="908"/>
      <c r="P11" s="908"/>
      <c r="Q11" s="908"/>
      <c r="R11" s="94"/>
    </row>
    <row r="12" spans="1:18" x14ac:dyDescent="0.25">
      <c r="A12" s="721"/>
      <c r="B12" s="722"/>
      <c r="C12" s="93" t="s">
        <v>14</v>
      </c>
      <c r="D12" s="93"/>
      <c r="E12" s="93"/>
      <c r="F12" s="93"/>
      <c r="G12" s="93"/>
      <c r="H12" s="93"/>
      <c r="I12" s="93"/>
      <c r="J12" s="93"/>
      <c r="K12" s="93"/>
      <c r="L12" s="93"/>
      <c r="M12" s="93"/>
      <c r="N12" s="93"/>
      <c r="O12" s="93"/>
      <c r="P12" s="93"/>
      <c r="Q12" s="93"/>
      <c r="R12" s="94"/>
    </row>
    <row r="13" spans="1:18" x14ac:dyDescent="0.25">
      <c r="A13" s="721"/>
      <c r="B13" s="722"/>
      <c r="C13" s="93"/>
      <c r="D13" s="93"/>
      <c r="E13" s="93"/>
      <c r="F13" s="93"/>
      <c r="G13" s="93"/>
      <c r="H13" s="93"/>
      <c r="I13" s="93"/>
      <c r="J13" s="93"/>
      <c r="K13" s="93"/>
      <c r="L13" s="93"/>
      <c r="M13" s="93"/>
      <c r="N13" s="93"/>
      <c r="O13" s="93"/>
      <c r="P13" s="93"/>
      <c r="Q13" s="93"/>
      <c r="R13" s="94"/>
    </row>
    <row r="14" spans="1:18" ht="28.15" customHeight="1" x14ac:dyDescent="0.25">
      <c r="A14" s="721"/>
      <c r="B14" s="722"/>
      <c r="C14" s="93"/>
      <c r="D14" s="93"/>
      <c r="E14" s="93"/>
      <c r="F14" s="93"/>
      <c r="G14" s="93"/>
      <c r="H14" s="93"/>
      <c r="I14" s="93"/>
      <c r="J14" s="93"/>
      <c r="K14" s="93"/>
      <c r="L14" s="93"/>
      <c r="M14" s="93"/>
      <c r="N14" s="93"/>
      <c r="O14" s="93"/>
      <c r="P14" s="93"/>
      <c r="Q14" s="93"/>
      <c r="R14" s="94"/>
    </row>
    <row r="15" spans="1:18" ht="24" customHeight="1" x14ac:dyDescent="0.25">
      <c r="A15" s="721"/>
      <c r="B15" s="722"/>
      <c r="C15" s="93"/>
      <c r="D15" s="93"/>
      <c r="E15" s="93"/>
      <c r="F15" s="93"/>
      <c r="G15" s="93"/>
      <c r="H15" s="93"/>
      <c r="I15" s="93"/>
      <c r="J15" s="93"/>
      <c r="K15" s="93"/>
      <c r="L15" s="93"/>
      <c r="M15" s="93"/>
      <c r="N15" s="93"/>
      <c r="O15" s="93"/>
      <c r="P15" s="93"/>
      <c r="Q15" s="93"/>
      <c r="R15" s="94"/>
    </row>
    <row r="16" spans="1:18" ht="8.25" customHeight="1" x14ac:dyDescent="0.25">
      <c r="A16" s="721"/>
      <c r="B16" s="722"/>
      <c r="C16" s="93"/>
      <c r="D16" s="93"/>
      <c r="E16" s="93"/>
      <c r="F16" s="93"/>
      <c r="G16" s="93"/>
      <c r="H16" s="93"/>
      <c r="I16" s="93"/>
      <c r="J16" s="93"/>
      <c r="K16" s="93"/>
      <c r="L16" s="93"/>
      <c r="M16" s="93"/>
      <c r="N16" s="93"/>
      <c r="O16" s="93"/>
      <c r="P16" s="93"/>
      <c r="Q16" s="93"/>
      <c r="R16" s="94"/>
    </row>
    <row r="17" spans="2:19" x14ac:dyDescent="0.25">
      <c r="B17" s="722"/>
      <c r="C17" s="879" t="s">
        <v>15</v>
      </c>
      <c r="D17" s="879"/>
      <c r="E17" s="879"/>
      <c r="F17" s="879"/>
      <c r="G17" s="879"/>
      <c r="H17" s="879"/>
      <c r="I17" s="879"/>
      <c r="J17" s="879"/>
      <c r="K17" s="879"/>
      <c r="L17" s="879"/>
      <c r="M17" s="879"/>
      <c r="N17" s="879"/>
      <c r="O17" s="879"/>
      <c r="P17" s="879"/>
      <c r="Q17" s="879"/>
      <c r="R17" s="883"/>
      <c r="S17" s="721"/>
    </row>
    <row r="18" spans="2:19" x14ac:dyDescent="0.25">
      <c r="B18" s="722"/>
      <c r="C18" s="879"/>
      <c r="D18" s="879"/>
      <c r="E18" s="879"/>
      <c r="F18" s="879"/>
      <c r="G18" s="879"/>
      <c r="H18" s="879"/>
      <c r="I18" s="879"/>
      <c r="J18" s="879"/>
      <c r="K18" s="879"/>
      <c r="L18" s="879"/>
      <c r="M18" s="879"/>
      <c r="N18" s="879"/>
      <c r="O18" s="879"/>
      <c r="P18" s="879"/>
      <c r="Q18" s="879"/>
      <c r="R18" s="883"/>
      <c r="S18" s="721"/>
    </row>
    <row r="19" spans="2:19" ht="29.65" customHeight="1" x14ac:dyDescent="0.25">
      <c r="B19" s="722"/>
      <c r="C19" s="93"/>
      <c r="D19" s="93"/>
      <c r="E19" s="93"/>
      <c r="F19" s="93"/>
      <c r="G19" s="93"/>
      <c r="H19" s="93"/>
      <c r="I19" s="93"/>
      <c r="J19" s="93"/>
      <c r="K19" s="93"/>
      <c r="L19" s="93"/>
      <c r="M19" s="93"/>
      <c r="N19" s="93"/>
      <c r="O19" s="93"/>
      <c r="P19" s="93"/>
      <c r="Q19" s="93"/>
      <c r="R19" s="94"/>
      <c r="S19" s="721"/>
    </row>
    <row r="20" spans="2:19" ht="28.5" customHeight="1" x14ac:dyDescent="0.25">
      <c r="B20" s="722"/>
      <c r="C20" s="93"/>
      <c r="D20" s="93"/>
      <c r="E20" s="93"/>
      <c r="F20" s="93"/>
      <c r="G20" s="93"/>
      <c r="H20" s="93"/>
      <c r="I20" s="93"/>
      <c r="J20" s="93"/>
      <c r="K20" s="93"/>
      <c r="L20" s="93"/>
      <c r="M20" s="93"/>
      <c r="N20" s="93"/>
      <c r="O20" s="93"/>
      <c r="P20" s="93"/>
      <c r="Q20" s="93"/>
      <c r="R20" s="94"/>
      <c r="S20" s="721"/>
    </row>
    <row r="21" spans="2:19" x14ac:dyDescent="0.25">
      <c r="B21" s="722"/>
      <c r="C21" s="93"/>
      <c r="D21" s="93"/>
      <c r="E21" s="93"/>
      <c r="F21" s="93"/>
      <c r="G21" s="93"/>
      <c r="H21" s="93"/>
      <c r="I21" s="93"/>
      <c r="J21" s="93"/>
      <c r="K21" s="93"/>
      <c r="L21" s="93"/>
      <c r="M21" s="93"/>
      <c r="N21" s="93"/>
      <c r="O21" s="93"/>
      <c r="P21" s="93"/>
      <c r="Q21" s="93"/>
      <c r="R21" s="94"/>
      <c r="S21" s="721"/>
    </row>
    <row r="22" spans="2:19" x14ac:dyDescent="0.25">
      <c r="B22" s="722"/>
      <c r="C22" s="93"/>
      <c r="D22" s="93"/>
      <c r="E22" s="93"/>
      <c r="F22" s="93"/>
      <c r="G22" s="93"/>
      <c r="H22" s="93"/>
      <c r="I22" s="93"/>
      <c r="J22" s="93"/>
      <c r="K22" s="93"/>
      <c r="L22" s="93"/>
      <c r="M22" s="93"/>
      <c r="N22" s="93"/>
      <c r="O22" s="93"/>
      <c r="P22" s="93"/>
      <c r="Q22" s="93"/>
      <c r="R22" s="94"/>
      <c r="S22" s="721"/>
    </row>
    <row r="23" spans="2:19" x14ac:dyDescent="0.25">
      <c r="B23" s="722"/>
      <c r="C23" s="93" t="s">
        <v>16</v>
      </c>
      <c r="D23" s="93"/>
      <c r="E23" s="93"/>
      <c r="F23" s="93"/>
      <c r="G23" s="93"/>
      <c r="H23" s="93"/>
      <c r="I23" s="93"/>
      <c r="J23" s="93"/>
      <c r="K23" s="93"/>
      <c r="L23" s="93"/>
      <c r="M23" s="93"/>
      <c r="N23" s="93"/>
      <c r="O23" s="93"/>
      <c r="P23" s="93"/>
      <c r="Q23" s="93"/>
      <c r="R23" s="94"/>
      <c r="S23" s="721"/>
    </row>
    <row r="24" spans="2:19" ht="28.5" customHeight="1" x14ac:dyDescent="0.25">
      <c r="B24" s="722"/>
      <c r="C24" s="93"/>
      <c r="D24" s="93"/>
      <c r="E24" s="93"/>
      <c r="F24" s="93"/>
      <c r="G24" s="93"/>
      <c r="H24" s="93"/>
      <c r="I24" s="93"/>
      <c r="J24" s="93"/>
      <c r="K24" s="93"/>
      <c r="L24" s="93"/>
      <c r="M24" s="93"/>
      <c r="N24" s="93"/>
      <c r="O24" s="93"/>
      <c r="P24" s="93"/>
      <c r="Q24" s="93"/>
      <c r="R24" s="94"/>
      <c r="S24" s="721"/>
    </row>
    <row r="25" spans="2:19" x14ac:dyDescent="0.25">
      <c r="B25" s="722"/>
      <c r="C25" s="93"/>
      <c r="D25" s="93"/>
      <c r="E25" s="93"/>
      <c r="F25" s="93"/>
      <c r="G25" s="93"/>
      <c r="H25" s="93"/>
      <c r="I25" s="93"/>
      <c r="J25" s="93"/>
      <c r="K25" s="93"/>
      <c r="L25" s="93"/>
      <c r="M25" s="93"/>
      <c r="N25" s="93"/>
      <c r="O25" s="93"/>
      <c r="P25" s="93"/>
      <c r="Q25" s="93"/>
      <c r="R25" s="94"/>
      <c r="S25" s="721"/>
    </row>
    <row r="26" spans="2:19" x14ac:dyDescent="0.25">
      <c r="B26" s="722"/>
      <c r="C26" s="93"/>
      <c r="D26" s="93"/>
      <c r="E26" s="93"/>
      <c r="F26" s="93"/>
      <c r="G26" s="93"/>
      <c r="H26" s="93"/>
      <c r="I26" s="93"/>
      <c r="J26" s="93"/>
      <c r="K26" s="93"/>
      <c r="L26" s="93"/>
      <c r="M26" s="93"/>
      <c r="N26" s="93"/>
      <c r="O26" s="93"/>
      <c r="P26" s="93"/>
      <c r="Q26" s="93"/>
      <c r="R26" s="94"/>
      <c r="S26" s="721"/>
    </row>
    <row r="27" spans="2:19" x14ac:dyDescent="0.25">
      <c r="B27" s="722"/>
      <c r="C27" s="93"/>
      <c r="D27" s="93"/>
      <c r="E27" s="93"/>
      <c r="F27" s="93"/>
      <c r="G27" s="93"/>
      <c r="H27" s="93"/>
      <c r="I27" s="93"/>
      <c r="J27" s="93"/>
      <c r="K27" s="93"/>
      <c r="L27" s="93"/>
      <c r="M27" s="93"/>
      <c r="N27" s="93"/>
      <c r="O27" s="93"/>
      <c r="P27" s="93"/>
      <c r="Q27" s="93"/>
      <c r="R27" s="94"/>
      <c r="S27" s="721"/>
    </row>
    <row r="28" spans="2:19" x14ac:dyDescent="0.25">
      <c r="B28" s="722"/>
      <c r="C28" s="93"/>
      <c r="D28" s="93"/>
      <c r="E28" s="93"/>
      <c r="F28" s="93"/>
      <c r="G28" s="93"/>
      <c r="H28" s="93"/>
      <c r="I28" s="93"/>
      <c r="J28" s="93"/>
      <c r="K28" s="93"/>
      <c r="L28" s="93"/>
      <c r="M28" s="93"/>
      <c r="N28" s="93"/>
      <c r="O28" s="93"/>
      <c r="P28" s="93"/>
      <c r="Q28" s="93"/>
      <c r="R28" s="94"/>
      <c r="S28" s="721"/>
    </row>
    <row r="29" spans="2:19" ht="19.5" customHeight="1" x14ac:dyDescent="0.25">
      <c r="B29" s="722"/>
      <c r="C29" s="879" t="s">
        <v>17</v>
      </c>
      <c r="D29" s="879"/>
      <c r="E29" s="879"/>
      <c r="F29" s="879"/>
      <c r="G29" s="879"/>
      <c r="H29" s="879"/>
      <c r="I29" s="879"/>
      <c r="J29" s="879"/>
      <c r="K29" s="879"/>
      <c r="L29" s="879"/>
      <c r="M29" s="879"/>
      <c r="N29" s="879"/>
      <c r="O29" s="879"/>
      <c r="P29" s="879"/>
      <c r="Q29" s="879"/>
      <c r="R29" s="883"/>
      <c r="S29" s="723"/>
    </row>
    <row r="30" spans="2:19" x14ac:dyDescent="0.25">
      <c r="B30" s="722"/>
      <c r="C30" s="879"/>
      <c r="D30" s="879"/>
      <c r="E30" s="879"/>
      <c r="F30" s="879"/>
      <c r="G30" s="879"/>
      <c r="H30" s="879"/>
      <c r="I30" s="879"/>
      <c r="J30" s="879"/>
      <c r="K30" s="879"/>
      <c r="L30" s="879"/>
      <c r="M30" s="879"/>
      <c r="N30" s="879"/>
      <c r="O30" s="879"/>
      <c r="P30" s="879"/>
      <c r="Q30" s="879"/>
      <c r="R30" s="883"/>
      <c r="S30" s="723"/>
    </row>
    <row r="31" spans="2:19" x14ac:dyDescent="0.25">
      <c r="B31" s="722"/>
      <c r="C31" s="91"/>
      <c r="D31" s="91"/>
      <c r="E31" s="91"/>
      <c r="F31" s="91"/>
      <c r="G31" s="91"/>
      <c r="H31" s="91"/>
      <c r="I31" s="91"/>
      <c r="J31" s="91"/>
      <c r="K31" s="91"/>
      <c r="L31" s="91"/>
      <c r="M31" s="91"/>
      <c r="N31" s="91"/>
      <c r="O31" s="91"/>
      <c r="P31" s="91"/>
      <c r="Q31" s="91"/>
      <c r="R31" s="92"/>
      <c r="S31" s="723"/>
    </row>
    <row r="32" spans="2:19" x14ac:dyDescent="0.25">
      <c r="B32" s="722"/>
      <c r="C32" s="93"/>
      <c r="D32" s="93"/>
      <c r="E32" s="93"/>
      <c r="F32" s="93"/>
      <c r="G32" s="93"/>
      <c r="H32" s="93"/>
      <c r="I32" s="93"/>
      <c r="J32" s="93"/>
      <c r="K32" s="93"/>
      <c r="L32" s="93"/>
      <c r="M32" s="93"/>
      <c r="N32" s="93"/>
      <c r="O32" s="93"/>
      <c r="P32" s="93"/>
      <c r="Q32" s="93"/>
      <c r="R32" s="94"/>
      <c r="S32" s="721"/>
    </row>
    <row r="33" spans="2:18" x14ac:dyDescent="0.25">
      <c r="B33" s="722"/>
      <c r="C33" s="93"/>
      <c r="D33" s="93"/>
      <c r="E33" s="93"/>
      <c r="F33" s="93"/>
      <c r="G33" s="93"/>
      <c r="H33" s="93"/>
      <c r="I33" s="93"/>
      <c r="J33" s="93"/>
      <c r="K33" s="93"/>
      <c r="L33" s="93"/>
      <c r="M33" s="93"/>
      <c r="N33" s="93"/>
      <c r="O33" s="93"/>
      <c r="P33" s="93"/>
      <c r="Q33" s="93"/>
      <c r="R33" s="94"/>
    </row>
    <row r="34" spans="2:18" x14ac:dyDescent="0.25">
      <c r="B34" s="722"/>
      <c r="C34" s="93"/>
      <c r="D34" s="93"/>
      <c r="E34" s="93"/>
      <c r="F34" s="93"/>
      <c r="G34" s="93"/>
      <c r="H34" s="93"/>
      <c r="I34" s="93"/>
      <c r="J34" s="93"/>
      <c r="K34" s="93"/>
      <c r="L34" s="93"/>
      <c r="M34" s="93"/>
      <c r="N34" s="93"/>
      <c r="O34" s="93"/>
      <c r="P34" s="93"/>
      <c r="Q34" s="93"/>
      <c r="R34" s="94"/>
    </row>
    <row r="35" spans="2:18" x14ac:dyDescent="0.25">
      <c r="B35" s="722"/>
      <c r="C35" s="93"/>
      <c r="D35" s="93"/>
      <c r="E35" s="93"/>
      <c r="F35" s="93"/>
      <c r="G35" s="93"/>
      <c r="H35" s="93"/>
      <c r="I35" s="93"/>
      <c r="J35" s="93"/>
      <c r="K35" s="93"/>
      <c r="L35" s="93"/>
      <c r="M35" s="93"/>
      <c r="N35" s="93"/>
      <c r="O35" s="93"/>
      <c r="P35" s="93"/>
      <c r="Q35" s="93"/>
      <c r="R35" s="94"/>
    </row>
    <row r="36" spans="2:18" x14ac:dyDescent="0.25">
      <c r="B36" s="722"/>
      <c r="C36" s="879" t="s">
        <v>18</v>
      </c>
      <c r="D36" s="879"/>
      <c r="E36" s="879"/>
      <c r="F36" s="879"/>
      <c r="G36" s="879"/>
      <c r="H36" s="879"/>
      <c r="I36" s="879"/>
      <c r="J36" s="879"/>
      <c r="K36" s="879"/>
      <c r="L36" s="879"/>
      <c r="M36" s="879"/>
      <c r="N36" s="879"/>
      <c r="O36" s="879"/>
      <c r="P36" s="879"/>
      <c r="Q36" s="879"/>
      <c r="R36" s="883"/>
    </row>
    <row r="37" spans="2:18" x14ac:dyDescent="0.25">
      <c r="B37" s="722"/>
      <c r="C37" s="879"/>
      <c r="D37" s="879"/>
      <c r="E37" s="879"/>
      <c r="F37" s="879"/>
      <c r="G37" s="879"/>
      <c r="H37" s="879"/>
      <c r="I37" s="879"/>
      <c r="J37" s="879"/>
      <c r="K37" s="879"/>
      <c r="L37" s="879"/>
      <c r="M37" s="879"/>
      <c r="N37" s="879"/>
      <c r="O37" s="879"/>
      <c r="P37" s="879"/>
      <c r="Q37" s="879"/>
      <c r="R37" s="883"/>
    </row>
    <row r="38" spans="2:18" x14ac:dyDescent="0.25">
      <c r="B38" s="722"/>
      <c r="C38" s="724"/>
      <c r="D38" s="724"/>
      <c r="E38" s="724"/>
      <c r="F38" s="724"/>
      <c r="G38" s="724"/>
      <c r="H38" s="724"/>
      <c r="I38" s="724"/>
      <c r="J38" s="724"/>
      <c r="K38" s="724"/>
      <c r="L38" s="724"/>
      <c r="M38" s="724"/>
      <c r="N38" s="724"/>
      <c r="O38" s="724"/>
      <c r="P38" s="724"/>
      <c r="Q38" s="724"/>
      <c r="R38" s="725"/>
    </row>
    <row r="39" spans="2:18" x14ac:dyDescent="0.25">
      <c r="B39" s="722"/>
      <c r="C39" s="726"/>
      <c r="D39" s="726"/>
      <c r="E39" s="726"/>
      <c r="F39" s="726"/>
      <c r="G39" s="726"/>
      <c r="H39" s="726"/>
      <c r="I39" s="726"/>
      <c r="J39" s="726"/>
      <c r="K39" s="726"/>
      <c r="L39" s="726"/>
      <c r="M39" s="726"/>
      <c r="N39" s="726"/>
      <c r="O39" s="726"/>
      <c r="P39" s="726"/>
      <c r="Q39" s="726"/>
      <c r="R39" s="727"/>
    </row>
    <row r="40" spans="2:18" x14ac:dyDescent="0.25">
      <c r="B40" s="722"/>
      <c r="C40" s="726"/>
      <c r="D40" s="726"/>
      <c r="E40" s="726"/>
      <c r="F40" s="726"/>
      <c r="G40" s="726"/>
      <c r="H40" s="726"/>
      <c r="I40" s="726"/>
      <c r="J40" s="726"/>
      <c r="K40" s="726"/>
      <c r="L40" s="726"/>
      <c r="M40" s="726"/>
      <c r="N40" s="726"/>
      <c r="O40" s="726"/>
      <c r="P40" s="726"/>
      <c r="Q40" s="726"/>
      <c r="R40" s="727"/>
    </row>
    <row r="41" spans="2:18" x14ac:dyDescent="0.25">
      <c r="B41" s="722"/>
      <c r="C41" s="726"/>
      <c r="D41" s="726"/>
      <c r="E41" s="726"/>
      <c r="F41" s="726"/>
      <c r="G41" s="726"/>
      <c r="H41" s="726"/>
      <c r="I41" s="726"/>
      <c r="J41" s="726"/>
      <c r="K41" s="726"/>
      <c r="L41" s="726"/>
      <c r="M41" s="726"/>
      <c r="N41" s="726"/>
      <c r="O41" s="726"/>
      <c r="P41" s="726"/>
      <c r="Q41" s="726"/>
      <c r="R41" s="727"/>
    </row>
    <row r="42" spans="2:18" x14ac:dyDescent="0.25">
      <c r="B42" s="722"/>
      <c r="C42" s="726"/>
      <c r="D42" s="726"/>
      <c r="E42" s="726"/>
      <c r="F42" s="726"/>
      <c r="G42" s="726"/>
      <c r="H42" s="726"/>
      <c r="I42" s="726"/>
      <c r="J42" s="726"/>
      <c r="K42" s="726"/>
      <c r="L42" s="726"/>
      <c r="M42" s="726"/>
      <c r="N42" s="726"/>
      <c r="O42" s="726"/>
      <c r="P42" s="726"/>
      <c r="Q42" s="726"/>
      <c r="R42" s="727"/>
    </row>
    <row r="43" spans="2:18" x14ac:dyDescent="0.25">
      <c r="B43" s="722"/>
      <c r="C43" s="879" t="s">
        <v>19</v>
      </c>
      <c r="D43" s="879"/>
      <c r="E43" s="879"/>
      <c r="F43" s="879"/>
      <c r="G43" s="879"/>
      <c r="H43" s="879"/>
      <c r="I43" s="879"/>
      <c r="J43" s="879"/>
      <c r="K43" s="879"/>
      <c r="L43" s="879"/>
      <c r="M43" s="879"/>
      <c r="N43" s="879"/>
      <c r="O43" s="879"/>
      <c r="P43" s="879"/>
      <c r="Q43" s="879"/>
      <c r="R43" s="883"/>
    </row>
    <row r="44" spans="2:18" x14ac:dyDescent="0.25">
      <c r="B44" s="722"/>
      <c r="C44" s="879"/>
      <c r="D44" s="879"/>
      <c r="E44" s="879"/>
      <c r="F44" s="879"/>
      <c r="G44" s="879"/>
      <c r="H44" s="879"/>
      <c r="I44" s="879"/>
      <c r="J44" s="879"/>
      <c r="K44" s="879"/>
      <c r="L44" s="879"/>
      <c r="M44" s="879"/>
      <c r="N44" s="879"/>
      <c r="O44" s="879"/>
      <c r="P44" s="879"/>
      <c r="Q44" s="879"/>
      <c r="R44" s="883"/>
    </row>
    <row r="45" spans="2:18" x14ac:dyDescent="0.25">
      <c r="B45" s="722"/>
      <c r="C45" s="726"/>
      <c r="D45" s="726"/>
      <c r="E45" s="726"/>
      <c r="F45" s="726"/>
      <c r="G45" s="726"/>
      <c r="H45" s="726"/>
      <c r="I45" s="726"/>
      <c r="J45" s="726"/>
      <c r="K45" s="726"/>
      <c r="L45" s="726"/>
      <c r="M45" s="726"/>
      <c r="N45" s="726"/>
      <c r="O45" s="726"/>
      <c r="P45" s="726"/>
      <c r="Q45" s="726"/>
      <c r="R45" s="727"/>
    </row>
    <row r="46" spans="2:18" x14ac:dyDescent="0.25">
      <c r="B46" s="722"/>
      <c r="C46" s="726"/>
      <c r="D46" s="726"/>
      <c r="E46" s="726"/>
      <c r="F46" s="726"/>
      <c r="G46" s="726"/>
      <c r="H46" s="726"/>
      <c r="I46" s="726"/>
      <c r="J46" s="726"/>
      <c r="K46" s="726"/>
      <c r="L46" s="726"/>
      <c r="M46" s="726"/>
      <c r="N46" s="726"/>
      <c r="O46" s="726"/>
      <c r="P46" s="726"/>
      <c r="Q46" s="726"/>
      <c r="R46" s="727"/>
    </row>
    <row r="47" spans="2:18" ht="19.5" customHeight="1" x14ac:dyDescent="0.25">
      <c r="B47" s="722"/>
      <c r="C47" s="726"/>
      <c r="D47" s="726"/>
      <c r="E47" s="726"/>
      <c r="F47" s="726"/>
      <c r="G47" s="726"/>
      <c r="H47" s="726"/>
      <c r="I47" s="726"/>
      <c r="J47" s="726"/>
      <c r="K47" s="726"/>
      <c r="L47" s="726"/>
      <c r="M47" s="726"/>
      <c r="N47" s="726"/>
      <c r="O47" s="726"/>
      <c r="P47" s="726"/>
      <c r="Q47" s="726"/>
      <c r="R47" s="727"/>
    </row>
    <row r="48" spans="2:18" ht="21.6" customHeight="1" thickBot="1" x14ac:dyDescent="0.3">
      <c r="B48" s="722"/>
      <c r="C48" s="726"/>
      <c r="D48" s="726"/>
      <c r="E48" s="726"/>
      <c r="F48" s="726"/>
      <c r="G48" s="726"/>
      <c r="H48" s="726"/>
      <c r="I48" s="726"/>
      <c r="J48" s="726"/>
      <c r="K48" s="726"/>
      <c r="L48" s="726"/>
      <c r="M48" s="726"/>
      <c r="N48" s="726"/>
      <c r="O48" s="726"/>
      <c r="P48" s="726"/>
      <c r="Q48" s="726"/>
      <c r="R48" s="727"/>
    </row>
    <row r="49" spans="2:18" ht="16.5" thickBot="1" x14ac:dyDescent="0.3">
      <c r="B49" s="880"/>
      <c r="C49" s="881"/>
      <c r="D49" s="881"/>
      <c r="E49" s="881"/>
      <c r="F49" s="881"/>
      <c r="G49" s="881"/>
      <c r="H49" s="881"/>
      <c r="I49" s="881"/>
      <c r="J49" s="881"/>
      <c r="K49" s="881"/>
      <c r="L49" s="881"/>
      <c r="M49" s="881"/>
      <c r="N49" s="881"/>
      <c r="O49" s="881"/>
      <c r="P49" s="881"/>
      <c r="Q49" s="881"/>
      <c r="R49" s="882"/>
    </row>
    <row r="51" spans="2:18" ht="16.5" thickBot="1" x14ac:dyDescent="0.3">
      <c r="B51" s="721"/>
      <c r="C51" s="721"/>
      <c r="D51" s="721"/>
      <c r="E51" s="721"/>
      <c r="F51" s="721"/>
      <c r="G51" s="721"/>
      <c r="H51" s="721"/>
      <c r="I51" s="721"/>
      <c r="J51" s="721"/>
      <c r="K51" s="721"/>
      <c r="L51" s="721"/>
      <c r="M51" s="721"/>
      <c r="N51" s="721"/>
      <c r="O51" s="721"/>
      <c r="P51" s="721"/>
      <c r="Q51" s="721"/>
      <c r="R51" s="721"/>
    </row>
    <row r="52" spans="2:18" ht="15.75" customHeight="1" x14ac:dyDescent="0.25">
      <c r="B52" s="884" t="s">
        <v>20</v>
      </c>
      <c r="C52" s="885"/>
      <c r="D52" s="885"/>
      <c r="E52" s="885"/>
      <c r="F52" s="885"/>
      <c r="G52" s="885"/>
      <c r="H52" s="885"/>
      <c r="I52" s="885"/>
      <c r="J52" s="885"/>
      <c r="K52" s="885"/>
      <c r="L52" s="885"/>
      <c r="M52" s="885"/>
      <c r="N52" s="885"/>
      <c r="O52" s="885"/>
      <c r="P52" s="885"/>
      <c r="Q52" s="885"/>
      <c r="R52" s="886"/>
    </row>
    <row r="53" spans="2:18" x14ac:dyDescent="0.25">
      <c r="B53" s="887"/>
      <c r="C53" s="888"/>
      <c r="D53" s="888"/>
      <c r="E53" s="888"/>
      <c r="F53" s="888"/>
      <c r="G53" s="888"/>
      <c r="H53" s="888"/>
      <c r="I53" s="888"/>
      <c r="J53" s="888"/>
      <c r="K53" s="888"/>
      <c r="L53" s="888"/>
      <c r="M53" s="888"/>
      <c r="N53" s="888"/>
      <c r="O53" s="888"/>
      <c r="P53" s="888"/>
      <c r="Q53" s="888"/>
      <c r="R53" s="889"/>
    </row>
    <row r="54" spans="2:18" x14ac:dyDescent="0.25">
      <c r="B54" s="887"/>
      <c r="C54" s="888"/>
      <c r="D54" s="888"/>
      <c r="E54" s="888"/>
      <c r="F54" s="888"/>
      <c r="G54" s="888"/>
      <c r="H54" s="888"/>
      <c r="I54" s="888"/>
      <c r="J54" s="888"/>
      <c r="K54" s="888"/>
      <c r="L54" s="888"/>
      <c r="M54" s="888"/>
      <c r="N54" s="888"/>
      <c r="O54" s="888"/>
      <c r="P54" s="888"/>
      <c r="Q54" s="888"/>
      <c r="R54" s="889"/>
    </row>
    <row r="55" spans="2:18" x14ac:dyDescent="0.25">
      <c r="B55" s="887"/>
      <c r="C55" s="888"/>
      <c r="D55" s="888"/>
      <c r="E55" s="888"/>
      <c r="F55" s="888"/>
      <c r="G55" s="888"/>
      <c r="H55" s="888"/>
      <c r="I55" s="888"/>
      <c r="J55" s="888"/>
      <c r="K55" s="888"/>
      <c r="L55" s="888"/>
      <c r="M55" s="888"/>
      <c r="N55" s="888"/>
      <c r="O55" s="888"/>
      <c r="P55" s="888"/>
      <c r="Q55" s="888"/>
      <c r="R55" s="889"/>
    </row>
    <row r="56" spans="2:18" x14ac:dyDescent="0.25">
      <c r="B56" s="887"/>
      <c r="C56" s="888"/>
      <c r="D56" s="888"/>
      <c r="E56" s="888"/>
      <c r="F56" s="888"/>
      <c r="G56" s="888"/>
      <c r="H56" s="888"/>
      <c r="I56" s="888"/>
      <c r="J56" s="888"/>
      <c r="K56" s="888"/>
      <c r="L56" s="888"/>
      <c r="M56" s="888"/>
      <c r="N56" s="888"/>
      <c r="O56" s="888"/>
      <c r="P56" s="888"/>
      <c r="Q56" s="888"/>
      <c r="R56" s="889"/>
    </row>
    <row r="57" spans="2:18" x14ac:dyDescent="0.25">
      <c r="B57" s="887"/>
      <c r="C57" s="888"/>
      <c r="D57" s="888"/>
      <c r="E57" s="888"/>
      <c r="F57" s="888"/>
      <c r="G57" s="888"/>
      <c r="H57" s="888"/>
      <c r="I57" s="888"/>
      <c r="J57" s="888"/>
      <c r="K57" s="888"/>
      <c r="L57" s="888"/>
      <c r="M57" s="888"/>
      <c r="N57" s="888"/>
      <c r="O57" s="888"/>
      <c r="P57" s="888"/>
      <c r="Q57" s="888"/>
      <c r="R57" s="889"/>
    </row>
    <row r="58" spans="2:18" x14ac:dyDescent="0.25">
      <c r="B58" s="887"/>
      <c r="C58" s="888"/>
      <c r="D58" s="888"/>
      <c r="E58" s="888"/>
      <c r="F58" s="888"/>
      <c r="G58" s="888"/>
      <c r="H58" s="888"/>
      <c r="I58" s="888"/>
      <c r="J58" s="888"/>
      <c r="K58" s="888"/>
      <c r="L58" s="888"/>
      <c r="M58" s="888"/>
      <c r="N58" s="888"/>
      <c r="O58" s="888"/>
      <c r="P58" s="888"/>
      <c r="Q58" s="888"/>
      <c r="R58" s="889"/>
    </row>
    <row r="59" spans="2:18" x14ac:dyDescent="0.25">
      <c r="B59" s="887"/>
      <c r="C59" s="888"/>
      <c r="D59" s="888"/>
      <c r="E59" s="888"/>
      <c r="F59" s="888"/>
      <c r="G59" s="888"/>
      <c r="H59" s="888"/>
      <c r="I59" s="888"/>
      <c r="J59" s="888"/>
      <c r="K59" s="888"/>
      <c r="L59" s="888"/>
      <c r="M59" s="888"/>
      <c r="N59" s="888"/>
      <c r="O59" s="888"/>
      <c r="P59" s="888"/>
      <c r="Q59" s="888"/>
      <c r="R59" s="889"/>
    </row>
    <row r="60" spans="2:18" x14ac:dyDescent="0.25">
      <c r="B60" s="887"/>
      <c r="C60" s="888"/>
      <c r="D60" s="888"/>
      <c r="E60" s="888"/>
      <c r="F60" s="888"/>
      <c r="G60" s="888"/>
      <c r="H60" s="888"/>
      <c r="I60" s="888"/>
      <c r="J60" s="888"/>
      <c r="K60" s="888"/>
      <c r="L60" s="888"/>
      <c r="M60" s="888"/>
      <c r="N60" s="888"/>
      <c r="O60" s="888"/>
      <c r="P60" s="888"/>
      <c r="Q60" s="888"/>
      <c r="R60" s="889"/>
    </row>
    <row r="61" spans="2:18" x14ac:dyDescent="0.25">
      <c r="B61" s="887"/>
      <c r="C61" s="888"/>
      <c r="D61" s="888"/>
      <c r="E61" s="888"/>
      <c r="F61" s="888"/>
      <c r="G61" s="888"/>
      <c r="H61" s="888"/>
      <c r="I61" s="888"/>
      <c r="J61" s="888"/>
      <c r="K61" s="888"/>
      <c r="L61" s="888"/>
      <c r="M61" s="888"/>
      <c r="N61" s="888"/>
      <c r="O61" s="888"/>
      <c r="P61" s="888"/>
      <c r="Q61" s="888"/>
      <c r="R61" s="889"/>
    </row>
    <row r="62" spans="2:18" x14ac:dyDescent="0.25">
      <c r="B62" s="887"/>
      <c r="C62" s="888"/>
      <c r="D62" s="888"/>
      <c r="E62" s="888"/>
      <c r="F62" s="888"/>
      <c r="G62" s="888"/>
      <c r="H62" s="888"/>
      <c r="I62" s="888"/>
      <c r="J62" s="888"/>
      <c r="K62" s="888"/>
      <c r="L62" s="888"/>
      <c r="M62" s="888"/>
      <c r="N62" s="888"/>
      <c r="O62" s="888"/>
      <c r="P62" s="888"/>
      <c r="Q62" s="888"/>
      <c r="R62" s="889"/>
    </row>
    <row r="63" spans="2:18" x14ac:dyDescent="0.25">
      <c r="B63" s="887"/>
      <c r="C63" s="888"/>
      <c r="D63" s="888"/>
      <c r="E63" s="888"/>
      <c r="F63" s="888"/>
      <c r="G63" s="888"/>
      <c r="H63" s="888"/>
      <c r="I63" s="888"/>
      <c r="J63" s="888"/>
      <c r="K63" s="888"/>
      <c r="L63" s="888"/>
      <c r="M63" s="888"/>
      <c r="N63" s="888"/>
      <c r="O63" s="888"/>
      <c r="P63" s="888"/>
      <c r="Q63" s="888"/>
      <c r="R63" s="889"/>
    </row>
    <row r="64" spans="2:18" x14ac:dyDescent="0.25">
      <c r="B64" s="887"/>
      <c r="C64" s="888"/>
      <c r="D64" s="888"/>
      <c r="E64" s="888"/>
      <c r="F64" s="888"/>
      <c r="G64" s="888"/>
      <c r="H64" s="888"/>
      <c r="I64" s="888"/>
      <c r="J64" s="888"/>
      <c r="K64" s="888"/>
      <c r="L64" s="888"/>
      <c r="M64" s="888"/>
      <c r="N64" s="888"/>
      <c r="O64" s="888"/>
      <c r="P64" s="888"/>
      <c r="Q64" s="888"/>
      <c r="R64" s="889"/>
    </row>
    <row r="65" spans="2:18" x14ac:dyDescent="0.25">
      <c r="B65" s="887"/>
      <c r="C65" s="888"/>
      <c r="D65" s="888"/>
      <c r="E65" s="888"/>
      <c r="F65" s="888"/>
      <c r="G65" s="888"/>
      <c r="H65" s="888"/>
      <c r="I65" s="888"/>
      <c r="J65" s="888"/>
      <c r="K65" s="888"/>
      <c r="L65" s="888"/>
      <c r="M65" s="888"/>
      <c r="N65" s="888"/>
      <c r="O65" s="888"/>
      <c r="P65" s="888"/>
      <c r="Q65" s="888"/>
      <c r="R65" s="889"/>
    </row>
    <row r="66" spans="2:18" x14ac:dyDescent="0.25">
      <c r="B66" s="887"/>
      <c r="C66" s="888"/>
      <c r="D66" s="888"/>
      <c r="E66" s="888"/>
      <c r="F66" s="888"/>
      <c r="G66" s="888"/>
      <c r="H66" s="888"/>
      <c r="I66" s="888"/>
      <c r="J66" s="888"/>
      <c r="K66" s="888"/>
      <c r="L66" s="888"/>
      <c r="M66" s="888"/>
      <c r="N66" s="888"/>
      <c r="O66" s="888"/>
      <c r="P66" s="888"/>
      <c r="Q66" s="888"/>
      <c r="R66" s="889"/>
    </row>
    <row r="67" spans="2:18" x14ac:dyDescent="0.25">
      <c r="B67" s="887"/>
      <c r="C67" s="888"/>
      <c r="D67" s="888"/>
      <c r="E67" s="888"/>
      <c r="F67" s="888"/>
      <c r="G67" s="888"/>
      <c r="H67" s="888"/>
      <c r="I67" s="888"/>
      <c r="J67" s="888"/>
      <c r="K67" s="888"/>
      <c r="L67" s="888"/>
      <c r="M67" s="888"/>
      <c r="N67" s="888"/>
      <c r="O67" s="888"/>
      <c r="P67" s="888"/>
      <c r="Q67" s="888"/>
      <c r="R67" s="889"/>
    </row>
    <row r="68" spans="2:18" x14ac:dyDescent="0.25">
      <c r="B68" s="887"/>
      <c r="C68" s="888"/>
      <c r="D68" s="888"/>
      <c r="E68" s="888"/>
      <c r="F68" s="888"/>
      <c r="G68" s="888"/>
      <c r="H68" s="888"/>
      <c r="I68" s="888"/>
      <c r="J68" s="888"/>
      <c r="K68" s="888"/>
      <c r="L68" s="888"/>
      <c r="M68" s="888"/>
      <c r="N68" s="888"/>
      <c r="O68" s="888"/>
      <c r="P68" s="888"/>
      <c r="Q68" s="888"/>
      <c r="R68" s="889"/>
    </row>
    <row r="69" spans="2:18" x14ac:dyDescent="0.25">
      <c r="B69" s="887"/>
      <c r="C69" s="888"/>
      <c r="D69" s="888"/>
      <c r="E69" s="888"/>
      <c r="F69" s="888"/>
      <c r="G69" s="888"/>
      <c r="H69" s="888"/>
      <c r="I69" s="888"/>
      <c r="J69" s="888"/>
      <c r="K69" s="888"/>
      <c r="L69" s="888"/>
      <c r="M69" s="888"/>
      <c r="N69" s="888"/>
      <c r="O69" s="888"/>
      <c r="P69" s="888"/>
      <c r="Q69" s="888"/>
      <c r="R69" s="889"/>
    </row>
    <row r="70" spans="2:18" x14ac:dyDescent="0.25">
      <c r="B70" s="887"/>
      <c r="C70" s="888"/>
      <c r="D70" s="888"/>
      <c r="E70" s="888"/>
      <c r="F70" s="888"/>
      <c r="G70" s="888"/>
      <c r="H70" s="888"/>
      <c r="I70" s="888"/>
      <c r="J70" s="888"/>
      <c r="K70" s="888"/>
      <c r="L70" s="888"/>
      <c r="M70" s="888"/>
      <c r="N70" s="888"/>
      <c r="O70" s="888"/>
      <c r="P70" s="888"/>
      <c r="Q70" s="888"/>
      <c r="R70" s="889"/>
    </row>
    <row r="71" spans="2:18" ht="61.5" customHeight="1" thickBot="1" x14ac:dyDescent="0.3">
      <c r="B71" s="890"/>
      <c r="C71" s="891"/>
      <c r="D71" s="891"/>
      <c r="E71" s="891"/>
      <c r="F71" s="891"/>
      <c r="G71" s="891"/>
      <c r="H71" s="891"/>
      <c r="I71" s="891"/>
      <c r="J71" s="891"/>
      <c r="K71" s="891"/>
      <c r="L71" s="891"/>
      <c r="M71" s="891"/>
      <c r="N71" s="891"/>
      <c r="O71" s="891"/>
      <c r="P71" s="891"/>
      <c r="Q71" s="891"/>
      <c r="R71" s="892"/>
    </row>
    <row r="72" spans="2:18" ht="16.5" thickBot="1" x14ac:dyDescent="0.3">
      <c r="B72" s="880"/>
      <c r="C72" s="881"/>
      <c r="D72" s="881"/>
      <c r="E72" s="881"/>
      <c r="F72" s="881"/>
      <c r="G72" s="881"/>
      <c r="H72" s="881"/>
      <c r="I72" s="881"/>
      <c r="J72" s="881"/>
      <c r="K72" s="881"/>
      <c r="L72" s="881"/>
      <c r="M72" s="881"/>
      <c r="N72" s="881"/>
      <c r="O72" s="881"/>
      <c r="P72" s="881"/>
      <c r="Q72" s="881"/>
      <c r="R72" s="882"/>
    </row>
    <row r="73" spans="2:18" ht="16.5" thickBot="1" x14ac:dyDescent="0.3">
      <c r="B73" s="721"/>
      <c r="C73" s="721"/>
      <c r="D73" s="721"/>
      <c r="E73" s="721"/>
      <c r="F73" s="721"/>
      <c r="G73" s="721"/>
      <c r="H73" s="721"/>
      <c r="I73" s="721"/>
      <c r="J73" s="721"/>
      <c r="K73" s="721"/>
      <c r="L73" s="721"/>
      <c r="M73" s="721"/>
      <c r="N73" s="721"/>
      <c r="O73" s="721"/>
      <c r="P73" s="721"/>
      <c r="Q73" s="721"/>
      <c r="R73" s="721"/>
    </row>
    <row r="74" spans="2:18" ht="16.5" thickBot="1" x14ac:dyDescent="0.3">
      <c r="B74" s="876"/>
      <c r="C74" s="877"/>
      <c r="D74" s="877"/>
      <c r="E74" s="877"/>
      <c r="F74" s="877"/>
      <c r="G74" s="877"/>
      <c r="H74" s="877"/>
      <c r="I74" s="877"/>
      <c r="J74" s="877"/>
      <c r="K74" s="877"/>
      <c r="L74" s="877"/>
      <c r="M74" s="877"/>
      <c r="N74" s="877"/>
      <c r="O74" s="877"/>
      <c r="P74" s="877"/>
      <c r="Q74" s="877"/>
      <c r="R74" s="878"/>
    </row>
    <row r="75" spans="2:18" x14ac:dyDescent="0.25">
      <c r="B75" s="722"/>
      <c r="C75" s="898" t="s">
        <v>21</v>
      </c>
      <c r="D75" s="899"/>
      <c r="E75" s="899"/>
      <c r="F75" s="899"/>
      <c r="G75" s="899"/>
      <c r="H75" s="899"/>
      <c r="I75" s="899"/>
      <c r="J75" s="899"/>
      <c r="K75" s="899"/>
      <c r="L75" s="899"/>
      <c r="M75" s="899"/>
      <c r="N75" s="899"/>
      <c r="O75" s="899"/>
      <c r="P75" s="899"/>
      <c r="Q75" s="899"/>
      <c r="R75" s="900"/>
    </row>
    <row r="76" spans="2:18" x14ac:dyDescent="0.25">
      <c r="B76" s="722"/>
      <c r="C76" s="899"/>
      <c r="D76" s="899"/>
      <c r="E76" s="899"/>
      <c r="F76" s="899"/>
      <c r="G76" s="899"/>
      <c r="H76" s="899"/>
      <c r="I76" s="899"/>
      <c r="J76" s="899"/>
      <c r="K76" s="899"/>
      <c r="L76" s="899"/>
      <c r="M76" s="899"/>
      <c r="N76" s="899"/>
      <c r="O76" s="899"/>
      <c r="P76" s="899"/>
      <c r="Q76" s="899"/>
      <c r="R76" s="900"/>
    </row>
    <row r="77" spans="2:18" x14ac:dyDescent="0.25">
      <c r="B77" s="722"/>
      <c r="C77" s="893" t="s">
        <v>22</v>
      </c>
      <c r="D77" s="893"/>
      <c r="E77" s="893"/>
      <c r="F77" s="893"/>
      <c r="G77" s="893"/>
      <c r="H77" s="893"/>
      <c r="I77" s="893"/>
      <c r="J77" s="893"/>
      <c r="K77" s="893"/>
      <c r="L77" s="893"/>
      <c r="M77" s="893"/>
      <c r="N77" s="893"/>
      <c r="O77" s="893"/>
      <c r="P77" s="893"/>
      <c r="Q77" s="893"/>
      <c r="R77" s="894"/>
    </row>
    <row r="78" spans="2:18" x14ac:dyDescent="0.25">
      <c r="B78" s="722"/>
      <c r="C78" s="893"/>
      <c r="D78" s="893"/>
      <c r="E78" s="893"/>
      <c r="F78" s="893"/>
      <c r="G78" s="893"/>
      <c r="H78" s="893"/>
      <c r="I78" s="893"/>
      <c r="J78" s="893"/>
      <c r="K78" s="893"/>
      <c r="L78" s="893"/>
      <c r="M78" s="893"/>
      <c r="N78" s="893"/>
      <c r="O78" s="893"/>
      <c r="P78" s="893"/>
      <c r="Q78" s="893"/>
      <c r="R78" s="894"/>
    </row>
    <row r="79" spans="2:18" x14ac:dyDescent="0.25">
      <c r="B79" s="722"/>
      <c r="C79" s="895" t="e" vm="1">
        <v>#VALUE!</v>
      </c>
      <c r="D79" s="895"/>
      <c r="E79" s="895"/>
      <c r="F79" s="895"/>
      <c r="G79" s="895"/>
      <c r="H79" s="895"/>
      <c r="I79" s="895"/>
      <c r="J79" s="895"/>
      <c r="K79" s="895"/>
      <c r="L79" s="895"/>
      <c r="M79" s="895"/>
      <c r="N79" s="755"/>
      <c r="O79" s="755"/>
      <c r="P79" s="755"/>
      <c r="Q79" s="755"/>
      <c r="R79" s="777"/>
    </row>
    <row r="80" spans="2:18" x14ac:dyDescent="0.25">
      <c r="B80" s="722"/>
      <c r="C80" s="895"/>
      <c r="D80" s="895"/>
      <c r="E80" s="895"/>
      <c r="F80" s="895"/>
      <c r="G80" s="895"/>
      <c r="H80" s="895"/>
      <c r="I80" s="895"/>
      <c r="J80" s="895"/>
      <c r="K80" s="895"/>
      <c r="L80" s="895"/>
      <c r="M80" s="895"/>
      <c r="N80" s="755"/>
      <c r="O80" s="755"/>
      <c r="P80" s="755"/>
      <c r="Q80" s="755"/>
      <c r="R80" s="777"/>
    </row>
    <row r="81" spans="2:18" x14ac:dyDescent="0.25">
      <c r="B81" s="722"/>
      <c r="C81" s="895"/>
      <c r="D81" s="895"/>
      <c r="E81" s="895"/>
      <c r="F81" s="895"/>
      <c r="G81" s="895"/>
      <c r="H81" s="895"/>
      <c r="I81" s="895"/>
      <c r="J81" s="895"/>
      <c r="K81" s="895"/>
      <c r="L81" s="895"/>
      <c r="M81" s="895"/>
      <c r="N81" s="755"/>
      <c r="O81" s="755"/>
      <c r="P81" s="755"/>
      <c r="Q81" s="755"/>
      <c r="R81" s="777"/>
    </row>
    <row r="82" spans="2:18" ht="16.5" thickBot="1" x14ac:dyDescent="0.3">
      <c r="B82" s="722"/>
      <c r="C82" s="896"/>
      <c r="D82" s="896"/>
      <c r="E82" s="896"/>
      <c r="F82" s="896"/>
      <c r="G82" s="896"/>
      <c r="H82" s="896"/>
      <c r="I82" s="896"/>
      <c r="J82" s="896"/>
      <c r="K82" s="896"/>
      <c r="L82" s="896"/>
      <c r="M82" s="896"/>
      <c r="N82" s="755"/>
      <c r="O82" s="755"/>
      <c r="P82" s="755"/>
      <c r="Q82" s="755"/>
      <c r="R82" s="777"/>
    </row>
    <row r="83" spans="2:18" x14ac:dyDescent="0.25">
      <c r="B83" s="722"/>
      <c r="C83" s="755"/>
      <c r="D83" s="755"/>
      <c r="E83" s="755"/>
      <c r="F83" s="755"/>
      <c r="G83" s="755"/>
      <c r="H83" s="755"/>
      <c r="I83" s="755"/>
      <c r="J83" s="755"/>
      <c r="K83" s="755"/>
      <c r="L83" s="755"/>
      <c r="M83" s="755"/>
      <c r="N83" s="755"/>
      <c r="O83" s="755"/>
      <c r="P83" s="755"/>
      <c r="Q83" s="755"/>
      <c r="R83" s="777"/>
    </row>
    <row r="84" spans="2:18" x14ac:dyDescent="0.25">
      <c r="B84" s="722"/>
      <c r="C84" s="893" t="s">
        <v>23</v>
      </c>
      <c r="D84" s="893"/>
      <c r="E84" s="893"/>
      <c r="F84" s="893"/>
      <c r="G84" s="893"/>
      <c r="H84" s="893"/>
      <c r="I84" s="893"/>
      <c r="J84" s="893"/>
      <c r="K84" s="893"/>
      <c r="L84" s="893"/>
      <c r="M84" s="893"/>
      <c r="N84" s="893"/>
      <c r="O84" s="893"/>
      <c r="P84" s="893"/>
      <c r="Q84" s="893"/>
      <c r="R84" s="894"/>
    </row>
    <row r="85" spans="2:18" x14ac:dyDescent="0.25">
      <c r="B85" s="722"/>
      <c r="C85" s="893"/>
      <c r="D85" s="893"/>
      <c r="E85" s="893"/>
      <c r="F85" s="893"/>
      <c r="G85" s="893"/>
      <c r="H85" s="893"/>
      <c r="I85" s="893"/>
      <c r="J85" s="893"/>
      <c r="K85" s="893"/>
      <c r="L85" s="893"/>
      <c r="M85" s="893"/>
      <c r="N85" s="893"/>
      <c r="O85" s="893"/>
      <c r="P85" s="893"/>
      <c r="Q85" s="893"/>
      <c r="R85" s="894"/>
    </row>
    <row r="86" spans="2:18" x14ac:dyDescent="0.25">
      <c r="B86" s="722"/>
      <c r="C86" s="897" t="e" vm="2">
        <v>#VALUE!</v>
      </c>
      <c r="D86" s="897"/>
      <c r="E86" s="897"/>
      <c r="F86" s="755"/>
      <c r="G86" s="755"/>
      <c r="H86" s="755"/>
      <c r="I86" s="755"/>
      <c r="J86" s="755"/>
      <c r="K86" s="755"/>
      <c r="L86" s="755"/>
      <c r="M86" s="755"/>
      <c r="N86" s="755"/>
      <c r="O86" s="755"/>
      <c r="P86" s="755"/>
      <c r="Q86" s="755"/>
      <c r="R86" s="777"/>
    </row>
    <row r="87" spans="2:18" x14ac:dyDescent="0.25">
      <c r="B87" s="722"/>
      <c r="C87" s="897"/>
      <c r="D87" s="897"/>
      <c r="E87" s="897"/>
      <c r="F87" s="755"/>
      <c r="G87" s="755"/>
      <c r="H87" s="755"/>
      <c r="I87" s="755"/>
      <c r="J87" s="755"/>
      <c r="K87" s="755"/>
      <c r="L87" s="755"/>
      <c r="M87" s="755"/>
      <c r="N87" s="755"/>
      <c r="O87" s="755"/>
      <c r="P87" s="755"/>
      <c r="Q87" s="755"/>
      <c r="R87" s="777"/>
    </row>
    <row r="88" spans="2:18" x14ac:dyDescent="0.25">
      <c r="B88" s="722"/>
      <c r="C88" s="897"/>
      <c r="D88" s="897"/>
      <c r="E88" s="897"/>
      <c r="F88" s="755"/>
      <c r="G88" s="755"/>
      <c r="H88" s="755"/>
      <c r="I88" s="755"/>
      <c r="J88" s="755"/>
      <c r="K88" s="755"/>
      <c r="L88" s="755"/>
      <c r="M88" s="755"/>
      <c r="N88" s="755"/>
      <c r="O88" s="755"/>
      <c r="P88" s="755"/>
      <c r="Q88" s="755"/>
      <c r="R88" s="777"/>
    </row>
    <row r="89" spans="2:18" x14ac:dyDescent="0.25">
      <c r="B89" s="722"/>
      <c r="C89" s="897"/>
      <c r="D89" s="897"/>
      <c r="E89" s="897"/>
      <c r="F89" s="755"/>
      <c r="G89" s="755"/>
      <c r="H89" s="755"/>
      <c r="I89" s="755"/>
      <c r="J89" s="755"/>
      <c r="K89" s="755"/>
      <c r="L89" s="755"/>
      <c r="M89" s="755"/>
      <c r="N89" s="755"/>
      <c r="O89" s="755"/>
      <c r="P89" s="755"/>
      <c r="Q89" s="755"/>
      <c r="R89" s="777"/>
    </row>
    <row r="90" spans="2:18" x14ac:dyDescent="0.25">
      <c r="B90" s="722"/>
      <c r="C90" s="897"/>
      <c r="D90" s="897"/>
      <c r="E90" s="897"/>
      <c r="F90" s="755"/>
      <c r="G90" s="755"/>
      <c r="H90" s="755"/>
      <c r="I90" s="755"/>
      <c r="J90" s="755"/>
      <c r="K90" s="755"/>
      <c r="L90" s="755"/>
      <c r="M90" s="755"/>
      <c r="N90" s="755"/>
      <c r="O90" s="755"/>
      <c r="P90" s="755"/>
      <c r="Q90" s="755"/>
      <c r="R90" s="777"/>
    </row>
    <row r="91" spans="2:18" x14ac:dyDescent="0.25">
      <c r="B91" s="722"/>
      <c r="C91" s="897"/>
      <c r="D91" s="897"/>
      <c r="E91" s="897"/>
      <c r="F91" s="755"/>
      <c r="G91" s="755"/>
      <c r="H91" s="755"/>
      <c r="I91" s="755"/>
      <c r="J91" s="755"/>
      <c r="K91" s="755"/>
      <c r="L91" s="755"/>
      <c r="M91" s="755"/>
      <c r="N91" s="755"/>
      <c r="O91" s="755"/>
      <c r="P91" s="755"/>
      <c r="Q91" s="755"/>
      <c r="R91" s="777"/>
    </row>
    <row r="92" spans="2:18" x14ac:dyDescent="0.25">
      <c r="B92" s="722"/>
      <c r="C92" s="897"/>
      <c r="D92" s="897"/>
      <c r="E92" s="897"/>
      <c r="F92" s="755"/>
      <c r="G92" s="755"/>
      <c r="H92" s="755"/>
      <c r="I92" s="755"/>
      <c r="J92" s="755"/>
      <c r="K92" s="755"/>
      <c r="L92" s="755"/>
      <c r="M92" s="755"/>
      <c r="N92" s="755"/>
      <c r="O92" s="755"/>
      <c r="P92" s="755"/>
      <c r="Q92" s="755"/>
      <c r="R92" s="777"/>
    </row>
    <row r="93" spans="2:18" x14ac:dyDescent="0.25">
      <c r="B93" s="722"/>
      <c r="C93" s="897"/>
      <c r="D93" s="897"/>
      <c r="E93" s="897"/>
      <c r="F93" s="755"/>
      <c r="G93" s="755"/>
      <c r="H93" s="755"/>
      <c r="I93" s="755"/>
      <c r="J93" s="755"/>
      <c r="K93" s="755"/>
      <c r="L93" s="755"/>
      <c r="M93" s="755"/>
      <c r="N93" s="755"/>
      <c r="O93" s="755"/>
      <c r="P93" s="755"/>
      <c r="Q93" s="755"/>
      <c r="R93" s="777"/>
    </row>
    <row r="94" spans="2:18" ht="15.6" customHeight="1" x14ac:dyDescent="0.25">
      <c r="B94" s="722"/>
      <c r="C94" s="879" t="s">
        <v>24</v>
      </c>
      <c r="D94" s="879"/>
      <c r="E94" s="879"/>
      <c r="F94" s="879"/>
      <c r="G94" s="879"/>
      <c r="H94" s="879"/>
      <c r="I94" s="879"/>
      <c r="J94" s="879"/>
      <c r="K94" s="879"/>
      <c r="L94" s="879"/>
      <c r="M94" s="879"/>
      <c r="N94" s="879"/>
      <c r="O94" s="879"/>
      <c r="P94" s="879"/>
      <c r="Q94" s="879"/>
      <c r="R94" s="777"/>
    </row>
    <row r="95" spans="2:18" x14ac:dyDescent="0.25">
      <c r="B95" s="722"/>
      <c r="C95" s="879"/>
      <c r="D95" s="879"/>
      <c r="E95" s="879"/>
      <c r="F95" s="879"/>
      <c r="G95" s="879"/>
      <c r="H95" s="879"/>
      <c r="I95" s="879"/>
      <c r="J95" s="879"/>
      <c r="K95" s="879"/>
      <c r="L95" s="879"/>
      <c r="M95" s="879"/>
      <c r="N95" s="879"/>
      <c r="O95" s="879"/>
      <c r="P95" s="879"/>
      <c r="Q95" s="879"/>
      <c r="R95" s="777"/>
    </row>
    <row r="96" spans="2:18" x14ac:dyDescent="0.25">
      <c r="B96" s="722"/>
      <c r="C96" s="879"/>
      <c r="D96" s="879"/>
      <c r="E96" s="879"/>
      <c r="F96" s="879"/>
      <c r="G96" s="879"/>
      <c r="H96" s="879"/>
      <c r="I96" s="879"/>
      <c r="J96" s="879"/>
      <c r="K96" s="879"/>
      <c r="L96" s="879"/>
      <c r="M96" s="879"/>
      <c r="N96" s="879"/>
      <c r="O96" s="879"/>
      <c r="P96" s="879"/>
      <c r="Q96" s="879"/>
      <c r="R96" s="777"/>
    </row>
    <row r="97" spans="2:18" x14ac:dyDescent="0.25">
      <c r="B97" s="722"/>
      <c r="C97" s="879"/>
      <c r="D97" s="879"/>
      <c r="E97" s="879"/>
      <c r="F97" s="879"/>
      <c r="G97" s="879"/>
      <c r="H97" s="879"/>
      <c r="I97" s="879"/>
      <c r="J97" s="879"/>
      <c r="K97" s="879"/>
      <c r="L97" s="879"/>
      <c r="M97" s="879"/>
      <c r="N97" s="879"/>
      <c r="O97" s="879"/>
      <c r="P97" s="879"/>
      <c r="Q97" s="879"/>
      <c r="R97" s="777"/>
    </row>
    <row r="98" spans="2:18" x14ac:dyDescent="0.25">
      <c r="B98" s="722"/>
      <c r="C98" s="879"/>
      <c r="D98" s="879"/>
      <c r="E98" s="879"/>
      <c r="F98" s="879"/>
      <c r="G98" s="879"/>
      <c r="H98" s="879"/>
      <c r="I98" s="879"/>
      <c r="J98" s="879"/>
      <c r="K98" s="879"/>
      <c r="L98" s="879"/>
      <c r="M98" s="879"/>
      <c r="N98" s="879"/>
      <c r="O98" s="879"/>
      <c r="P98" s="879"/>
      <c r="Q98" s="879"/>
      <c r="R98" s="777"/>
    </row>
    <row r="99" spans="2:18" x14ac:dyDescent="0.25">
      <c r="B99" s="722"/>
      <c r="C99" s="879"/>
      <c r="D99" s="879"/>
      <c r="E99" s="879"/>
      <c r="F99" s="879"/>
      <c r="G99" s="879"/>
      <c r="H99" s="879"/>
      <c r="I99" s="879"/>
      <c r="J99" s="879"/>
      <c r="K99" s="879"/>
      <c r="L99" s="879"/>
      <c r="M99" s="879"/>
      <c r="N99" s="879"/>
      <c r="O99" s="879"/>
      <c r="P99" s="879"/>
      <c r="Q99" s="879"/>
      <c r="R99" s="94"/>
    </row>
    <row r="100" spans="2:18" x14ac:dyDescent="0.25">
      <c r="B100" s="722"/>
      <c r="C100" s="879"/>
      <c r="D100" s="879"/>
      <c r="E100" s="879"/>
      <c r="F100" s="879"/>
      <c r="G100" s="879"/>
      <c r="H100" s="879"/>
      <c r="I100" s="879"/>
      <c r="J100" s="879"/>
      <c r="K100" s="879"/>
      <c r="L100" s="879"/>
      <c r="M100" s="879"/>
      <c r="N100" s="879"/>
      <c r="O100" s="879"/>
      <c r="P100" s="879"/>
      <c r="Q100" s="879"/>
      <c r="R100" s="94"/>
    </row>
    <row r="101" spans="2:18" x14ac:dyDescent="0.25">
      <c r="B101" s="722"/>
      <c r="C101" s="879"/>
      <c r="D101" s="879"/>
      <c r="E101" s="879"/>
      <c r="F101" s="879"/>
      <c r="G101" s="879"/>
      <c r="H101" s="879"/>
      <c r="I101" s="879"/>
      <c r="J101" s="879"/>
      <c r="K101" s="879"/>
      <c r="L101" s="879"/>
      <c r="M101" s="879"/>
      <c r="N101" s="879"/>
      <c r="O101" s="879"/>
      <c r="P101" s="879"/>
      <c r="Q101" s="879"/>
      <c r="R101" s="94"/>
    </row>
    <row r="102" spans="2:18" x14ac:dyDescent="0.25">
      <c r="B102" s="722"/>
      <c r="C102" s="879"/>
      <c r="D102" s="879"/>
      <c r="E102" s="879"/>
      <c r="F102" s="879"/>
      <c r="G102" s="879"/>
      <c r="H102" s="879"/>
      <c r="I102" s="879"/>
      <c r="J102" s="879"/>
      <c r="K102" s="879"/>
      <c r="L102" s="879"/>
      <c r="M102" s="879"/>
      <c r="N102" s="879"/>
      <c r="O102" s="879"/>
      <c r="P102" s="879"/>
      <c r="Q102" s="879"/>
      <c r="R102" s="94"/>
    </row>
    <row r="103" spans="2:18" x14ac:dyDescent="0.25">
      <c r="B103" s="722"/>
      <c r="C103" s="879"/>
      <c r="D103" s="879"/>
      <c r="E103" s="879"/>
      <c r="F103" s="879"/>
      <c r="G103" s="879"/>
      <c r="H103" s="879"/>
      <c r="I103" s="879"/>
      <c r="J103" s="879"/>
      <c r="K103" s="879"/>
      <c r="L103" s="879"/>
      <c r="M103" s="879"/>
      <c r="N103" s="879"/>
      <c r="O103" s="879"/>
      <c r="P103" s="879"/>
      <c r="Q103" s="879"/>
      <c r="R103" s="94"/>
    </row>
    <row r="104" spans="2:18" ht="16.5" thickBot="1" x14ac:dyDescent="0.3">
      <c r="B104" s="722"/>
      <c r="C104" s="879"/>
      <c r="D104" s="879"/>
      <c r="E104" s="879"/>
      <c r="F104" s="879"/>
      <c r="G104" s="879"/>
      <c r="H104" s="879"/>
      <c r="I104" s="879"/>
      <c r="J104" s="879"/>
      <c r="K104" s="879"/>
      <c r="L104" s="879"/>
      <c r="M104" s="879"/>
      <c r="N104" s="879"/>
      <c r="O104" s="879"/>
      <c r="P104" s="879"/>
      <c r="Q104" s="879"/>
      <c r="R104" s="94"/>
    </row>
    <row r="105" spans="2:18" ht="16.5" thickBot="1" x14ac:dyDescent="0.3">
      <c r="B105" s="876"/>
      <c r="C105" s="877"/>
      <c r="D105" s="877"/>
      <c r="E105" s="877"/>
      <c r="F105" s="877"/>
      <c r="G105" s="877"/>
      <c r="H105" s="877"/>
      <c r="I105" s="877"/>
      <c r="J105" s="877"/>
      <c r="K105" s="877"/>
      <c r="L105" s="877"/>
      <c r="M105" s="877"/>
      <c r="N105" s="877"/>
      <c r="O105" s="877"/>
      <c r="P105" s="877"/>
      <c r="Q105" s="877"/>
      <c r="R105" s="878"/>
    </row>
  </sheetData>
  <sheetProtection algorithmName="SHA-512" hashValue="RkqfzAbEPzMCTZVGAb1/3VDARyyz131jMt6mu77bHfqZxZ5Ueg4AVT8Cuf7BO5ZfWNMhtWD45vgqg2mwv73O9A==" saltValue="UUC/4tobTT0vkHynqMVUsQ==" spinCount="100000" sheet="1" objects="1" scenarios="1"/>
  <mergeCells count="25">
    <mergeCell ref="C17:R18"/>
    <mergeCell ref="C75:R76"/>
    <mergeCell ref="B74:R74"/>
    <mergeCell ref="B2:R2"/>
    <mergeCell ref="C29:R30"/>
    <mergeCell ref="C36:R37"/>
    <mergeCell ref="C6:R6"/>
    <mergeCell ref="C9:L9"/>
    <mergeCell ref="C8:R8"/>
    <mergeCell ref="G7:I7"/>
    <mergeCell ref="K7:M7"/>
    <mergeCell ref="O7:Q7"/>
    <mergeCell ref="C10:Q11"/>
    <mergeCell ref="C7:F7"/>
    <mergeCell ref="C3:O3"/>
    <mergeCell ref="B105:R105"/>
    <mergeCell ref="C94:Q104"/>
    <mergeCell ref="B49:R49"/>
    <mergeCell ref="C43:R44"/>
    <mergeCell ref="B72:R72"/>
    <mergeCell ref="B52:R71"/>
    <mergeCell ref="C77:R78"/>
    <mergeCell ref="C79:M82"/>
    <mergeCell ref="C84:R85"/>
    <mergeCell ref="C86:E93"/>
  </mergeCells>
  <dataValidations count="1">
    <dataValidation type="custom" allowBlank="1" showInputMessage="1" showErrorMessage="1" sqref="R9:R11 C9:Q9" xr:uid="{10DD5618-06EE-4507-9CD6-F2E3D37CE9B3}">
      <formula1>"&lt;0&gt;0"</formula1>
    </dataValidation>
  </dataValidations>
  <hyperlinks>
    <hyperlink ref="C7" r:id="rId1" xr:uid="{23E04996-A3AE-4CC6-8094-A59D6513BD44}"/>
  </hyperlinks>
  <pageMargins left="0.70866141732283472" right="0.70866141732283472" top="0.74803149606299213" bottom="0.74803149606299213" header="0.31496062992125984" footer="0.31496062992125984"/>
  <pageSetup paperSize="9" scale="55" orientation="portrait" horizontalDpi="4294967293" r:id="rId2"/>
  <headerFooter>
    <oddFooter>&amp;C_x000D_&amp;1#&amp;"Calibri"&amp;10&amp;K000000 AtkinsRéalis - Baseline / Référence</oddFooter>
  </headerFooter>
  <customProperties>
    <customPr name="GUID" r:id="rId3"/>
  </customPropertie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2DAE76"/>
    <pageSetUpPr fitToPage="1"/>
  </sheetPr>
  <dimension ref="A1:BR153"/>
  <sheetViews>
    <sheetView showGridLines="0" topLeftCell="A7" zoomScale="60" zoomScaleNormal="60" zoomScaleSheetLayoutView="80" workbookViewId="0">
      <selection activeCell="N65" sqref="N65"/>
    </sheetView>
  </sheetViews>
  <sheetFormatPr defaultColWidth="9.28515625" defaultRowHeight="12.75" outlineLevelRow="1" x14ac:dyDescent="0.2"/>
  <cols>
    <col min="1" max="1" width="4.42578125" style="673" customWidth="1"/>
    <col min="2" max="2" width="21.7109375" style="674" customWidth="1"/>
    <col min="3" max="3" width="16.28515625" style="674" customWidth="1"/>
    <col min="4" max="4" width="15.42578125" style="675" customWidth="1"/>
    <col min="5" max="6" width="12.28515625" style="676" customWidth="1"/>
    <col min="7" max="7" width="11.42578125" style="676" customWidth="1"/>
    <col min="8" max="8" width="19.42578125" style="677" customWidth="1"/>
    <col min="9" max="9" width="16" style="677" customWidth="1"/>
    <col min="10" max="10" width="21.42578125" style="677" customWidth="1"/>
    <col min="11" max="11" width="18.28515625" style="678" customWidth="1"/>
    <col min="12" max="12" width="19" style="678" customWidth="1"/>
    <col min="13" max="13" width="15.42578125" style="679" customWidth="1"/>
    <col min="14" max="14" width="16.42578125" style="679" customWidth="1"/>
    <col min="15" max="15" width="18.42578125" style="672" customWidth="1"/>
    <col min="16" max="17" width="15.42578125" style="672" customWidth="1"/>
    <col min="18" max="18" width="13.42578125" style="673" hidden="1" customWidth="1"/>
    <col min="19" max="19" width="15.42578125" style="672" customWidth="1"/>
    <col min="20" max="20" width="15.42578125" style="672" hidden="1" customWidth="1"/>
    <col min="21" max="21" width="15.42578125" style="672" customWidth="1"/>
    <col min="22" max="22" width="16" style="672" customWidth="1"/>
    <col min="23" max="23" width="9.28515625" style="672" hidden="1" customWidth="1"/>
    <col min="24" max="24" width="13.42578125" style="672" hidden="1" customWidth="1"/>
    <col min="25" max="25" width="17.42578125" style="672" hidden="1" customWidth="1"/>
    <col min="26" max="26" width="6.42578125" style="672" hidden="1" customWidth="1"/>
    <col min="27" max="27" width="9.28515625" style="672" hidden="1" customWidth="1"/>
    <col min="28" max="28" width="5.42578125" style="672" hidden="1" customWidth="1"/>
    <col min="29" max="32" width="16" style="672" hidden="1" customWidth="1"/>
    <col min="33" max="36" width="15.42578125" style="672" hidden="1" customWidth="1"/>
    <col min="37" max="37" width="17.42578125" style="672" hidden="1" customWidth="1"/>
    <col min="38" max="38" width="21.42578125" style="672" hidden="1" customWidth="1"/>
    <col min="39" max="42" width="9.28515625" style="672" hidden="1" customWidth="1"/>
    <col min="43" max="43" width="10.140625" style="672" hidden="1" customWidth="1"/>
    <col min="44" max="63" width="9.28515625" style="672" customWidth="1"/>
    <col min="64" max="16384" width="9.28515625" style="672"/>
  </cols>
  <sheetData>
    <row r="1" spans="1:43" ht="13.5" thickBot="1" x14ac:dyDescent="0.25">
      <c r="A1" s="16"/>
      <c r="B1" s="17"/>
      <c r="C1" s="17"/>
      <c r="D1" s="18"/>
      <c r="E1" s="19"/>
      <c r="F1" s="19"/>
      <c r="G1" s="19"/>
      <c r="H1" s="20"/>
      <c r="I1" s="20"/>
      <c r="J1" s="20"/>
      <c r="K1" s="21"/>
      <c r="L1" s="21"/>
      <c r="M1" s="22"/>
      <c r="N1" s="22"/>
      <c r="O1" s="23"/>
      <c r="P1" s="23"/>
      <c r="Q1" s="23"/>
      <c r="R1" s="16" t="s">
        <v>25</v>
      </c>
      <c r="S1" s="23"/>
      <c r="T1" s="23" t="s">
        <v>26</v>
      </c>
      <c r="U1" s="23"/>
      <c r="V1" s="23"/>
      <c r="W1" s="23"/>
      <c r="X1" s="23"/>
      <c r="Y1" s="23"/>
      <c r="Z1" s="23"/>
      <c r="AA1" s="23"/>
      <c r="AB1" s="23"/>
      <c r="AC1" s="23"/>
      <c r="AD1" s="23"/>
      <c r="AE1" s="23"/>
      <c r="AF1" s="23"/>
      <c r="AG1" s="23"/>
      <c r="AH1" s="23"/>
      <c r="AI1" s="23"/>
      <c r="AJ1" s="23"/>
      <c r="AK1" s="23"/>
      <c r="AL1" s="23"/>
      <c r="AM1" s="23"/>
      <c r="AN1" s="23"/>
      <c r="AO1" s="23"/>
      <c r="AP1" s="23"/>
      <c r="AQ1" s="23"/>
    </row>
    <row r="2" spans="1:43" ht="13.5" customHeight="1" thickBot="1" x14ac:dyDescent="0.25">
      <c r="A2" s="460"/>
      <c r="B2" s="461"/>
      <c r="C2" s="461"/>
      <c r="D2" s="462"/>
      <c r="E2" s="463"/>
      <c r="F2" s="463"/>
      <c r="G2" s="463"/>
      <c r="H2" s="464"/>
      <c r="I2" s="464"/>
      <c r="J2" s="464"/>
      <c r="K2" s="465"/>
      <c r="L2" s="465"/>
      <c r="M2" s="466"/>
      <c r="N2" s="466"/>
      <c r="O2" s="467"/>
      <c r="P2" s="467"/>
      <c r="Q2" s="467"/>
      <c r="R2" s="468"/>
      <c r="S2" s="467"/>
      <c r="T2" s="467"/>
      <c r="U2" s="467"/>
      <c r="V2" s="469"/>
      <c r="W2" s="23"/>
      <c r="X2" s="23"/>
      <c r="Y2" s="23"/>
      <c r="Z2" s="23"/>
      <c r="AA2" s="23"/>
      <c r="AB2" s="23"/>
      <c r="AC2" s="23"/>
      <c r="AD2" s="23"/>
      <c r="AE2" s="23"/>
      <c r="AF2" s="23"/>
      <c r="AG2" s="23"/>
      <c r="AH2" s="23"/>
      <c r="AI2" s="23"/>
      <c r="AJ2" s="23"/>
      <c r="AK2" s="23"/>
      <c r="AL2" s="23"/>
      <c r="AM2" s="23"/>
      <c r="AN2" s="23"/>
      <c r="AO2" s="23"/>
      <c r="AP2" s="23"/>
      <c r="AQ2" s="23" t="s">
        <v>27</v>
      </c>
    </row>
    <row r="3" spans="1:43" ht="26.25" customHeight="1" x14ac:dyDescent="0.25">
      <c r="A3" s="470"/>
      <c r="B3" s="944" t="s">
        <v>28</v>
      </c>
      <c r="C3" s="945"/>
      <c r="D3" s="942"/>
      <c r="E3" s="942"/>
      <c r="F3" s="942"/>
      <c r="G3" s="943"/>
      <c r="H3" s="471"/>
      <c r="I3" s="472"/>
      <c r="J3" s="473" t="s">
        <v>29</v>
      </c>
      <c r="K3" s="472"/>
      <c r="L3" s="474"/>
      <c r="M3" s="475"/>
      <c r="N3" s="115" t="s">
        <v>30</v>
      </c>
      <c r="O3" s="116"/>
      <c r="P3" s="476"/>
      <c r="Q3" s="477"/>
      <c r="R3" s="478" t="str">
        <f>IF($D$4="Recycling Fund","Client Additional Fund:","")</f>
        <v/>
      </c>
      <c r="S3" s="479"/>
      <c r="T3" s="479"/>
      <c r="U3" s="948"/>
      <c r="V3" s="949"/>
      <c r="W3" s="11"/>
      <c r="X3" s="11"/>
      <c r="Y3" s="23"/>
      <c r="Z3" s="23"/>
      <c r="AA3" s="23"/>
      <c r="AB3" s="23"/>
      <c r="AC3" s="23"/>
      <c r="AD3" s="23"/>
      <c r="AE3" s="23"/>
      <c r="AF3" s="23"/>
      <c r="AG3" s="23"/>
      <c r="AH3" s="23"/>
      <c r="AI3" s="23"/>
      <c r="AJ3" s="23"/>
      <c r="AK3" s="23"/>
      <c r="AL3" s="23"/>
      <c r="AM3" s="23"/>
      <c r="AN3" s="23"/>
      <c r="AO3" s="23"/>
      <c r="AP3" s="23"/>
      <c r="AQ3" s="23" t="s">
        <v>27</v>
      </c>
    </row>
    <row r="4" spans="1:43" ht="26.25" customHeight="1" thickBot="1" x14ac:dyDescent="0.3">
      <c r="A4" s="480"/>
      <c r="B4" s="962" t="s">
        <v>31</v>
      </c>
      <c r="C4" s="963"/>
      <c r="D4" s="959" t="s">
        <v>32</v>
      </c>
      <c r="E4" s="959"/>
      <c r="F4" s="959"/>
      <c r="G4" s="960"/>
      <c r="H4" s="481"/>
      <c r="I4" s="472"/>
      <c r="J4" s="482" t="s">
        <v>33</v>
      </c>
      <c r="K4" s="334"/>
      <c r="L4" s="474"/>
      <c r="M4" s="475"/>
      <c r="N4" s="96" t="s">
        <v>34</v>
      </c>
      <c r="O4" s="450" t="str">
        <f>IF($D$4="","",'Extra look-up'!F76&amp;" years")</f>
        <v>10 years</v>
      </c>
      <c r="P4" s="483"/>
      <c r="Q4" s="314"/>
      <c r="R4" s="484" t="str">
        <f>IF($D$4="Recycling Fund","10 years","")</f>
        <v/>
      </c>
      <c r="S4" s="479"/>
      <c r="T4" s="479"/>
      <c r="U4" s="948"/>
      <c r="V4" s="949"/>
      <c r="W4" s="11"/>
      <c r="X4" s="11"/>
      <c r="Y4" s="23"/>
      <c r="Z4" s="23"/>
      <c r="AA4" s="23"/>
      <c r="AB4" s="23"/>
      <c r="AC4" s="23"/>
      <c r="AD4" s="23"/>
      <c r="AE4" s="23"/>
      <c r="AF4" s="23"/>
      <c r="AG4" s="23"/>
      <c r="AH4" s="23"/>
      <c r="AI4" s="23"/>
      <c r="AJ4" s="23"/>
      <c r="AK4" s="23"/>
      <c r="AL4" s="23"/>
      <c r="AM4" s="23"/>
      <c r="AN4" s="23"/>
      <c r="AO4" s="23"/>
      <c r="AP4" s="23"/>
      <c r="AQ4" s="23" t="s">
        <v>27</v>
      </c>
    </row>
    <row r="5" spans="1:43" ht="26.25" customHeight="1" x14ac:dyDescent="0.25">
      <c r="A5" s="480"/>
      <c r="B5" s="485"/>
      <c r="C5" s="485"/>
      <c r="D5" s="485"/>
      <c r="E5" s="485"/>
      <c r="F5" s="485"/>
      <c r="G5" s="485"/>
      <c r="H5" s="481"/>
      <c r="I5" s="485"/>
      <c r="J5" s="335" t="str">
        <f ca="1">"© Salix Finance "&amp;YEAR(NOW())</f>
        <v>© Salix Finance 2026</v>
      </c>
      <c r="K5" s="485"/>
      <c r="L5" s="474"/>
      <c r="M5" s="475"/>
      <c r="N5" s="96" t="s">
        <v>35</v>
      </c>
      <c r="O5" s="97" t="str">
        <f>IF($D$4="","","£"&amp;'Extra look-up'!G76)</f>
        <v>£350</v>
      </c>
      <c r="P5" s="483"/>
      <c r="Q5" s="314"/>
      <c r="R5" s="484" t="str">
        <f>IF($D$4="Recycling Fund","£400","")</f>
        <v/>
      </c>
      <c r="S5" s="479"/>
      <c r="T5" s="479"/>
      <c r="U5" s="948"/>
      <c r="V5" s="949"/>
      <c r="W5" s="11"/>
      <c r="X5" s="11"/>
      <c r="Y5" s="23"/>
      <c r="Z5" s="23"/>
      <c r="AA5" s="23"/>
      <c r="AB5" s="23"/>
      <c r="AC5" s="23"/>
      <c r="AD5" s="23"/>
      <c r="AE5" s="23"/>
      <c r="AF5" s="23"/>
      <c r="AG5" s="23"/>
      <c r="AH5" s="23"/>
      <c r="AI5" s="23"/>
      <c r="AJ5" s="23"/>
      <c r="AK5" s="23"/>
      <c r="AL5" s="23"/>
      <c r="AM5" s="23"/>
      <c r="AN5" s="23"/>
      <c r="AO5" s="23"/>
      <c r="AP5" s="23"/>
      <c r="AQ5" s="23" t="s">
        <v>27</v>
      </c>
    </row>
    <row r="6" spans="1:43" ht="26.25" customHeight="1" x14ac:dyDescent="0.25">
      <c r="A6" s="486"/>
      <c r="B6" s="485"/>
      <c r="C6" s="485"/>
      <c r="D6" s="485"/>
      <c r="E6" s="485"/>
      <c r="F6" s="485"/>
      <c r="G6" s="485"/>
      <c r="H6" s="961"/>
      <c r="I6" s="961"/>
      <c r="J6" s="311"/>
      <c r="K6" s="479"/>
      <c r="L6" s="474"/>
      <c r="M6" s="475"/>
      <c r="N6" s="957" t="str">
        <f>IF(OR(O12&gt;=100000,O13&gt;=100000,O14&gt;=100000,O15&gt;=100000,O16&gt;=100000,O17&gt;=100000,O18&gt;=100000,O19&gt;=100000,O20&gt;=100000,O61&gt;=100000),"Please Complete Business Case Information in next tab","")</f>
        <v/>
      </c>
      <c r="O6" s="957"/>
      <c r="P6" s="479"/>
      <c r="Q6" s="479"/>
      <c r="R6" s="479"/>
      <c r="S6" s="479"/>
      <c r="T6" s="479"/>
      <c r="U6" s="948"/>
      <c r="V6" s="949"/>
      <c r="W6" s="11"/>
      <c r="X6" s="11"/>
      <c r="Y6" s="23"/>
      <c r="Z6" s="23"/>
      <c r="AA6" s="23"/>
      <c r="AB6" s="23"/>
      <c r="AC6" s="23"/>
      <c r="AD6" s="23"/>
      <c r="AE6" s="23"/>
      <c r="AF6" s="23"/>
      <c r="AG6" s="23"/>
      <c r="AH6" s="23"/>
      <c r="AI6" s="23"/>
      <c r="AJ6" s="23"/>
      <c r="AK6" s="23"/>
      <c r="AL6" s="23"/>
      <c r="AM6" s="23"/>
      <c r="AN6" s="23"/>
      <c r="AO6" s="23"/>
      <c r="AP6" s="23"/>
      <c r="AQ6" s="23" t="s">
        <v>27</v>
      </c>
    </row>
    <row r="7" spans="1:43" ht="14.25" customHeight="1" thickBot="1" x14ac:dyDescent="0.25">
      <c r="A7" s="487"/>
      <c r="B7" s="457"/>
      <c r="C7" s="329"/>
      <c r="D7" s="330"/>
      <c r="E7" s="331"/>
      <c r="F7" s="331"/>
      <c r="G7" s="331"/>
      <c r="H7" s="332"/>
      <c r="I7" s="333"/>
      <c r="J7" s="333"/>
      <c r="K7" s="336"/>
      <c r="L7" s="337"/>
      <c r="M7" s="475"/>
      <c r="N7" s="958"/>
      <c r="O7" s="958"/>
      <c r="P7" s="479"/>
      <c r="Q7" s="479"/>
      <c r="R7" s="479"/>
      <c r="S7" s="479"/>
      <c r="T7" s="479"/>
      <c r="U7" s="948"/>
      <c r="V7" s="949"/>
      <c r="W7" s="11"/>
      <c r="X7" s="11"/>
      <c r="Y7" s="23"/>
      <c r="Z7" s="23"/>
      <c r="AA7" s="23"/>
      <c r="AB7" s="23"/>
      <c r="AC7" s="23"/>
      <c r="AD7" s="23"/>
      <c r="AE7" s="23"/>
      <c r="AF7" s="23"/>
      <c r="AG7" s="23"/>
      <c r="AH7" s="23"/>
      <c r="AI7" s="23"/>
      <c r="AJ7" s="23"/>
      <c r="AK7" s="23"/>
      <c r="AL7" s="23"/>
      <c r="AM7" s="23"/>
      <c r="AN7" s="23"/>
      <c r="AO7" s="23"/>
      <c r="AP7" s="23"/>
      <c r="AQ7" s="23" t="s">
        <v>27</v>
      </c>
    </row>
    <row r="8" spans="1:43" s="682" customFormat="1" ht="60.75" customHeight="1" thickBot="1" x14ac:dyDescent="0.3">
      <c r="A8" s="488"/>
      <c r="B8" s="121" t="s">
        <v>36</v>
      </c>
      <c r="C8" s="153" t="s">
        <v>37</v>
      </c>
      <c r="D8" s="504" t="s">
        <v>38</v>
      </c>
      <c r="E8" s="118" t="s">
        <v>39</v>
      </c>
      <c r="F8" s="503" t="s">
        <v>40</v>
      </c>
      <c r="G8" s="964" t="s">
        <v>41</v>
      </c>
      <c r="H8" s="976"/>
      <c r="I8" s="976"/>
      <c r="J8" s="976"/>
      <c r="K8" s="956"/>
      <c r="L8" s="955" t="s">
        <v>42</v>
      </c>
      <c r="M8" s="956"/>
      <c r="N8" s="338"/>
      <c r="O8" s="479"/>
      <c r="P8" s="479"/>
      <c r="Q8" s="489"/>
      <c r="R8" s="489"/>
      <c r="S8" s="489"/>
      <c r="T8" s="489"/>
      <c r="U8" s="489"/>
      <c r="V8" s="490"/>
      <c r="W8" s="6"/>
      <c r="X8" s="6"/>
      <c r="Y8" s="6"/>
      <c r="Z8" s="5"/>
      <c r="AA8" s="5"/>
      <c r="AB8" s="6"/>
      <c r="AC8" s="6"/>
      <c r="AD8" s="6"/>
      <c r="AE8" s="6"/>
      <c r="AF8" s="6"/>
      <c r="AG8" s="6"/>
      <c r="AH8" s="6"/>
      <c r="AI8" s="6"/>
      <c r="AJ8" s="6"/>
      <c r="AK8" s="6"/>
      <c r="AL8" s="6"/>
      <c r="AM8" s="6"/>
      <c r="AN8" s="6"/>
      <c r="AO8" s="6"/>
      <c r="AP8" s="6"/>
      <c r="AQ8" s="23" t="s">
        <v>27</v>
      </c>
    </row>
    <row r="9" spans="1:43" s="682" customFormat="1" ht="43.5" customHeight="1" x14ac:dyDescent="0.25">
      <c r="A9" s="488"/>
      <c r="B9" s="458"/>
      <c r="C9" s="807"/>
      <c r="D9" s="808"/>
      <c r="E9" s="233"/>
      <c r="F9" s="234"/>
      <c r="G9" s="950"/>
      <c r="H9" s="951"/>
      <c r="I9" s="951"/>
      <c r="J9" s="951"/>
      <c r="K9" s="952"/>
      <c r="L9" s="953" t="str">
        <f>IF(AND(C9="",D9="",E9="",F9="",G9=""),"",IF($F$9="","Enter site life","OK"))</f>
        <v/>
      </c>
      <c r="M9" s="954"/>
      <c r="N9" s="232"/>
      <c r="O9" s="479"/>
      <c r="P9" s="479"/>
      <c r="Q9" s="489"/>
      <c r="R9" s="489"/>
      <c r="S9" s="489"/>
      <c r="T9" s="489"/>
      <c r="U9" s="489"/>
      <c r="V9" s="490"/>
      <c r="W9" s="6"/>
      <c r="X9" s="6"/>
      <c r="Y9" s="6"/>
      <c r="Z9" s="5"/>
      <c r="AA9" s="5"/>
      <c r="AB9" s="6"/>
      <c r="AC9" s="6"/>
      <c r="AD9" s="6"/>
      <c r="AE9" s="6"/>
      <c r="AF9" s="6"/>
      <c r="AG9" s="6"/>
      <c r="AH9" s="6"/>
      <c r="AI9" s="6"/>
      <c r="AJ9" s="6"/>
      <c r="AK9" s="6"/>
      <c r="AL9" s="6"/>
      <c r="AM9" s="6"/>
      <c r="AN9" s="6"/>
      <c r="AO9" s="6"/>
      <c r="AP9" s="6"/>
      <c r="AQ9" s="23" t="s">
        <v>27</v>
      </c>
    </row>
    <row r="10" spans="1:43" s="682" customFormat="1" ht="15" customHeight="1" thickBot="1" x14ac:dyDescent="0.25">
      <c r="A10" s="491"/>
      <c r="B10" s="946"/>
      <c r="C10" s="946"/>
      <c r="D10" s="946"/>
      <c r="E10" s="946"/>
      <c r="F10" s="946"/>
      <c r="G10" s="946"/>
      <c r="H10" s="946"/>
      <c r="I10" s="946"/>
      <c r="J10" s="946"/>
      <c r="K10" s="946"/>
      <c r="L10" s="946"/>
      <c r="M10" s="946"/>
      <c r="N10" s="946"/>
      <c r="O10" s="946"/>
      <c r="P10" s="946"/>
      <c r="Q10" s="946"/>
      <c r="R10" s="946"/>
      <c r="S10" s="946"/>
      <c r="T10" s="946"/>
      <c r="U10" s="946"/>
      <c r="V10" s="947"/>
      <c r="W10" s="6"/>
      <c r="X10" s="6"/>
      <c r="Y10" s="5"/>
      <c r="Z10" s="5"/>
      <c r="AA10" s="6"/>
      <c r="AB10" s="6"/>
      <c r="AC10" s="6"/>
      <c r="AD10" s="6"/>
      <c r="AE10" s="6"/>
      <c r="AF10" s="6"/>
      <c r="AG10" s="6"/>
      <c r="AH10" s="6"/>
      <c r="AI10" s="6"/>
      <c r="AJ10" s="6"/>
      <c r="AK10" s="6"/>
      <c r="AL10" s="6"/>
      <c r="AM10" s="6"/>
      <c r="AN10" s="6"/>
      <c r="AO10" s="6"/>
      <c r="AP10" s="24"/>
      <c r="AQ10" s="23" t="s">
        <v>27</v>
      </c>
    </row>
    <row r="11" spans="1:43" s="682" customFormat="1" ht="60.75" customHeight="1" thickBot="1" x14ac:dyDescent="0.25">
      <c r="A11" s="459"/>
      <c r="B11" s="312" t="s">
        <v>43</v>
      </c>
      <c r="C11" s="505" t="s">
        <v>44</v>
      </c>
      <c r="D11" s="117" t="s">
        <v>45</v>
      </c>
      <c r="E11" s="119" t="s">
        <v>46</v>
      </c>
      <c r="F11" s="120" t="s">
        <v>47</v>
      </c>
      <c r="G11" s="121" t="s">
        <v>48</v>
      </c>
      <c r="H11" s="313" t="s">
        <v>49</v>
      </c>
      <c r="I11" s="964" t="s">
        <v>50</v>
      </c>
      <c r="J11" s="965"/>
      <c r="K11" s="119" t="s">
        <v>51</v>
      </c>
      <c r="L11" s="122" t="s">
        <v>52</v>
      </c>
      <c r="M11" s="230" t="s">
        <v>53</v>
      </c>
      <c r="N11" s="231" t="s">
        <v>54</v>
      </c>
      <c r="O11" s="123" t="s">
        <v>55</v>
      </c>
      <c r="P11" s="214" t="s">
        <v>56</v>
      </c>
      <c r="Q11" s="117" t="s">
        <v>57</v>
      </c>
      <c r="R11" s="117" t="s">
        <v>58</v>
      </c>
      <c r="S11" s="124" t="s">
        <v>59</v>
      </c>
      <c r="T11" s="117" t="s">
        <v>60</v>
      </c>
      <c r="U11" s="125" t="s">
        <v>61</v>
      </c>
      <c r="V11" s="523" t="s">
        <v>42</v>
      </c>
      <c r="W11" s="500" t="s">
        <v>62</v>
      </c>
      <c r="X11" s="499" t="s">
        <v>34</v>
      </c>
      <c r="Y11" s="501" t="s">
        <v>63</v>
      </c>
      <c r="Z11" s="492"/>
      <c r="AA11" s="492"/>
      <c r="AB11" s="492" t="s">
        <v>64</v>
      </c>
      <c r="AC11" s="508" t="s">
        <v>65</v>
      </c>
      <c r="AD11" s="512" t="s">
        <v>66</v>
      </c>
      <c r="AE11" s="6"/>
      <c r="AF11" s="6"/>
      <c r="AG11" s="9"/>
      <c r="AH11" s="9"/>
      <c r="AI11" s="9"/>
      <c r="AJ11" s="30" t="s">
        <v>34</v>
      </c>
      <c r="AK11" s="30" t="s">
        <v>67</v>
      </c>
      <c r="AL11" s="25"/>
      <c r="AM11" s="7"/>
      <c r="AN11" s="24"/>
      <c r="AO11" s="24"/>
      <c r="AP11" s="6"/>
      <c r="AQ11" s="23" t="s">
        <v>27</v>
      </c>
    </row>
    <row r="12" spans="1:43" s="682" customFormat="1" ht="34.15" customHeight="1" x14ac:dyDescent="0.2">
      <c r="A12" s="150">
        <v>1</v>
      </c>
      <c r="B12" s="98"/>
      <c r="C12" s="107"/>
      <c r="D12" s="99"/>
      <c r="E12" s="100"/>
      <c r="F12" s="101"/>
      <c r="G12" s="126" t="str">
        <f t="shared" ref="G12:G43" si="0">IFERROR(((F12/E12)^(1/X12))-1,"")</f>
        <v/>
      </c>
      <c r="H12" s="307"/>
      <c r="I12" s="940"/>
      <c r="J12" s="941"/>
      <c r="K12" s="102"/>
      <c r="L12" s="103"/>
      <c r="M12" s="127" t="str">
        <f>IF(K12="","",K12-L12)</f>
        <v/>
      </c>
      <c r="N12" s="128">
        <f>IFERROR(M12/K12,0)</f>
        <v>0</v>
      </c>
      <c r="O12" s="104"/>
      <c r="P12" s="133" t="str">
        <f t="shared" ref="P12:P43" si="1">IF(OR(F12="",M12=""),"",M12*F12/100)</f>
        <v/>
      </c>
      <c r="Q12" s="134" t="str">
        <f>IF(OR(P12&lt;=0,P12=""),"",O12/P12)</f>
        <v/>
      </c>
      <c r="R12" s="135" t="str">
        <f t="shared" ref="R12:R43" si="2">IFERROR(IF(D12="Electricity",AD12,HLOOKUP(D12,$AH$115:$AQ$153,2,FALSE)),"")</f>
        <v/>
      </c>
      <c r="S12" s="136" t="str">
        <f>IF(OR(D12="",M12="",R12=""),"",M12*R12/1000)</f>
        <v/>
      </c>
      <c r="T12" s="136" t="str">
        <f>IF(S12="","",W12*S12)</f>
        <v/>
      </c>
      <c r="U12" s="137" t="str">
        <f>IF(ISERROR(O12/T12),"",O12/T12)</f>
        <v/>
      </c>
      <c r="V12" s="524" t="str">
        <f ca="1">IF('Extra look-up'!$H6="Work Type","Check Work Type",IF(AND(D12="",F12="",H12="",I12="",L12="",M12=""),"",IF(OR(D12="",F12="",H12="",I12="",L12="",M12="",$L$9&lt;&gt;"OK"),"Check all fields completed correctly",IF(AND(D12="",OR(F12&lt;&gt;"",H12&lt;&gt;"",I12&lt;&gt;"",L12&lt;&gt;"")),"Check all fields completed correctly","OK"))))</f>
        <v/>
      </c>
      <c r="W12" s="493" t="str">
        <f>IF(I12="","",IF(VLOOKUP(I12,'Eligible Technologies'!$D$7:$G$69,4,FALSE)&lt;$F$9,VLOOKUP(I12,'Eligible Technologies'!$D$7:$G$69,4,FALSE),$F$9))</f>
        <v/>
      </c>
      <c r="X12" s="494" t="str">
        <f>IF(Q12="","",ROUNDUP($Q$65,0))</f>
        <v/>
      </c>
      <c r="Y12" s="494">
        <f ca="1">IF(V12="",0,1)</f>
        <v>0</v>
      </c>
      <c r="Z12" s="494" t="str">
        <f>'Extra look-up'!F6</f>
        <v/>
      </c>
      <c r="AA12" s="494" t="str">
        <f ca="1">'Extra look-up'!H6</f>
        <v>OK</v>
      </c>
      <c r="AB12" s="494">
        <f ca="1">IF(AND(V12&lt;&gt;"OK",V12&lt;&gt;""),51,1)</f>
        <v>1</v>
      </c>
      <c r="AC12" s="509" t="e">
        <f>ROUNDUP(W12,0)+100</f>
        <v>#VALUE!</v>
      </c>
      <c r="AD12" s="513">
        <f>$AH$116</f>
        <v>0.1953</v>
      </c>
      <c r="AE12" s="506"/>
      <c r="AF12" s="506"/>
      <c r="AG12" s="9"/>
      <c r="AH12" s="9"/>
      <c r="AI12" s="9"/>
      <c r="AJ12" s="30" t="str">
        <f>IF(OR($D$5="Higher Education Institute",$D$4="Scotland",$D$4="Wales",$D$4="Northern Ireland"),8,IF(OR($D$5="Local Authority",$D$5="NHS",$D$5="Emergency Services",$D$5="Maintained School (Local Authority)"),10,""))</f>
        <v/>
      </c>
      <c r="AK12" s="30" t="str">
        <f>IF($D$4="Scotland",250,IF($D$4="Northern Ireland",200,IF(OR($D$4="Wales",$D$5="Higher Education Institute"),275,IF(OR($D$5="Local Authority",$D$5="NHS",$D$5="Emergency Services",$D$5="Maintained School (Local Authority)"),344,""))))</f>
        <v/>
      </c>
      <c r="AL12" s="8"/>
      <c r="AM12" s="6"/>
      <c r="AN12" s="24"/>
      <c r="AO12" s="24"/>
      <c r="AP12" s="6"/>
      <c r="AQ12" s="23" t="s">
        <v>27</v>
      </c>
    </row>
    <row r="13" spans="1:43" s="682" customFormat="1" ht="34.15" customHeight="1" x14ac:dyDescent="0.2">
      <c r="A13" s="151">
        <v>2</v>
      </c>
      <c r="B13" s="98"/>
      <c r="C13" s="106"/>
      <c r="D13" s="99"/>
      <c r="E13" s="100"/>
      <c r="F13" s="101"/>
      <c r="G13" s="853" t="str">
        <f t="shared" si="0"/>
        <v/>
      </c>
      <c r="H13" s="307"/>
      <c r="I13" s="940"/>
      <c r="J13" s="941"/>
      <c r="K13" s="102"/>
      <c r="L13" s="103"/>
      <c r="M13" s="129" t="str">
        <f t="shared" ref="M13:M61" si="3">IF(K13="","",K13-L13)</f>
        <v/>
      </c>
      <c r="N13" s="130">
        <f t="shared" ref="N13:N61" si="4">IFERROR(M13/K13,0)</f>
        <v>0</v>
      </c>
      <c r="O13" s="104"/>
      <c r="P13" s="138" t="str">
        <f t="shared" si="1"/>
        <v/>
      </c>
      <c r="Q13" s="139" t="str">
        <f t="shared" ref="Q13:Q61" si="5">IF(OR(P13&lt;=0,P13=""),"",O13/P13)</f>
        <v/>
      </c>
      <c r="R13" s="518" t="str">
        <f t="shared" si="2"/>
        <v/>
      </c>
      <c r="S13" s="140" t="str">
        <f t="shared" ref="S13:S43" si="6">IF(OR(D13="",M13="",R13=""),"",M13*R13/1000)</f>
        <v/>
      </c>
      <c r="T13" s="140" t="str">
        <f t="shared" ref="T13:T61" si="7">IF(S13="","",W13*S13)</f>
        <v/>
      </c>
      <c r="U13" s="141" t="str">
        <f t="shared" ref="U13:U61" si="8">IF(ISERROR(O13/T13),"",O13/T13)</f>
        <v/>
      </c>
      <c r="V13" s="524" t="str">
        <f ca="1">IF('Extra look-up'!$H7="Work Type","Check Work Type",IF(AND(D13="",F13="",H13="",I13="",L13="",M13=""),"",IF(OR(D13="",F13="",H13="",I13="",L13="",M13="",$L$9&lt;&gt;"OK"),"Check all fields completed correctly",IF(AND(D13="",OR(F13&lt;&gt;"",H13&lt;&gt;"",I13&lt;&gt;"",L13&lt;&gt;"")),"Check all fields completed correctly","OK"))))</f>
        <v/>
      </c>
      <c r="W13" s="495" t="str">
        <f>IF(I13="","",IF(VLOOKUP(I13,'Eligible Technologies'!$D$7:$G$69,4,FALSE)&lt;$F$9,VLOOKUP(I13,'Eligible Technologies'!$D$7:$G$69,4,FALSE),$F$9))</f>
        <v/>
      </c>
      <c r="X13" s="496" t="str">
        <f t="shared" ref="X13:X17" si="9">IF(Q13="","",ROUNDUP($Q$65,0))</f>
        <v/>
      </c>
      <c r="Y13" s="496">
        <f t="shared" ref="Y13:Y61" ca="1" si="10">IF(V13="",0,1)</f>
        <v>0</v>
      </c>
      <c r="Z13" s="496" t="str">
        <f>'Extra look-up'!F7</f>
        <v/>
      </c>
      <c r="AA13" s="496" t="str">
        <f ca="1">'Extra look-up'!H7</f>
        <v>OK</v>
      </c>
      <c r="AB13" s="496">
        <f ca="1">IF(AND(V13&lt;&gt;"OK",V13&lt;&gt;""),51,1)</f>
        <v>1</v>
      </c>
      <c r="AC13" s="510" t="e">
        <f>ROUNDUP(W13,0)+100</f>
        <v>#VALUE!</v>
      </c>
      <c r="AD13" s="513">
        <f t="shared" ref="AD13:AD61" si="11">$AH$116</f>
        <v>0.1953</v>
      </c>
      <c r="AE13" s="507"/>
      <c r="AF13" s="507"/>
      <c r="AG13" s="9"/>
      <c r="AH13" s="9"/>
      <c r="AI13" s="9"/>
      <c r="AJ13" s="9"/>
      <c r="AK13" s="9"/>
      <c r="AL13" s="9"/>
      <c r="AM13" s="6"/>
      <c r="AN13" s="24"/>
      <c r="AO13" s="24"/>
      <c r="AP13" s="6"/>
      <c r="AQ13" s="23" t="s">
        <v>27</v>
      </c>
    </row>
    <row r="14" spans="1:43" s="682" customFormat="1" ht="34.15" customHeight="1" x14ac:dyDescent="0.2">
      <c r="A14" s="151">
        <v>3</v>
      </c>
      <c r="B14" s="98"/>
      <c r="C14" s="107"/>
      <c r="D14" s="99"/>
      <c r="E14" s="100"/>
      <c r="F14" s="101"/>
      <c r="G14" s="853" t="str">
        <f t="shared" si="0"/>
        <v/>
      </c>
      <c r="H14" s="307"/>
      <c r="I14" s="940"/>
      <c r="J14" s="941"/>
      <c r="K14" s="102"/>
      <c r="L14" s="103"/>
      <c r="M14" s="129" t="str">
        <f t="shared" si="3"/>
        <v/>
      </c>
      <c r="N14" s="130">
        <f t="shared" si="4"/>
        <v>0</v>
      </c>
      <c r="O14" s="104"/>
      <c r="P14" s="138" t="str">
        <f t="shared" si="1"/>
        <v/>
      </c>
      <c r="Q14" s="139" t="str">
        <f t="shared" si="5"/>
        <v/>
      </c>
      <c r="R14" s="518" t="str">
        <f t="shared" si="2"/>
        <v/>
      </c>
      <c r="S14" s="140" t="str">
        <f t="shared" si="6"/>
        <v/>
      </c>
      <c r="T14" s="140" t="str">
        <f t="shared" si="7"/>
        <v/>
      </c>
      <c r="U14" s="141" t="str">
        <f t="shared" si="8"/>
        <v/>
      </c>
      <c r="V14" s="524" t="str">
        <f ca="1">IF('Extra look-up'!$H8="Work Type","Check Work Type",IF(AND(D14="",F14="",H14="",I14="",L14="",M14=""),"",IF(OR(D14="",F14="",H14="",I14="",L14="",M14="",$L$9&lt;&gt;"OK"),"Check all fields completed correctly",IF(AND(D14="",OR(F14&lt;&gt;"",H14&lt;&gt;"",I14&lt;&gt;"",L14&lt;&gt;"")),"Check all fields completed correctly","OK"))))</f>
        <v/>
      </c>
      <c r="W14" s="495" t="str">
        <f>IF(I14="","",IF(VLOOKUP(I14,'Eligible Technologies'!$D$7:$G$69,4,FALSE)&lt;$F$9,VLOOKUP(I14,'Eligible Technologies'!$D$7:$G$69,4,FALSE),$F$9))</f>
        <v/>
      </c>
      <c r="X14" s="496" t="str">
        <f t="shared" si="9"/>
        <v/>
      </c>
      <c r="Y14" s="496">
        <f t="shared" ca="1" si="10"/>
        <v>0</v>
      </c>
      <c r="Z14" s="496" t="str">
        <f>'Extra look-up'!F8</f>
        <v/>
      </c>
      <c r="AA14" s="496" t="str">
        <f ca="1">'Extra look-up'!H8</f>
        <v>OK</v>
      </c>
      <c r="AB14" s="496">
        <f t="shared" ref="AB14:AB61" ca="1" si="12">IF(AND(V14&lt;&gt;"OK",V14&lt;&gt;""),51,1)</f>
        <v>1</v>
      </c>
      <c r="AC14" s="510" t="e">
        <f>ROUNDUP(W14,0)+100</f>
        <v>#VALUE!</v>
      </c>
      <c r="AD14" s="513">
        <f t="shared" si="11"/>
        <v>0.1953</v>
      </c>
      <c r="AE14" s="507"/>
      <c r="AF14" s="507"/>
      <c r="AG14" s="9"/>
      <c r="AH14" s="9"/>
      <c r="AI14" s="9"/>
      <c r="AJ14" s="9"/>
      <c r="AK14" s="9"/>
      <c r="AL14" s="9"/>
      <c r="AM14" s="6"/>
      <c r="AN14" s="6"/>
      <c r="AO14" s="6"/>
      <c r="AP14" s="6"/>
      <c r="AQ14" s="23" t="s">
        <v>27</v>
      </c>
    </row>
    <row r="15" spans="1:43" s="682" customFormat="1" ht="34.15" customHeight="1" x14ac:dyDescent="0.2">
      <c r="A15" s="151">
        <v>4</v>
      </c>
      <c r="B15" s="98"/>
      <c r="C15" s="105"/>
      <c r="D15" s="99"/>
      <c r="E15" s="100"/>
      <c r="F15" s="101"/>
      <c r="G15" s="126" t="str">
        <f t="shared" si="0"/>
        <v/>
      </c>
      <c r="H15" s="307"/>
      <c r="I15" s="940"/>
      <c r="J15" s="941"/>
      <c r="K15" s="102"/>
      <c r="L15" s="103"/>
      <c r="M15" s="131" t="str">
        <f t="shared" si="3"/>
        <v/>
      </c>
      <c r="N15" s="130">
        <f t="shared" si="4"/>
        <v>0</v>
      </c>
      <c r="O15" s="104"/>
      <c r="P15" s="138" t="str">
        <f t="shared" si="1"/>
        <v/>
      </c>
      <c r="Q15" s="139" t="str">
        <f t="shared" si="5"/>
        <v/>
      </c>
      <c r="R15" s="518" t="str">
        <f t="shared" si="2"/>
        <v/>
      </c>
      <c r="S15" s="140" t="str">
        <f t="shared" si="6"/>
        <v/>
      </c>
      <c r="T15" s="140" t="str">
        <f t="shared" si="7"/>
        <v/>
      </c>
      <c r="U15" s="141" t="str">
        <f t="shared" si="8"/>
        <v/>
      </c>
      <c r="V15" s="524" t="str">
        <f ca="1">IF('Extra look-up'!$H9="Work Type","Check Work Type",IF(AND(D15="",F15="",H15="",I15="",L15="",M15=""),"",IF(OR(D15="",F15="",H15="",I15="",L15="",M15="",$L$9&lt;&gt;"OK"),"Check all fields completed correctly",IF(AND(D15="",OR(F15&lt;&gt;"",H15&lt;&gt;"",I15&lt;&gt;"",L15&lt;&gt;"")),"Check all fields completed correctly","OK"))))</f>
        <v/>
      </c>
      <c r="W15" s="495" t="str">
        <f>IF(I15="","",IF(VLOOKUP(I15,'Eligible Technologies'!$D$7:$G$69,4,FALSE)&lt;$F$9,VLOOKUP(I15,'Eligible Technologies'!$D$7:$G$69,4,FALSE),$F$9))</f>
        <v/>
      </c>
      <c r="X15" s="496" t="str">
        <f t="shared" si="9"/>
        <v/>
      </c>
      <c r="Y15" s="496">
        <f t="shared" ca="1" si="10"/>
        <v>0</v>
      </c>
      <c r="Z15" s="496" t="str">
        <f>'Extra look-up'!F9</f>
        <v/>
      </c>
      <c r="AA15" s="496" t="str">
        <f ca="1">'Extra look-up'!H9</f>
        <v>OK</v>
      </c>
      <c r="AB15" s="496">
        <f t="shared" ca="1" si="12"/>
        <v>1</v>
      </c>
      <c r="AC15" s="510" t="e">
        <f t="shared" ref="AC15:AC61" si="13">ROUNDUP(W15,0)+100</f>
        <v>#VALUE!</v>
      </c>
      <c r="AD15" s="513">
        <f t="shared" si="11"/>
        <v>0.1953</v>
      </c>
      <c r="AE15" s="507"/>
      <c r="AF15" s="507"/>
      <c r="AG15" s="9"/>
      <c r="AH15" s="9"/>
      <c r="AI15" s="9"/>
      <c r="AJ15" s="9"/>
      <c r="AK15" s="9"/>
      <c r="AL15" s="9"/>
      <c r="AM15" s="6"/>
      <c r="AN15" s="6"/>
      <c r="AO15" s="6"/>
      <c r="AP15" s="6"/>
      <c r="AQ15" s="23" t="s">
        <v>27</v>
      </c>
    </row>
    <row r="16" spans="1:43" s="682" customFormat="1" ht="34.15" customHeight="1" x14ac:dyDescent="0.2">
      <c r="A16" s="151">
        <v>5</v>
      </c>
      <c r="B16" s="98"/>
      <c r="C16" s="106"/>
      <c r="D16" s="99"/>
      <c r="E16" s="100"/>
      <c r="F16" s="101"/>
      <c r="G16" s="126" t="str">
        <f t="shared" si="0"/>
        <v/>
      </c>
      <c r="H16" s="307"/>
      <c r="I16" s="940"/>
      <c r="J16" s="941"/>
      <c r="K16" s="102"/>
      <c r="L16" s="103"/>
      <c r="M16" s="132" t="str">
        <f t="shared" si="3"/>
        <v/>
      </c>
      <c r="N16" s="130">
        <f t="shared" si="4"/>
        <v>0</v>
      </c>
      <c r="O16" s="104"/>
      <c r="P16" s="138" t="str">
        <f t="shared" si="1"/>
        <v/>
      </c>
      <c r="Q16" s="139" t="str">
        <f>IF(OR(P16&lt;=0,P16=""),"",O16/P16)</f>
        <v/>
      </c>
      <c r="R16" s="518" t="str">
        <f t="shared" si="2"/>
        <v/>
      </c>
      <c r="S16" s="140" t="str">
        <f t="shared" si="6"/>
        <v/>
      </c>
      <c r="T16" s="140" t="str">
        <f t="shared" si="7"/>
        <v/>
      </c>
      <c r="U16" s="141" t="str">
        <f t="shared" si="8"/>
        <v/>
      </c>
      <c r="V16" s="524" t="str">
        <f ca="1">IF('Extra look-up'!$H10="Work Type","Check Work Type",IF(AND(D16="",F16="",H16="",I16="",L16="",M16=""),"",IF(OR(D16="",F16="",H16="",I16="",L16="",M16="",$L$9&lt;&gt;"OK"),"Check all fields completed correctly",IF(AND(D16="",OR(F16&lt;&gt;"",H16&lt;&gt;"",I16&lt;&gt;"",L16&lt;&gt;"")),"Check all fields completed correctly","OK"))))</f>
        <v/>
      </c>
      <c r="W16" s="495" t="str">
        <f>IF(I16="","",IF(VLOOKUP(I16,'Eligible Technologies'!$D$7:$G$69,4,FALSE)&lt;$F$9,VLOOKUP(I16,'Eligible Technologies'!$D$7:$G$69,4,FALSE),$F$9))</f>
        <v/>
      </c>
      <c r="X16" s="496" t="str">
        <f t="shared" si="9"/>
        <v/>
      </c>
      <c r="Y16" s="496">
        <f t="shared" ca="1" si="10"/>
        <v>0</v>
      </c>
      <c r="Z16" s="496" t="str">
        <f>'Extra look-up'!F10</f>
        <v/>
      </c>
      <c r="AA16" s="496" t="str">
        <f ca="1">'Extra look-up'!H10</f>
        <v>OK</v>
      </c>
      <c r="AB16" s="496">
        <f t="shared" ca="1" si="12"/>
        <v>1</v>
      </c>
      <c r="AC16" s="510" t="e">
        <f t="shared" si="13"/>
        <v>#VALUE!</v>
      </c>
      <c r="AD16" s="513">
        <f t="shared" si="11"/>
        <v>0.1953</v>
      </c>
      <c r="AE16" s="507"/>
      <c r="AF16" s="507"/>
      <c r="AG16" s="9"/>
      <c r="AH16" s="9"/>
      <c r="AI16" s="9"/>
      <c r="AJ16" s="9"/>
      <c r="AK16" s="9"/>
      <c r="AL16" s="9"/>
      <c r="AM16" s="6"/>
      <c r="AN16" s="6"/>
      <c r="AO16" s="6"/>
      <c r="AP16" s="6"/>
      <c r="AQ16" s="23" t="s">
        <v>27</v>
      </c>
    </row>
    <row r="17" spans="1:70" s="682" customFormat="1" ht="34.15" customHeight="1" x14ac:dyDescent="0.2">
      <c r="A17" s="151">
        <v>6</v>
      </c>
      <c r="B17" s="98"/>
      <c r="C17" s="105"/>
      <c r="D17" s="99"/>
      <c r="E17" s="100"/>
      <c r="F17" s="101"/>
      <c r="G17" s="126" t="str">
        <f t="shared" si="0"/>
        <v/>
      </c>
      <c r="H17" s="307"/>
      <c r="I17" s="940"/>
      <c r="J17" s="941"/>
      <c r="K17" s="102"/>
      <c r="L17" s="103"/>
      <c r="M17" s="129" t="str">
        <f>IF(K17="","",K17-L17)</f>
        <v/>
      </c>
      <c r="N17" s="130">
        <f t="shared" si="4"/>
        <v>0</v>
      </c>
      <c r="O17" s="104"/>
      <c r="P17" s="138" t="str">
        <f t="shared" si="1"/>
        <v/>
      </c>
      <c r="Q17" s="139" t="str">
        <f t="shared" si="5"/>
        <v/>
      </c>
      <c r="R17" s="518" t="str">
        <f t="shared" si="2"/>
        <v/>
      </c>
      <c r="S17" s="140" t="str">
        <f t="shared" si="6"/>
        <v/>
      </c>
      <c r="T17" s="140" t="str">
        <f t="shared" si="7"/>
        <v/>
      </c>
      <c r="U17" s="141" t="str">
        <f t="shared" si="8"/>
        <v/>
      </c>
      <c r="V17" s="524" t="str">
        <f ca="1">IF('Extra look-up'!$H11="Work Type","Check Work Type",IF(AND(D17="",F17="",H17="",I17="",L17="",M17=""),"",IF(OR(D17="",F17="",H17="",I17="",L17="",M17="",$L$9&lt;&gt;"OK"),"Check all fields completed correctly",IF(AND(D17="",OR(F17&lt;&gt;"",H17&lt;&gt;"",I17&lt;&gt;"",L17&lt;&gt;"")),"Check all fields completed correctly","OK"))))</f>
        <v/>
      </c>
      <c r="W17" s="495" t="str">
        <f>IF(I17="","",IF(VLOOKUP(I17,'Eligible Technologies'!$D$7:$G$69,4,FALSE)&lt;$F$9,VLOOKUP(I17,'Eligible Technologies'!$D$7:$G$69,4,FALSE),$F$9))</f>
        <v/>
      </c>
      <c r="X17" s="496" t="str">
        <f t="shared" si="9"/>
        <v/>
      </c>
      <c r="Y17" s="496">
        <f t="shared" ca="1" si="10"/>
        <v>0</v>
      </c>
      <c r="Z17" s="496" t="str">
        <f>'Extra look-up'!F11</f>
        <v/>
      </c>
      <c r="AA17" s="496" t="str">
        <f ca="1">'Extra look-up'!H11</f>
        <v>OK</v>
      </c>
      <c r="AB17" s="496">
        <f t="shared" ca="1" si="12"/>
        <v>1</v>
      </c>
      <c r="AC17" s="510" t="e">
        <f t="shared" si="13"/>
        <v>#VALUE!</v>
      </c>
      <c r="AD17" s="513">
        <f t="shared" si="11"/>
        <v>0.1953</v>
      </c>
      <c r="AE17" s="507"/>
      <c r="AF17" s="507"/>
      <c r="AG17" s="8"/>
      <c r="AH17" s="9"/>
      <c r="AI17" s="8"/>
      <c r="AJ17" s="8"/>
      <c r="AK17" s="9"/>
      <c r="AL17" s="9"/>
      <c r="AM17" s="6"/>
      <c r="AN17" s="6"/>
      <c r="AO17" s="6"/>
      <c r="AP17" s="6"/>
      <c r="AQ17" s="24"/>
    </row>
    <row r="18" spans="1:70" s="682" customFormat="1" ht="34.15" customHeight="1" x14ac:dyDescent="0.2">
      <c r="A18" s="151">
        <v>7</v>
      </c>
      <c r="B18" s="98"/>
      <c r="C18" s="106"/>
      <c r="D18" s="99"/>
      <c r="E18" s="100"/>
      <c r="F18" s="101"/>
      <c r="G18" s="126" t="str">
        <f t="shared" si="0"/>
        <v/>
      </c>
      <c r="H18" s="307"/>
      <c r="I18" s="940"/>
      <c r="J18" s="941"/>
      <c r="K18" s="102"/>
      <c r="L18" s="103"/>
      <c r="M18" s="131" t="str">
        <f t="shared" si="3"/>
        <v/>
      </c>
      <c r="N18" s="130">
        <f t="shared" si="4"/>
        <v>0</v>
      </c>
      <c r="O18" s="104"/>
      <c r="P18" s="138" t="str">
        <f t="shared" si="1"/>
        <v/>
      </c>
      <c r="Q18" s="139" t="str">
        <f t="shared" si="5"/>
        <v/>
      </c>
      <c r="R18" s="518" t="str">
        <f t="shared" si="2"/>
        <v/>
      </c>
      <c r="S18" s="140" t="str">
        <f t="shared" si="6"/>
        <v/>
      </c>
      <c r="T18" s="140" t="str">
        <f t="shared" si="7"/>
        <v/>
      </c>
      <c r="U18" s="141" t="str">
        <f t="shared" si="8"/>
        <v/>
      </c>
      <c r="V18" s="524" t="str">
        <f ca="1">IF('Extra look-up'!$H12="Work Type","Check Work Type",IF(AND(D18="",F18="",H18="",I18="",L18="",M18=""),"",IF(OR(D18="",F18="",H18="",I18="",L18="",M18="",$L$9&lt;&gt;"OK"),"Check all fields completed correctly",IF(AND(D18="",OR(F18&lt;&gt;"",H18&lt;&gt;"",I18&lt;&gt;"",L18&lt;&gt;"")),"Check all fields completed correctly","OK"))))</f>
        <v/>
      </c>
      <c r="W18" s="495" t="str">
        <f>IF(I18="","",IF(VLOOKUP(I18,'Eligible Technologies'!$D$7:$G$69,4,FALSE)&lt;$F$9,VLOOKUP(I18,'Eligible Technologies'!$D$7:$G$69,4,FALSE),$F$9))</f>
        <v/>
      </c>
      <c r="X18" s="496" t="str">
        <f t="shared" ref="X18:X61" si="14">IF(Q18="","",ROUNDUP($Q$65,0))</f>
        <v/>
      </c>
      <c r="Y18" s="496">
        <f t="shared" ca="1" si="10"/>
        <v>0</v>
      </c>
      <c r="Z18" s="496" t="str">
        <f>'Extra look-up'!F12</f>
        <v/>
      </c>
      <c r="AA18" s="496" t="str">
        <f ca="1">'Extra look-up'!H12</f>
        <v>OK</v>
      </c>
      <c r="AB18" s="496">
        <f t="shared" ca="1" si="12"/>
        <v>1</v>
      </c>
      <c r="AC18" s="510" t="e">
        <f t="shared" si="13"/>
        <v>#VALUE!</v>
      </c>
      <c r="AD18" s="513">
        <f t="shared" si="11"/>
        <v>0.1953</v>
      </c>
      <c r="AE18" s="507"/>
      <c r="AF18" s="507"/>
      <c r="AG18" s="8"/>
      <c r="AH18" s="9"/>
      <c r="AI18" s="8"/>
      <c r="AJ18" s="8"/>
      <c r="AK18" s="9"/>
      <c r="AL18" s="9"/>
      <c r="AM18" s="6"/>
      <c r="AN18" s="6"/>
      <c r="AO18" s="6"/>
      <c r="AP18" s="6"/>
      <c r="AQ18" s="24"/>
    </row>
    <row r="19" spans="1:70" s="682" customFormat="1" ht="34.15" customHeight="1" x14ac:dyDescent="0.2">
      <c r="A19" s="151">
        <v>8</v>
      </c>
      <c r="B19" s="98"/>
      <c r="C19" s="106"/>
      <c r="D19" s="99"/>
      <c r="E19" s="100"/>
      <c r="F19" s="101"/>
      <c r="G19" s="126" t="str">
        <f t="shared" si="0"/>
        <v/>
      </c>
      <c r="H19" s="307"/>
      <c r="I19" s="940"/>
      <c r="J19" s="941"/>
      <c r="K19" s="102"/>
      <c r="L19" s="103"/>
      <c r="M19" s="129" t="str">
        <f t="shared" si="3"/>
        <v/>
      </c>
      <c r="N19" s="130">
        <f t="shared" si="4"/>
        <v>0</v>
      </c>
      <c r="O19" s="104"/>
      <c r="P19" s="138" t="str">
        <f t="shared" si="1"/>
        <v/>
      </c>
      <c r="Q19" s="139" t="str">
        <f t="shared" si="5"/>
        <v/>
      </c>
      <c r="R19" s="518" t="str">
        <f t="shared" si="2"/>
        <v/>
      </c>
      <c r="S19" s="140" t="str">
        <f t="shared" si="6"/>
        <v/>
      </c>
      <c r="T19" s="140" t="str">
        <f t="shared" si="7"/>
        <v/>
      </c>
      <c r="U19" s="141" t="str">
        <f t="shared" si="8"/>
        <v/>
      </c>
      <c r="V19" s="524" t="str">
        <f ca="1">IF('Extra look-up'!$H13="Work Type","Check Work Type",IF(AND(D19="",F19="",H19="",I19="",L19="",M19=""),"",IF(OR(D19="",F19="",H19="",I19="",L19="",M19="",$L$9&lt;&gt;"OK"),"Check all fields completed correctly",IF(AND(D19="",OR(F19&lt;&gt;"",H19&lt;&gt;"",I19&lt;&gt;"",L19&lt;&gt;"")),"Check all fields completed correctly","OK"))))</f>
        <v/>
      </c>
      <c r="W19" s="495" t="str">
        <f>IF(I19="","",IF(VLOOKUP(I19,'Eligible Technologies'!$D$7:$G$69,4,FALSE)&lt;$F$9,VLOOKUP(I19,'Eligible Technologies'!$D$7:$G$69,4,FALSE),$F$9))</f>
        <v/>
      </c>
      <c r="X19" s="496" t="str">
        <f t="shared" si="14"/>
        <v/>
      </c>
      <c r="Y19" s="496">
        <f t="shared" ca="1" si="10"/>
        <v>0</v>
      </c>
      <c r="Z19" s="496" t="str">
        <f>'Extra look-up'!F13</f>
        <v/>
      </c>
      <c r="AA19" s="496" t="str">
        <f ca="1">'Extra look-up'!H13</f>
        <v>OK</v>
      </c>
      <c r="AB19" s="496">
        <f t="shared" ca="1" si="12"/>
        <v>1</v>
      </c>
      <c r="AC19" s="510" t="e">
        <f t="shared" si="13"/>
        <v>#VALUE!</v>
      </c>
      <c r="AD19" s="513">
        <f t="shared" si="11"/>
        <v>0.1953</v>
      </c>
      <c r="AE19" s="507"/>
      <c r="AF19" s="507"/>
      <c r="AG19" s="27" t="s">
        <v>68</v>
      </c>
      <c r="AH19" s="25" t="s">
        <v>69</v>
      </c>
      <c r="AI19" s="27" t="s">
        <v>70</v>
      </c>
      <c r="AJ19" s="27" t="s">
        <v>71</v>
      </c>
      <c r="AK19" s="25" t="s">
        <v>72</v>
      </c>
      <c r="AL19" s="25" t="s">
        <v>73</v>
      </c>
      <c r="AM19" s="7" t="s">
        <v>74</v>
      </c>
      <c r="AN19" s="7" t="s">
        <v>75</v>
      </c>
      <c r="AO19" s="7" t="s">
        <v>76</v>
      </c>
      <c r="AP19" s="6"/>
      <c r="AQ19" s="24"/>
    </row>
    <row r="20" spans="1:70" s="682" customFormat="1" ht="34.15" customHeight="1" x14ac:dyDescent="0.2">
      <c r="A20" s="151">
        <v>9</v>
      </c>
      <c r="B20" s="98"/>
      <c r="C20" s="107"/>
      <c r="D20" s="99"/>
      <c r="E20" s="100"/>
      <c r="F20" s="101"/>
      <c r="G20" s="126" t="str">
        <f t="shared" si="0"/>
        <v/>
      </c>
      <c r="H20" s="307"/>
      <c r="I20" s="940"/>
      <c r="J20" s="941"/>
      <c r="K20" s="102"/>
      <c r="L20" s="103"/>
      <c r="M20" s="129" t="str">
        <f t="shared" si="3"/>
        <v/>
      </c>
      <c r="N20" s="130">
        <f t="shared" si="4"/>
        <v>0</v>
      </c>
      <c r="O20" s="104"/>
      <c r="P20" s="138" t="str">
        <f t="shared" si="1"/>
        <v/>
      </c>
      <c r="Q20" s="139" t="str">
        <f t="shared" si="5"/>
        <v/>
      </c>
      <c r="R20" s="518" t="str">
        <f t="shared" si="2"/>
        <v/>
      </c>
      <c r="S20" s="140" t="str">
        <f t="shared" si="6"/>
        <v/>
      </c>
      <c r="T20" s="140" t="str">
        <f t="shared" si="7"/>
        <v/>
      </c>
      <c r="U20" s="141" t="str">
        <f t="shared" si="8"/>
        <v/>
      </c>
      <c r="V20" s="524" t="str">
        <f ca="1">IF('Extra look-up'!$H14="Work Type","Check Work Type",IF(AND(D20="",F20="",H20="",I20="",L20="",M20=""),"",IF(OR(D20="",F20="",H20="",I20="",L20="",M20="",$L$9&lt;&gt;"OK"),"Check all fields completed correctly",IF(AND(D20="",OR(F20&lt;&gt;"",H20&lt;&gt;"",I20&lt;&gt;"",L20&lt;&gt;"")),"Check all fields completed correctly","OK"))))</f>
        <v/>
      </c>
      <c r="W20" s="495" t="str">
        <f>IF(I20="","",IF(VLOOKUP(I20,'Eligible Technologies'!$D$7:$G$69,4,FALSE)&lt;$F$9,VLOOKUP(I20,'Eligible Technologies'!$D$7:$G$69,4,FALSE),$F$9))</f>
        <v/>
      </c>
      <c r="X20" s="496" t="str">
        <f t="shared" si="14"/>
        <v/>
      </c>
      <c r="Y20" s="496">
        <f t="shared" ca="1" si="10"/>
        <v>0</v>
      </c>
      <c r="Z20" s="496" t="str">
        <f>'Extra look-up'!F14</f>
        <v/>
      </c>
      <c r="AA20" s="496" t="str">
        <f ca="1">'Extra look-up'!H14</f>
        <v>OK</v>
      </c>
      <c r="AB20" s="496">
        <f t="shared" ca="1" si="12"/>
        <v>1</v>
      </c>
      <c r="AC20" s="510" t="e">
        <f t="shared" si="13"/>
        <v>#VALUE!</v>
      </c>
      <c r="AD20" s="513">
        <f t="shared" si="11"/>
        <v>0.1953</v>
      </c>
      <c r="AE20" s="507"/>
      <c r="AF20" s="507"/>
      <c r="AG20" s="8" t="s">
        <v>77</v>
      </c>
      <c r="AH20" s="9" t="s">
        <v>78</v>
      </c>
      <c r="AI20" s="8" t="s">
        <v>78</v>
      </c>
      <c r="AJ20" s="8" t="s">
        <v>77</v>
      </c>
      <c r="AK20" s="9" t="s">
        <v>79</v>
      </c>
      <c r="AL20" s="9" t="s">
        <v>77</v>
      </c>
      <c r="AM20" s="6" t="s">
        <v>77</v>
      </c>
      <c r="AN20" s="6" t="s">
        <v>77</v>
      </c>
      <c r="AO20" s="31" t="e">
        <f>'Extra look-up'!G122</f>
        <v>#N/A</v>
      </c>
      <c r="AP20" s="6"/>
      <c r="AQ20" s="24"/>
    </row>
    <row r="21" spans="1:70" s="682" customFormat="1" ht="34.15" customHeight="1" x14ac:dyDescent="0.2">
      <c r="A21" s="151">
        <v>10</v>
      </c>
      <c r="B21" s="98"/>
      <c r="C21" s="107"/>
      <c r="D21" s="99"/>
      <c r="E21" s="100"/>
      <c r="F21" s="101"/>
      <c r="G21" s="126" t="str">
        <f t="shared" si="0"/>
        <v/>
      </c>
      <c r="H21" s="307"/>
      <c r="I21" s="940"/>
      <c r="J21" s="941"/>
      <c r="K21" s="102"/>
      <c r="L21" s="103"/>
      <c r="M21" s="129" t="str">
        <f t="shared" si="3"/>
        <v/>
      </c>
      <c r="N21" s="130">
        <f t="shared" si="4"/>
        <v>0</v>
      </c>
      <c r="O21" s="104"/>
      <c r="P21" s="138" t="str">
        <f t="shared" si="1"/>
        <v/>
      </c>
      <c r="Q21" s="139" t="str">
        <f t="shared" si="5"/>
        <v/>
      </c>
      <c r="R21" s="518" t="str">
        <f t="shared" si="2"/>
        <v/>
      </c>
      <c r="S21" s="140" t="str">
        <f t="shared" si="6"/>
        <v/>
      </c>
      <c r="T21" s="140" t="str">
        <f t="shared" si="7"/>
        <v/>
      </c>
      <c r="U21" s="141" t="str">
        <f t="shared" si="8"/>
        <v/>
      </c>
      <c r="V21" s="524" t="str">
        <f ca="1">IF('Extra look-up'!$H15="Work Type","Check Work Type",IF(AND(D21="",F21="",H21="",I21="",L21="",M21=""),"",IF(OR(D21="",F21="",H21="",I21="",L21="",M21="",$L$9&lt;&gt;"OK"),"Check all fields completed correctly",IF(AND(D21="",OR(F21&lt;&gt;"",H21&lt;&gt;"",I21&lt;&gt;"",L21&lt;&gt;"")),"Check all fields completed correctly","OK"))))</f>
        <v/>
      </c>
      <c r="W21" s="495" t="str">
        <f>IF(I21="","",IF(VLOOKUP(I21,'Eligible Technologies'!$D$7:$G$69,4,FALSE)&lt;$F$9,VLOOKUP(I21,'Eligible Technologies'!$D$7:$G$69,4,FALSE),$F$9))</f>
        <v/>
      </c>
      <c r="X21" s="496" t="str">
        <f t="shared" si="14"/>
        <v/>
      </c>
      <c r="Y21" s="496">
        <f t="shared" ca="1" si="10"/>
        <v>0</v>
      </c>
      <c r="Z21" s="496" t="str">
        <f>'Extra look-up'!F15</f>
        <v/>
      </c>
      <c r="AA21" s="496" t="str">
        <f ca="1">'Extra look-up'!H15</f>
        <v>OK</v>
      </c>
      <c r="AB21" s="496">
        <f t="shared" ca="1" si="12"/>
        <v>1</v>
      </c>
      <c r="AC21" s="510" t="e">
        <f t="shared" si="13"/>
        <v>#VALUE!</v>
      </c>
      <c r="AD21" s="513">
        <f t="shared" si="11"/>
        <v>0.1953</v>
      </c>
      <c r="AE21" s="507"/>
      <c r="AF21" s="507"/>
      <c r="AG21" s="8" t="s">
        <v>80</v>
      </c>
      <c r="AH21" s="9" t="s">
        <v>77</v>
      </c>
      <c r="AI21" s="8" t="s">
        <v>77</v>
      </c>
      <c r="AJ21" s="8" t="s">
        <v>81</v>
      </c>
      <c r="AK21" s="9" t="s">
        <v>77</v>
      </c>
      <c r="AL21" s="9" t="s">
        <v>81</v>
      </c>
      <c r="AM21" s="6" t="s">
        <v>81</v>
      </c>
      <c r="AN21" s="6" t="s">
        <v>81</v>
      </c>
      <c r="AO21" s="6"/>
      <c r="AP21" s="6"/>
      <c r="AQ21" s="24"/>
    </row>
    <row r="22" spans="1:70" s="682" customFormat="1" ht="34.15" customHeight="1" x14ac:dyDescent="0.2">
      <c r="A22" s="151">
        <v>11</v>
      </c>
      <c r="B22" s="98"/>
      <c r="C22" s="107"/>
      <c r="D22" s="99"/>
      <c r="E22" s="100"/>
      <c r="F22" s="101"/>
      <c r="G22" s="126" t="str">
        <f t="shared" si="0"/>
        <v/>
      </c>
      <c r="H22" s="307"/>
      <c r="I22" s="940"/>
      <c r="J22" s="941"/>
      <c r="K22" s="102"/>
      <c r="L22" s="103"/>
      <c r="M22" s="129" t="str">
        <f t="shared" si="3"/>
        <v/>
      </c>
      <c r="N22" s="130">
        <f t="shared" si="4"/>
        <v>0</v>
      </c>
      <c r="O22" s="104"/>
      <c r="P22" s="138" t="str">
        <f t="shared" si="1"/>
        <v/>
      </c>
      <c r="Q22" s="139" t="str">
        <f t="shared" si="5"/>
        <v/>
      </c>
      <c r="R22" s="518" t="str">
        <f t="shared" si="2"/>
        <v/>
      </c>
      <c r="S22" s="140" t="str">
        <f t="shared" si="6"/>
        <v/>
      </c>
      <c r="T22" s="140" t="str">
        <f t="shared" si="7"/>
        <v/>
      </c>
      <c r="U22" s="141" t="str">
        <f t="shared" si="8"/>
        <v/>
      </c>
      <c r="V22" s="524" t="str">
        <f ca="1">IF('Extra look-up'!$H16="Work Type","Check Work Type",IF(AND(D22="",F22="",H22="",I22="",L22="",M22=""),"",IF(OR(D22="",F22="",H22="",I22="",L22="",M22="",$L$9&lt;&gt;"OK"),"Check all fields completed correctly",IF(AND(D22="",OR(F22&lt;&gt;"",H22&lt;&gt;"",I22&lt;&gt;"",L22&lt;&gt;"")),"Check all fields completed correctly","OK"))))</f>
        <v/>
      </c>
      <c r="W22" s="495" t="str">
        <f>IF(I22="","",IF(VLOOKUP(I22,'Eligible Technologies'!$D$7:$G$69,4,FALSE)&lt;$F$9,VLOOKUP(I22,'Eligible Technologies'!$D$7:$G$69,4,FALSE),$F$9))</f>
        <v/>
      </c>
      <c r="X22" s="496" t="str">
        <f t="shared" si="14"/>
        <v/>
      </c>
      <c r="Y22" s="496">
        <f t="shared" ca="1" si="10"/>
        <v>0</v>
      </c>
      <c r="Z22" s="496" t="str">
        <f>'Extra look-up'!F16</f>
        <v/>
      </c>
      <c r="AA22" s="496" t="str">
        <f ca="1">'Extra look-up'!H16</f>
        <v>OK</v>
      </c>
      <c r="AB22" s="496">
        <f t="shared" ca="1" si="12"/>
        <v>1</v>
      </c>
      <c r="AC22" s="510" t="e">
        <f t="shared" si="13"/>
        <v>#VALUE!</v>
      </c>
      <c r="AD22" s="513">
        <f t="shared" si="11"/>
        <v>0.1953</v>
      </c>
      <c r="AE22" s="507"/>
      <c r="AF22" s="507"/>
      <c r="AG22" s="8" t="s">
        <v>82</v>
      </c>
      <c r="AH22" s="9" t="s">
        <v>83</v>
      </c>
      <c r="AI22" s="8" t="s">
        <v>83</v>
      </c>
      <c r="AJ22" s="8" t="s">
        <v>84</v>
      </c>
      <c r="AK22" s="9" t="s">
        <v>81</v>
      </c>
      <c r="AL22" s="9" t="s">
        <v>85</v>
      </c>
      <c r="AM22" s="6" t="s">
        <v>85</v>
      </c>
      <c r="AN22" s="6" t="s">
        <v>85</v>
      </c>
      <c r="AO22" s="6"/>
      <c r="AP22" s="6"/>
      <c r="AQ22" s="24"/>
    </row>
    <row r="23" spans="1:70" s="682" customFormat="1" ht="34.15" customHeight="1" x14ac:dyDescent="0.2">
      <c r="A23" s="151">
        <v>12</v>
      </c>
      <c r="B23" s="98"/>
      <c r="C23" s="107"/>
      <c r="D23" s="99"/>
      <c r="E23" s="100"/>
      <c r="F23" s="101"/>
      <c r="G23" s="126" t="str">
        <f t="shared" si="0"/>
        <v/>
      </c>
      <c r="H23" s="307"/>
      <c r="I23" s="940"/>
      <c r="J23" s="941"/>
      <c r="K23" s="102"/>
      <c r="L23" s="103"/>
      <c r="M23" s="129" t="str">
        <f t="shared" si="3"/>
        <v/>
      </c>
      <c r="N23" s="130">
        <f t="shared" si="4"/>
        <v>0</v>
      </c>
      <c r="O23" s="104"/>
      <c r="P23" s="138" t="str">
        <f t="shared" si="1"/>
        <v/>
      </c>
      <c r="Q23" s="139" t="str">
        <f t="shared" si="5"/>
        <v/>
      </c>
      <c r="R23" s="518" t="str">
        <f t="shared" si="2"/>
        <v/>
      </c>
      <c r="S23" s="140" t="str">
        <f t="shared" si="6"/>
        <v/>
      </c>
      <c r="T23" s="140" t="str">
        <f t="shared" si="7"/>
        <v/>
      </c>
      <c r="U23" s="141" t="str">
        <f t="shared" si="8"/>
        <v/>
      </c>
      <c r="V23" s="524" t="str">
        <f ca="1">IF('Extra look-up'!$H17="Work Type","Check Work Type",IF(AND(D23="",F23="",H23="",I23="",L23="",M23=""),"",IF(OR(D23="",F23="",H23="",I23="",L23="",M23="",$L$9&lt;&gt;"OK"),"Check all fields completed correctly",IF(AND(D23="",OR(F23&lt;&gt;"",H23&lt;&gt;"",I23&lt;&gt;"",L23&lt;&gt;"")),"Check all fields completed correctly","OK"))))</f>
        <v/>
      </c>
      <c r="W23" s="495" t="str">
        <f>IF(I23="","",IF(VLOOKUP(I23,'Eligible Technologies'!$D$7:$G$69,4,FALSE)&lt;$F$9,VLOOKUP(I23,'Eligible Technologies'!$D$7:$G$69,4,FALSE),$F$9))</f>
        <v/>
      </c>
      <c r="X23" s="496" t="str">
        <f t="shared" si="14"/>
        <v/>
      </c>
      <c r="Y23" s="496">
        <f t="shared" ca="1" si="10"/>
        <v>0</v>
      </c>
      <c r="Z23" s="496" t="str">
        <f>'Extra look-up'!F17</f>
        <v/>
      </c>
      <c r="AA23" s="496" t="str">
        <f ca="1">'Extra look-up'!H17</f>
        <v>OK</v>
      </c>
      <c r="AB23" s="496">
        <f t="shared" ca="1" si="12"/>
        <v>1</v>
      </c>
      <c r="AC23" s="510" t="e">
        <f t="shared" si="13"/>
        <v>#VALUE!</v>
      </c>
      <c r="AD23" s="513">
        <f t="shared" si="11"/>
        <v>0.1953</v>
      </c>
      <c r="AE23" s="507"/>
      <c r="AF23" s="507"/>
      <c r="AG23" s="24" t="s">
        <v>86</v>
      </c>
      <c r="AH23" s="24" t="s">
        <v>87</v>
      </c>
      <c r="AI23" s="24" t="s">
        <v>87</v>
      </c>
      <c r="AJ23" s="24" t="s">
        <v>88</v>
      </c>
      <c r="AK23" s="24" t="s">
        <v>89</v>
      </c>
      <c r="AL23" s="24" t="s">
        <v>82</v>
      </c>
      <c r="AM23" s="6" t="s">
        <v>82</v>
      </c>
      <c r="AN23" s="6" t="s">
        <v>82</v>
      </c>
      <c r="AO23" s="6"/>
      <c r="AP23" s="6"/>
      <c r="AQ23" s="24"/>
    </row>
    <row r="24" spans="1:70" s="682" customFormat="1" ht="34.15" customHeight="1" x14ac:dyDescent="0.2">
      <c r="A24" s="151">
        <v>13</v>
      </c>
      <c r="B24" s="98"/>
      <c r="C24" s="107"/>
      <c r="D24" s="99"/>
      <c r="E24" s="100"/>
      <c r="F24" s="101"/>
      <c r="G24" s="126" t="str">
        <f t="shared" si="0"/>
        <v/>
      </c>
      <c r="H24" s="307"/>
      <c r="I24" s="940"/>
      <c r="J24" s="941"/>
      <c r="K24" s="102"/>
      <c r="L24" s="103"/>
      <c r="M24" s="129" t="str">
        <f t="shared" si="3"/>
        <v/>
      </c>
      <c r="N24" s="130">
        <f t="shared" si="4"/>
        <v>0</v>
      </c>
      <c r="O24" s="104"/>
      <c r="P24" s="138" t="str">
        <f t="shared" si="1"/>
        <v/>
      </c>
      <c r="Q24" s="139" t="str">
        <f t="shared" si="5"/>
        <v/>
      </c>
      <c r="R24" s="518" t="str">
        <f t="shared" si="2"/>
        <v/>
      </c>
      <c r="S24" s="140" t="str">
        <f t="shared" si="6"/>
        <v/>
      </c>
      <c r="T24" s="140" t="str">
        <f t="shared" si="7"/>
        <v/>
      </c>
      <c r="U24" s="141" t="str">
        <f t="shared" si="8"/>
        <v/>
      </c>
      <c r="V24" s="524" t="str">
        <f ca="1">IF('Extra look-up'!$H18="Work Type","Check Work Type",IF(AND(D24="",F24="",H24="",I24="",L24="",M24=""),"",IF(OR(D24="",F24="",H24="",I24="",L24="",M24="",$L$9&lt;&gt;"OK"),"Check all fields completed correctly",IF(AND(D24="",OR(F24&lt;&gt;"",H24&lt;&gt;"",I24&lt;&gt;"",L24&lt;&gt;"")),"Check all fields completed correctly","OK"))))</f>
        <v/>
      </c>
      <c r="W24" s="495" t="str">
        <f>IF(I24="","",IF(VLOOKUP(I24,'Eligible Technologies'!$D$7:$G$69,4,FALSE)&lt;$F$9,VLOOKUP(I24,'Eligible Technologies'!$D$7:$G$69,4,FALSE),$F$9))</f>
        <v/>
      </c>
      <c r="X24" s="496" t="str">
        <f t="shared" si="14"/>
        <v/>
      </c>
      <c r="Y24" s="496">
        <f t="shared" ca="1" si="10"/>
        <v>0</v>
      </c>
      <c r="Z24" s="496" t="str">
        <f>'Extra look-up'!F18</f>
        <v/>
      </c>
      <c r="AA24" s="496" t="str">
        <f ca="1">'Extra look-up'!H18</f>
        <v>OK</v>
      </c>
      <c r="AB24" s="496">
        <f t="shared" ca="1" si="12"/>
        <v>1</v>
      </c>
      <c r="AC24" s="510" t="e">
        <f t="shared" si="13"/>
        <v>#VALUE!</v>
      </c>
      <c r="AD24" s="513">
        <f t="shared" si="11"/>
        <v>0.1953</v>
      </c>
      <c r="AE24" s="507"/>
      <c r="AF24" s="507"/>
      <c r="AG24" s="24" t="s">
        <v>90</v>
      </c>
      <c r="AH24" s="9" t="s">
        <v>91</v>
      </c>
      <c r="AI24" s="24" t="s">
        <v>91</v>
      </c>
      <c r="AJ24" s="24" t="s">
        <v>92</v>
      </c>
      <c r="AK24" s="24" t="s">
        <v>93</v>
      </c>
      <c r="AL24" s="24" t="s">
        <v>94</v>
      </c>
      <c r="AM24" s="6" t="s">
        <v>94</v>
      </c>
      <c r="AN24" s="6" t="s">
        <v>94</v>
      </c>
      <c r="AO24" s="6"/>
      <c r="AP24" s="6"/>
      <c r="AQ24" s="24"/>
    </row>
    <row r="25" spans="1:70" s="682" customFormat="1" ht="34.15" customHeight="1" x14ac:dyDescent="0.2">
      <c r="A25" s="151">
        <v>14</v>
      </c>
      <c r="B25" s="98"/>
      <c r="C25" s="107"/>
      <c r="D25" s="99"/>
      <c r="E25" s="100"/>
      <c r="F25" s="101"/>
      <c r="G25" s="126" t="str">
        <f t="shared" si="0"/>
        <v/>
      </c>
      <c r="H25" s="307"/>
      <c r="I25" s="940"/>
      <c r="J25" s="941"/>
      <c r="K25" s="102"/>
      <c r="L25" s="103"/>
      <c r="M25" s="129" t="str">
        <f t="shared" si="3"/>
        <v/>
      </c>
      <c r="N25" s="130">
        <f t="shared" si="4"/>
        <v>0</v>
      </c>
      <c r="O25" s="104"/>
      <c r="P25" s="138" t="str">
        <f t="shared" si="1"/>
        <v/>
      </c>
      <c r="Q25" s="139" t="str">
        <f t="shared" si="5"/>
        <v/>
      </c>
      <c r="R25" s="518" t="str">
        <f t="shared" si="2"/>
        <v/>
      </c>
      <c r="S25" s="140" t="str">
        <f t="shared" si="6"/>
        <v/>
      </c>
      <c r="T25" s="140" t="str">
        <f t="shared" si="7"/>
        <v/>
      </c>
      <c r="U25" s="141" t="str">
        <f t="shared" si="8"/>
        <v/>
      </c>
      <c r="V25" s="524" t="str">
        <f ca="1">IF('Extra look-up'!$H19="Work Type","Check Work Type",IF(AND(D25="",F25="",H25="",I25="",L25="",M25=""),"",IF(OR(D25="",F25="",H25="",I25="",L25="",M25="",$L$9&lt;&gt;"OK"),"Check all fields completed correctly",IF(AND(D25="",OR(F25&lt;&gt;"",H25&lt;&gt;"",I25&lt;&gt;"",L25&lt;&gt;"")),"Check all fields completed correctly","OK"))))</f>
        <v/>
      </c>
      <c r="W25" s="495" t="str">
        <f>IF(I25="","",IF(VLOOKUP(I25,'Eligible Technologies'!$D$7:$G$69,4,FALSE)&lt;$F$9,VLOOKUP(I25,'Eligible Technologies'!$D$7:$G$69,4,FALSE),$F$9))</f>
        <v/>
      </c>
      <c r="X25" s="496" t="str">
        <f t="shared" si="14"/>
        <v/>
      </c>
      <c r="Y25" s="496">
        <f t="shared" ca="1" si="10"/>
        <v>0</v>
      </c>
      <c r="Z25" s="496" t="str">
        <f>'Extra look-up'!F19</f>
        <v/>
      </c>
      <c r="AA25" s="496" t="str">
        <f ca="1">'Extra look-up'!H19</f>
        <v>OK</v>
      </c>
      <c r="AB25" s="496">
        <f t="shared" ca="1" si="12"/>
        <v>1</v>
      </c>
      <c r="AC25" s="510" t="e">
        <f t="shared" si="13"/>
        <v>#VALUE!</v>
      </c>
      <c r="AD25" s="513">
        <f t="shared" si="11"/>
        <v>0.1953</v>
      </c>
      <c r="AE25" s="507"/>
      <c r="AF25" s="507"/>
      <c r="AG25" s="9" t="s">
        <v>95</v>
      </c>
      <c r="AH25" s="9" t="s">
        <v>86</v>
      </c>
      <c r="AI25" s="8" t="s">
        <v>86</v>
      </c>
      <c r="AJ25" s="8" t="s">
        <v>96</v>
      </c>
      <c r="AK25" s="9" t="s">
        <v>97</v>
      </c>
      <c r="AL25" s="9" t="s">
        <v>95</v>
      </c>
      <c r="AM25" s="11" t="s">
        <v>95</v>
      </c>
      <c r="AN25" s="11" t="s">
        <v>95</v>
      </c>
      <c r="AO25" s="6"/>
      <c r="AP25" s="6"/>
      <c r="AQ25" s="24"/>
    </row>
    <row r="26" spans="1:70" s="682" customFormat="1" ht="34.15" customHeight="1" thickBot="1" x14ac:dyDescent="0.25">
      <c r="A26" s="151">
        <v>15</v>
      </c>
      <c r="B26" s="98"/>
      <c r="C26" s="107"/>
      <c r="D26" s="99"/>
      <c r="E26" s="100"/>
      <c r="F26" s="101"/>
      <c r="G26" s="126" t="str">
        <f t="shared" si="0"/>
        <v/>
      </c>
      <c r="H26" s="307"/>
      <c r="I26" s="940"/>
      <c r="J26" s="941"/>
      <c r="K26" s="102"/>
      <c r="L26" s="103"/>
      <c r="M26" s="129" t="str">
        <f t="shared" si="3"/>
        <v/>
      </c>
      <c r="N26" s="130">
        <f t="shared" si="4"/>
        <v>0</v>
      </c>
      <c r="O26" s="104"/>
      <c r="P26" s="138" t="str">
        <f t="shared" si="1"/>
        <v/>
      </c>
      <c r="Q26" s="139" t="str">
        <f t="shared" si="5"/>
        <v/>
      </c>
      <c r="R26" s="518" t="str">
        <f t="shared" si="2"/>
        <v/>
      </c>
      <c r="S26" s="140" t="str">
        <f t="shared" si="6"/>
        <v/>
      </c>
      <c r="T26" s="140" t="str">
        <f t="shared" si="7"/>
        <v/>
      </c>
      <c r="U26" s="141" t="str">
        <f t="shared" si="8"/>
        <v/>
      </c>
      <c r="V26" s="524" t="str">
        <f ca="1">IF('Extra look-up'!$H20="Work Type","Check Work Type",IF(AND(D26="",F26="",H26="",I26="",L26="",M26=""),"",IF(OR(D26="",F26="",H26="",I26="",L26="",M26="",$L$9&lt;&gt;"OK"),"Check all fields completed correctly",IF(AND(D26="",OR(F26&lt;&gt;"",H26&lt;&gt;"",I26&lt;&gt;"",L26&lt;&gt;"")),"Check all fields completed correctly","OK"))))</f>
        <v/>
      </c>
      <c r="W26" s="495" t="str">
        <f>IF(I26="","",IF(VLOOKUP(I26,'Eligible Technologies'!$D$7:$G$69,4,FALSE)&lt;$F$9,VLOOKUP(I26,'Eligible Technologies'!$D$7:$G$69,4,FALSE),$F$9))</f>
        <v/>
      </c>
      <c r="X26" s="496" t="str">
        <f t="shared" si="14"/>
        <v/>
      </c>
      <c r="Y26" s="496">
        <f t="shared" ca="1" si="10"/>
        <v>0</v>
      </c>
      <c r="Z26" s="496" t="str">
        <f>'Extra look-up'!F20</f>
        <v/>
      </c>
      <c r="AA26" s="496" t="str">
        <f ca="1">'Extra look-up'!H20</f>
        <v>OK</v>
      </c>
      <c r="AB26" s="496">
        <f t="shared" ca="1" si="12"/>
        <v>1</v>
      </c>
      <c r="AC26" s="510" t="e">
        <f t="shared" si="13"/>
        <v>#VALUE!</v>
      </c>
      <c r="AD26" s="513">
        <f t="shared" si="11"/>
        <v>0.1953</v>
      </c>
      <c r="AE26" s="507"/>
      <c r="AF26" s="507"/>
      <c r="AG26" s="9" t="s">
        <v>98</v>
      </c>
      <c r="AH26" s="9" t="s">
        <v>99</v>
      </c>
      <c r="AI26" s="8" t="s">
        <v>99</v>
      </c>
      <c r="AJ26" s="8" t="s">
        <v>94</v>
      </c>
      <c r="AK26" s="9" t="s">
        <v>100</v>
      </c>
      <c r="AL26" s="9" t="s">
        <v>101</v>
      </c>
      <c r="AM26" s="11" t="s">
        <v>101</v>
      </c>
      <c r="AN26" s="11" t="s">
        <v>101</v>
      </c>
      <c r="AO26" s="6"/>
      <c r="AP26" s="6"/>
      <c r="AQ26" s="6"/>
    </row>
    <row r="27" spans="1:70" s="682" customFormat="1" ht="34.15" hidden="1" customHeight="1" outlineLevel="1" x14ac:dyDescent="0.2">
      <c r="A27" s="151">
        <v>16</v>
      </c>
      <c r="B27" s="98"/>
      <c r="C27" s="107"/>
      <c r="D27" s="99"/>
      <c r="E27" s="100"/>
      <c r="F27" s="101"/>
      <c r="G27" s="126" t="str">
        <f t="shared" si="0"/>
        <v/>
      </c>
      <c r="H27" s="307"/>
      <c r="I27" s="940"/>
      <c r="J27" s="941"/>
      <c r="K27" s="102"/>
      <c r="L27" s="103"/>
      <c r="M27" s="129" t="str">
        <f t="shared" si="3"/>
        <v/>
      </c>
      <c r="N27" s="130">
        <f t="shared" si="4"/>
        <v>0</v>
      </c>
      <c r="O27" s="104"/>
      <c r="P27" s="138" t="str">
        <f t="shared" si="1"/>
        <v/>
      </c>
      <c r="Q27" s="139" t="str">
        <f t="shared" si="5"/>
        <v/>
      </c>
      <c r="R27" s="518" t="str">
        <f t="shared" si="2"/>
        <v/>
      </c>
      <c r="S27" s="140" t="str">
        <f t="shared" si="6"/>
        <v/>
      </c>
      <c r="T27" s="140" t="str">
        <f t="shared" si="7"/>
        <v/>
      </c>
      <c r="U27" s="141" t="str">
        <f t="shared" si="8"/>
        <v/>
      </c>
      <c r="V27" s="524" t="str">
        <f ca="1">IF('Extra look-up'!$H21="Work Type","Check Work Type",IF(AND(D27="",F27="",H27="",I27="",L27="",M27=""),"",IF(OR(D27="",F27="",H27="",I27="",L27="",M27="",$L$9&lt;&gt;"OK"),"Check all fields completed correctly",IF(AND(D27="",OR(F27&lt;&gt;"",H27&lt;&gt;"",I27&lt;&gt;"",L27&lt;&gt;"")),"Check all fields completed correctly","OK"))))</f>
        <v/>
      </c>
      <c r="W27" s="495" t="str">
        <f>IF(I27="","",IF(VLOOKUP(I27,'Eligible Technologies'!$D$7:$G$69,4,FALSE)&lt;$F$9,VLOOKUP(I27,'Eligible Technologies'!$D$7:$G$69,4,FALSE),$F$9))</f>
        <v/>
      </c>
      <c r="X27" s="496" t="str">
        <f t="shared" si="14"/>
        <v/>
      </c>
      <c r="Y27" s="496">
        <f t="shared" ca="1" si="10"/>
        <v>0</v>
      </c>
      <c r="Z27" s="496" t="str">
        <f>'Extra look-up'!F21</f>
        <v/>
      </c>
      <c r="AA27" s="496" t="str">
        <f ca="1">'Extra look-up'!H21</f>
        <v>OK</v>
      </c>
      <c r="AB27" s="496">
        <f t="shared" ca="1" si="12"/>
        <v>1</v>
      </c>
      <c r="AC27" s="510" t="e">
        <f t="shared" si="13"/>
        <v>#VALUE!</v>
      </c>
      <c r="AD27" s="513">
        <f t="shared" si="11"/>
        <v>0.1953</v>
      </c>
      <c r="AE27" s="507"/>
      <c r="AF27" s="507"/>
      <c r="AG27" s="9" t="s">
        <v>102</v>
      </c>
      <c r="AH27" s="10" t="s">
        <v>97</v>
      </c>
      <c r="AI27" s="8" t="s">
        <v>97</v>
      </c>
      <c r="AJ27" s="8" t="s">
        <v>98</v>
      </c>
      <c r="AK27" s="9" t="s">
        <v>101</v>
      </c>
      <c r="AL27" s="9" t="s">
        <v>103</v>
      </c>
      <c r="AM27" s="6" t="s">
        <v>103</v>
      </c>
      <c r="AN27" s="6" t="s">
        <v>103</v>
      </c>
      <c r="AO27" s="6"/>
      <c r="AP27" s="6"/>
      <c r="AQ27" s="6"/>
    </row>
    <row r="28" spans="1:70" s="682" customFormat="1" ht="34.15" hidden="1" customHeight="1" outlineLevel="1" x14ac:dyDescent="0.2">
      <c r="A28" s="151">
        <v>17</v>
      </c>
      <c r="B28" s="98"/>
      <c r="C28" s="107"/>
      <c r="D28" s="99"/>
      <c r="E28" s="100"/>
      <c r="F28" s="101"/>
      <c r="G28" s="126" t="str">
        <f t="shared" si="0"/>
        <v/>
      </c>
      <c r="H28" s="307"/>
      <c r="I28" s="940"/>
      <c r="J28" s="941"/>
      <c r="K28" s="102"/>
      <c r="L28" s="103"/>
      <c r="M28" s="129" t="str">
        <f t="shared" si="3"/>
        <v/>
      </c>
      <c r="N28" s="130">
        <f t="shared" si="4"/>
        <v>0</v>
      </c>
      <c r="O28" s="104"/>
      <c r="P28" s="138" t="str">
        <f t="shared" si="1"/>
        <v/>
      </c>
      <c r="Q28" s="139" t="str">
        <f t="shared" si="5"/>
        <v/>
      </c>
      <c r="R28" s="518" t="str">
        <f t="shared" si="2"/>
        <v/>
      </c>
      <c r="S28" s="140" t="str">
        <f t="shared" si="6"/>
        <v/>
      </c>
      <c r="T28" s="140" t="str">
        <f t="shared" si="7"/>
        <v/>
      </c>
      <c r="U28" s="141" t="str">
        <f t="shared" si="8"/>
        <v/>
      </c>
      <c r="V28" s="524" t="str">
        <f ca="1">IF('Extra look-up'!$H22="Work Type","Check Work Type",IF(AND(D28="",F28="",H28="",I28="",L28="",M28=""),"",IF(OR(D28="",F28="",H28="",I28="",L28="",M28="",$L$9&lt;&gt;"OK"),"Check all fields completed correctly",IF(AND(D28="",OR(F28&lt;&gt;"",H28&lt;&gt;"",I28&lt;&gt;"",L28&lt;&gt;"")),"Check all fields completed correctly","OK"))))</f>
        <v/>
      </c>
      <c r="W28" s="495" t="str">
        <f>IF(I28="","",IF(VLOOKUP(I28,'Eligible Technologies'!$D$7:$G$69,4,FALSE)&lt;$F$9,VLOOKUP(I28,'Eligible Technologies'!$D$7:$G$69,4,FALSE),$F$9))</f>
        <v/>
      </c>
      <c r="X28" s="496" t="str">
        <f t="shared" si="14"/>
        <v/>
      </c>
      <c r="Y28" s="496">
        <f t="shared" ca="1" si="10"/>
        <v>0</v>
      </c>
      <c r="Z28" s="496" t="str">
        <f>'Extra look-up'!F22</f>
        <v/>
      </c>
      <c r="AA28" s="496" t="str">
        <f ca="1">'Extra look-up'!H22</f>
        <v>OK</v>
      </c>
      <c r="AB28" s="496">
        <f t="shared" ca="1" si="12"/>
        <v>1</v>
      </c>
      <c r="AC28" s="510" t="e">
        <f t="shared" si="13"/>
        <v>#VALUE!</v>
      </c>
      <c r="AD28" s="513">
        <f t="shared" si="11"/>
        <v>0.1953</v>
      </c>
      <c r="AE28" s="507"/>
      <c r="AF28" s="507"/>
      <c r="AG28" s="10" t="s">
        <v>104</v>
      </c>
      <c r="AH28" s="12" t="s">
        <v>105</v>
      </c>
      <c r="AI28" s="10" t="s">
        <v>105</v>
      </c>
      <c r="AJ28" s="10" t="s">
        <v>103</v>
      </c>
      <c r="AK28" s="10" t="s">
        <v>102</v>
      </c>
      <c r="AL28" s="10" t="s">
        <v>102</v>
      </c>
      <c r="AM28" s="6" t="s">
        <v>102</v>
      </c>
      <c r="AN28" s="6" t="s">
        <v>102</v>
      </c>
      <c r="AO28" s="11"/>
      <c r="AP28" s="6"/>
      <c r="AQ28" s="6"/>
    </row>
    <row r="29" spans="1:70" s="682" customFormat="1" ht="34.15" hidden="1" customHeight="1" outlineLevel="1" x14ac:dyDescent="0.2">
      <c r="A29" s="151">
        <v>18</v>
      </c>
      <c r="B29" s="98"/>
      <c r="C29" s="107"/>
      <c r="D29" s="99"/>
      <c r="E29" s="100"/>
      <c r="F29" s="101"/>
      <c r="G29" s="126" t="str">
        <f t="shared" si="0"/>
        <v/>
      </c>
      <c r="H29" s="307"/>
      <c r="I29" s="940"/>
      <c r="J29" s="941"/>
      <c r="K29" s="102"/>
      <c r="L29" s="103"/>
      <c r="M29" s="129" t="str">
        <f t="shared" si="3"/>
        <v/>
      </c>
      <c r="N29" s="130">
        <f t="shared" si="4"/>
        <v>0</v>
      </c>
      <c r="O29" s="104"/>
      <c r="P29" s="138" t="str">
        <f t="shared" si="1"/>
        <v/>
      </c>
      <c r="Q29" s="139" t="str">
        <f t="shared" si="5"/>
        <v/>
      </c>
      <c r="R29" s="518" t="str">
        <f t="shared" si="2"/>
        <v/>
      </c>
      <c r="S29" s="140" t="str">
        <f t="shared" si="6"/>
        <v/>
      </c>
      <c r="T29" s="140" t="str">
        <f t="shared" si="7"/>
        <v/>
      </c>
      <c r="U29" s="141" t="str">
        <f t="shared" si="8"/>
        <v/>
      </c>
      <c r="V29" s="524" t="str">
        <f ca="1">IF('Extra look-up'!$H23="Work Type","Check Work Type",IF(AND(D29="",F29="",H29="",I29="",L29="",M29=""),"",IF(OR(D29="",F29="",H29="",I29="",L29="",M29="",$L$9&lt;&gt;"OK"),"Check all fields completed correctly",IF(AND(D29="",OR(F29&lt;&gt;"",H29&lt;&gt;"",I29&lt;&gt;"",L29&lt;&gt;"")),"Check all fields completed correctly","OK"))))</f>
        <v/>
      </c>
      <c r="W29" s="495" t="str">
        <f>IF(I29="","",IF(VLOOKUP(I29,'Eligible Technologies'!$D$7:$G$69,4,FALSE)&lt;$F$9,VLOOKUP(I29,'Eligible Technologies'!$D$7:$G$69,4,FALSE),$F$9))</f>
        <v/>
      </c>
      <c r="X29" s="496" t="str">
        <f t="shared" si="14"/>
        <v/>
      </c>
      <c r="Y29" s="496">
        <f t="shared" ca="1" si="10"/>
        <v>0</v>
      </c>
      <c r="Z29" s="496" t="str">
        <f>'Extra look-up'!F23</f>
        <v/>
      </c>
      <c r="AA29" s="496" t="str">
        <f ca="1">'Extra look-up'!H23</f>
        <v>OK</v>
      </c>
      <c r="AB29" s="496">
        <f t="shared" ca="1" si="12"/>
        <v>1</v>
      </c>
      <c r="AC29" s="510" t="e">
        <f t="shared" si="13"/>
        <v>#VALUE!</v>
      </c>
      <c r="AD29" s="513">
        <f t="shared" si="11"/>
        <v>0.1953</v>
      </c>
      <c r="AE29" s="507"/>
      <c r="AF29" s="507"/>
      <c r="AG29" s="12" t="s">
        <v>106</v>
      </c>
      <c r="AH29" s="10" t="s">
        <v>95</v>
      </c>
      <c r="AI29" s="12" t="s">
        <v>95</v>
      </c>
      <c r="AJ29" s="12" t="s">
        <v>107</v>
      </c>
      <c r="AK29" s="12" t="s">
        <v>108</v>
      </c>
      <c r="AL29" s="12" t="s">
        <v>108</v>
      </c>
      <c r="AM29" s="6" t="s">
        <v>109</v>
      </c>
      <c r="AN29" s="6" t="s">
        <v>109</v>
      </c>
      <c r="AO29" s="11"/>
      <c r="AP29" s="11"/>
      <c r="AQ29" s="23"/>
      <c r="AR29" s="672"/>
      <c r="AS29" s="672"/>
      <c r="AT29" s="672"/>
      <c r="AU29" s="672"/>
      <c r="AV29" s="672"/>
      <c r="AW29" s="672"/>
      <c r="AX29" s="672"/>
      <c r="AY29" s="672"/>
      <c r="AZ29" s="672"/>
      <c r="BA29" s="672"/>
      <c r="BB29" s="672"/>
      <c r="BC29" s="672"/>
      <c r="BD29" s="672"/>
      <c r="BE29" s="672"/>
      <c r="BF29" s="672"/>
      <c r="BG29" s="672"/>
      <c r="BH29" s="672"/>
      <c r="BI29" s="672"/>
      <c r="BJ29" s="672"/>
      <c r="BK29" s="672"/>
      <c r="BL29" s="672"/>
      <c r="BM29" s="672"/>
      <c r="BN29" s="672"/>
      <c r="BO29" s="672"/>
      <c r="BP29" s="672"/>
      <c r="BQ29" s="672"/>
      <c r="BR29" s="672"/>
    </row>
    <row r="30" spans="1:70" s="682" customFormat="1" ht="34.15" hidden="1" customHeight="1" outlineLevel="1" x14ac:dyDescent="0.2">
      <c r="A30" s="151">
        <v>19</v>
      </c>
      <c r="B30" s="98"/>
      <c r="C30" s="107"/>
      <c r="D30" s="99"/>
      <c r="E30" s="100"/>
      <c r="F30" s="101"/>
      <c r="G30" s="126" t="str">
        <f t="shared" si="0"/>
        <v/>
      </c>
      <c r="H30" s="307"/>
      <c r="I30" s="940"/>
      <c r="J30" s="941"/>
      <c r="K30" s="102"/>
      <c r="L30" s="103"/>
      <c r="M30" s="129" t="str">
        <f t="shared" si="3"/>
        <v/>
      </c>
      <c r="N30" s="130">
        <f t="shared" si="4"/>
        <v>0</v>
      </c>
      <c r="O30" s="104"/>
      <c r="P30" s="138" t="str">
        <f t="shared" si="1"/>
        <v/>
      </c>
      <c r="Q30" s="139" t="str">
        <f t="shared" si="5"/>
        <v/>
      </c>
      <c r="R30" s="518" t="str">
        <f t="shared" si="2"/>
        <v/>
      </c>
      <c r="S30" s="140" t="str">
        <f t="shared" si="6"/>
        <v/>
      </c>
      <c r="T30" s="140" t="str">
        <f t="shared" si="7"/>
        <v/>
      </c>
      <c r="U30" s="141" t="str">
        <f t="shared" si="8"/>
        <v/>
      </c>
      <c r="V30" s="524" t="str">
        <f ca="1">IF('Extra look-up'!$H24="Work Type","Check Work Type",IF(AND(D30="",F30="",H30="",I30="",L30="",M30=""),"",IF(OR(D30="",F30="",H30="",I30="",L30="",M30="",$L$9&lt;&gt;"OK"),"Check all fields completed correctly",IF(AND(D30="",OR(F30&lt;&gt;"",H30&lt;&gt;"",I30&lt;&gt;"",L30&lt;&gt;"")),"Check all fields completed correctly","OK"))))</f>
        <v/>
      </c>
      <c r="W30" s="495" t="str">
        <f>IF(I30="","",IF(VLOOKUP(I30,'Eligible Technologies'!$D$7:$G$69,4,FALSE)&lt;$F$9,VLOOKUP(I30,'Eligible Technologies'!$D$7:$G$69,4,FALSE),$F$9))</f>
        <v/>
      </c>
      <c r="X30" s="496" t="str">
        <f t="shared" si="14"/>
        <v/>
      </c>
      <c r="Y30" s="496">
        <f t="shared" ca="1" si="10"/>
        <v>0</v>
      </c>
      <c r="Z30" s="496" t="str">
        <f>'Extra look-up'!F24</f>
        <v/>
      </c>
      <c r="AA30" s="496" t="str">
        <f ca="1">'Extra look-up'!H24</f>
        <v>OK</v>
      </c>
      <c r="AB30" s="496">
        <f t="shared" ca="1" si="12"/>
        <v>1</v>
      </c>
      <c r="AC30" s="510" t="e">
        <f t="shared" si="13"/>
        <v>#VALUE!</v>
      </c>
      <c r="AD30" s="513">
        <f t="shared" si="11"/>
        <v>0.1953</v>
      </c>
      <c r="AE30" s="507"/>
      <c r="AF30" s="507"/>
      <c r="AG30" s="10" t="s">
        <v>108</v>
      </c>
      <c r="AH30" s="10" t="s">
        <v>98</v>
      </c>
      <c r="AI30" s="10" t="s">
        <v>98</v>
      </c>
      <c r="AJ30" s="10" t="s">
        <v>110</v>
      </c>
      <c r="AK30" s="10"/>
      <c r="AL30" s="10" t="s">
        <v>111</v>
      </c>
      <c r="AM30" s="11" t="s">
        <v>112</v>
      </c>
      <c r="AN30" s="11" t="s">
        <v>112</v>
      </c>
      <c r="AO30" s="11"/>
      <c r="AP30" s="11"/>
      <c r="AQ30" s="23"/>
      <c r="AR30" s="672"/>
      <c r="AS30" s="672"/>
      <c r="AT30" s="672"/>
      <c r="AU30" s="672"/>
      <c r="AV30" s="672"/>
      <c r="AW30" s="672"/>
      <c r="AX30" s="672"/>
      <c r="AY30" s="672"/>
      <c r="AZ30" s="672"/>
      <c r="BA30" s="672"/>
      <c r="BB30" s="672"/>
      <c r="BC30" s="672"/>
      <c r="BD30" s="672"/>
      <c r="BE30" s="672"/>
      <c r="BF30" s="672"/>
      <c r="BG30" s="672"/>
      <c r="BH30" s="672"/>
      <c r="BI30" s="672"/>
      <c r="BJ30" s="672"/>
      <c r="BK30" s="672"/>
      <c r="BL30" s="672"/>
      <c r="BM30" s="672"/>
      <c r="BN30" s="672"/>
      <c r="BO30" s="672"/>
      <c r="BP30" s="672"/>
      <c r="BQ30" s="672"/>
      <c r="BR30" s="672"/>
    </row>
    <row r="31" spans="1:70" s="682" customFormat="1" ht="34.15" hidden="1" customHeight="1" outlineLevel="1" x14ac:dyDescent="0.2">
      <c r="A31" s="151">
        <v>20</v>
      </c>
      <c r="B31" s="98"/>
      <c r="C31" s="107"/>
      <c r="D31" s="99"/>
      <c r="E31" s="100"/>
      <c r="F31" s="101"/>
      <c r="G31" s="126" t="str">
        <f t="shared" si="0"/>
        <v/>
      </c>
      <c r="H31" s="307"/>
      <c r="I31" s="940"/>
      <c r="J31" s="941"/>
      <c r="K31" s="102"/>
      <c r="L31" s="103"/>
      <c r="M31" s="129" t="str">
        <f t="shared" si="3"/>
        <v/>
      </c>
      <c r="N31" s="130">
        <f t="shared" si="4"/>
        <v>0</v>
      </c>
      <c r="O31" s="104"/>
      <c r="P31" s="138" t="str">
        <f t="shared" si="1"/>
        <v/>
      </c>
      <c r="Q31" s="139" t="str">
        <f t="shared" si="5"/>
        <v/>
      </c>
      <c r="R31" s="518" t="str">
        <f t="shared" si="2"/>
        <v/>
      </c>
      <c r="S31" s="140" t="str">
        <f t="shared" si="6"/>
        <v/>
      </c>
      <c r="T31" s="140" t="str">
        <f t="shared" si="7"/>
        <v/>
      </c>
      <c r="U31" s="141" t="str">
        <f t="shared" si="8"/>
        <v/>
      </c>
      <c r="V31" s="524" t="str">
        <f ca="1">IF('Extra look-up'!$H25="Work Type","Check Work Type",IF(AND(D31="",F31="",H31="",I31="",L31="",M31=""),"",IF(OR(D31="",F31="",H31="",I31="",L31="",M31="",$L$9&lt;&gt;"OK"),"Check all fields completed correctly",IF(AND(D31="",OR(F31&lt;&gt;"",H31&lt;&gt;"",I31&lt;&gt;"",L31&lt;&gt;"")),"Check all fields completed correctly","OK"))))</f>
        <v/>
      </c>
      <c r="W31" s="495" t="str">
        <f>IF(I31="","",IF(VLOOKUP(I31,'Eligible Technologies'!$D$7:$G$69,4,FALSE)&lt;$F$9,VLOOKUP(I31,'Eligible Technologies'!$D$7:$G$69,4,FALSE),$F$9))</f>
        <v/>
      </c>
      <c r="X31" s="496" t="str">
        <f t="shared" si="14"/>
        <v/>
      </c>
      <c r="Y31" s="496">
        <f t="shared" ca="1" si="10"/>
        <v>0</v>
      </c>
      <c r="Z31" s="496" t="str">
        <f>'Extra look-up'!F25</f>
        <v/>
      </c>
      <c r="AA31" s="496" t="str">
        <f ca="1">'Extra look-up'!H25</f>
        <v>OK</v>
      </c>
      <c r="AB31" s="496">
        <f t="shared" ca="1" si="12"/>
        <v>1</v>
      </c>
      <c r="AC31" s="510" t="e">
        <f t="shared" si="13"/>
        <v>#VALUE!</v>
      </c>
      <c r="AD31" s="513">
        <f t="shared" si="11"/>
        <v>0.1953</v>
      </c>
      <c r="AE31" s="507"/>
      <c r="AF31" s="507"/>
      <c r="AG31" s="10"/>
      <c r="AH31" s="10" t="s">
        <v>103</v>
      </c>
      <c r="AI31" s="10" t="s">
        <v>103</v>
      </c>
      <c r="AJ31" s="10" t="s">
        <v>113</v>
      </c>
      <c r="AK31" s="10"/>
      <c r="AL31" s="10"/>
      <c r="AM31" s="11"/>
      <c r="AN31" s="6"/>
      <c r="AO31" s="11"/>
      <c r="AP31" s="11"/>
      <c r="AQ31" s="23"/>
      <c r="AR31" s="672"/>
      <c r="AS31" s="672"/>
      <c r="AT31" s="672"/>
      <c r="AU31" s="672"/>
      <c r="AV31" s="672"/>
      <c r="AW31" s="672"/>
      <c r="AX31" s="672"/>
      <c r="AY31" s="672"/>
      <c r="AZ31" s="672"/>
      <c r="BA31" s="672"/>
      <c r="BB31" s="672"/>
      <c r="BC31" s="672"/>
      <c r="BD31" s="672"/>
      <c r="BE31" s="672"/>
      <c r="BF31" s="672"/>
      <c r="BG31" s="672"/>
      <c r="BH31" s="672"/>
      <c r="BI31" s="672"/>
      <c r="BJ31" s="672"/>
      <c r="BK31" s="672"/>
      <c r="BL31" s="672"/>
      <c r="BM31" s="672"/>
      <c r="BN31" s="672"/>
      <c r="BO31" s="672"/>
      <c r="BP31" s="672"/>
      <c r="BQ31" s="672"/>
      <c r="BR31" s="672"/>
    </row>
    <row r="32" spans="1:70" s="682" customFormat="1" ht="34.15" hidden="1" customHeight="1" outlineLevel="1" x14ac:dyDescent="0.2">
      <c r="A32" s="151">
        <v>21</v>
      </c>
      <c r="B32" s="98"/>
      <c r="C32" s="107"/>
      <c r="D32" s="99"/>
      <c r="E32" s="100"/>
      <c r="F32" s="101"/>
      <c r="G32" s="126" t="str">
        <f t="shared" si="0"/>
        <v/>
      </c>
      <c r="H32" s="307"/>
      <c r="I32" s="940"/>
      <c r="J32" s="941"/>
      <c r="K32" s="102"/>
      <c r="L32" s="103"/>
      <c r="M32" s="129" t="str">
        <f t="shared" si="3"/>
        <v/>
      </c>
      <c r="N32" s="130">
        <f t="shared" si="4"/>
        <v>0</v>
      </c>
      <c r="O32" s="104"/>
      <c r="P32" s="138" t="str">
        <f t="shared" si="1"/>
        <v/>
      </c>
      <c r="Q32" s="139" t="str">
        <f t="shared" si="5"/>
        <v/>
      </c>
      <c r="R32" s="518" t="str">
        <f t="shared" si="2"/>
        <v/>
      </c>
      <c r="S32" s="140" t="str">
        <f t="shared" si="6"/>
        <v/>
      </c>
      <c r="T32" s="140" t="str">
        <f t="shared" si="7"/>
        <v/>
      </c>
      <c r="U32" s="141" t="str">
        <f t="shared" si="8"/>
        <v/>
      </c>
      <c r="V32" s="524" t="str">
        <f ca="1">IF('Extra look-up'!$H26="Work Type","Check Work Type",IF(AND(D32="",F32="",H32="",I32="",L32="",M32=""),"",IF(OR(D32="",F32="",H32="",I32="",L32="",M32="",$L$9&lt;&gt;"OK"),"Check all fields completed correctly",IF(AND(D32="",OR(F32&lt;&gt;"",H32&lt;&gt;"",I32&lt;&gt;"",L32&lt;&gt;"")),"Check all fields completed correctly","OK"))))</f>
        <v/>
      </c>
      <c r="W32" s="495" t="str">
        <f>IF(I32="","",IF(VLOOKUP(I32,'Eligible Technologies'!$D$7:$G$69,4,FALSE)&lt;$F$9,VLOOKUP(I32,'Eligible Technologies'!$D$7:$G$69,4,FALSE),$F$9))</f>
        <v/>
      </c>
      <c r="X32" s="496" t="str">
        <f t="shared" si="14"/>
        <v/>
      </c>
      <c r="Y32" s="496">
        <f t="shared" ca="1" si="10"/>
        <v>0</v>
      </c>
      <c r="Z32" s="496" t="str">
        <f>'Extra look-up'!F26</f>
        <v/>
      </c>
      <c r="AA32" s="496" t="str">
        <f ca="1">'Extra look-up'!H26</f>
        <v>OK</v>
      </c>
      <c r="AB32" s="496">
        <f t="shared" ca="1" si="12"/>
        <v>1</v>
      </c>
      <c r="AC32" s="510" t="e">
        <f t="shared" si="13"/>
        <v>#VALUE!</v>
      </c>
      <c r="AD32" s="513">
        <f t="shared" si="11"/>
        <v>0.1953</v>
      </c>
      <c r="AE32" s="507"/>
      <c r="AF32" s="507"/>
      <c r="AG32" s="10"/>
      <c r="AH32" s="12" t="s">
        <v>102</v>
      </c>
      <c r="AI32" s="10" t="s">
        <v>102</v>
      </c>
      <c r="AJ32" s="10" t="s">
        <v>114</v>
      </c>
      <c r="AK32" s="10"/>
      <c r="AL32" s="10"/>
      <c r="AM32" s="11"/>
      <c r="AN32" s="6"/>
      <c r="AO32" s="11"/>
      <c r="AP32" s="11"/>
      <c r="AQ32" s="23"/>
      <c r="AR32" s="672"/>
      <c r="AS32" s="672"/>
      <c r="AT32" s="672"/>
      <c r="AU32" s="672"/>
      <c r="AV32" s="672"/>
      <c r="AW32" s="672"/>
      <c r="AX32" s="672"/>
      <c r="AY32" s="672"/>
      <c r="AZ32" s="672"/>
      <c r="BA32" s="672"/>
      <c r="BB32" s="672"/>
      <c r="BC32" s="672"/>
      <c r="BD32" s="672"/>
      <c r="BE32" s="672"/>
      <c r="BF32" s="672"/>
      <c r="BG32" s="672"/>
      <c r="BH32" s="672"/>
      <c r="BI32" s="672"/>
      <c r="BJ32" s="672"/>
      <c r="BK32" s="672"/>
      <c r="BL32" s="672"/>
      <c r="BM32" s="672"/>
      <c r="BN32" s="672"/>
      <c r="BO32" s="672"/>
      <c r="BP32" s="672"/>
      <c r="BQ32" s="672"/>
      <c r="BR32" s="672"/>
    </row>
    <row r="33" spans="1:70" s="682" customFormat="1" ht="34.15" hidden="1" customHeight="1" outlineLevel="1" x14ac:dyDescent="0.2">
      <c r="A33" s="151">
        <v>22</v>
      </c>
      <c r="B33" s="98"/>
      <c r="C33" s="107"/>
      <c r="D33" s="99"/>
      <c r="E33" s="100"/>
      <c r="F33" s="101"/>
      <c r="G33" s="126" t="str">
        <f t="shared" si="0"/>
        <v/>
      </c>
      <c r="H33" s="307"/>
      <c r="I33" s="940"/>
      <c r="J33" s="941"/>
      <c r="K33" s="102"/>
      <c r="L33" s="103"/>
      <c r="M33" s="129" t="str">
        <f t="shared" si="3"/>
        <v/>
      </c>
      <c r="N33" s="130">
        <f t="shared" si="4"/>
        <v>0</v>
      </c>
      <c r="O33" s="104"/>
      <c r="P33" s="138" t="str">
        <f t="shared" si="1"/>
        <v/>
      </c>
      <c r="Q33" s="139" t="str">
        <f t="shared" si="5"/>
        <v/>
      </c>
      <c r="R33" s="518" t="str">
        <f t="shared" si="2"/>
        <v/>
      </c>
      <c r="S33" s="140" t="str">
        <f t="shared" si="6"/>
        <v/>
      </c>
      <c r="T33" s="140" t="str">
        <f t="shared" si="7"/>
        <v/>
      </c>
      <c r="U33" s="141" t="str">
        <f t="shared" si="8"/>
        <v/>
      </c>
      <c r="V33" s="524" t="str">
        <f ca="1">IF('Extra look-up'!$H27="Work Type","Check Work Type",IF(AND(D33="",F33="",H33="",I33="",L33="",M33=""),"",IF(OR(D33="",F33="",H33="",I33="",L33="",M33="",$L$9&lt;&gt;"OK"),"Check all fields completed correctly",IF(AND(D33="",OR(F33&lt;&gt;"",H33&lt;&gt;"",I33&lt;&gt;"",L33&lt;&gt;"")),"Check all fields completed correctly","OK"))))</f>
        <v/>
      </c>
      <c r="W33" s="495" t="str">
        <f>IF(I33="","",IF(VLOOKUP(I33,'Eligible Technologies'!$D$7:$G$69,4,FALSE)&lt;$F$9,VLOOKUP(I33,'Eligible Technologies'!$D$7:$G$69,4,FALSE),$F$9))</f>
        <v/>
      </c>
      <c r="X33" s="496" t="str">
        <f t="shared" si="14"/>
        <v/>
      </c>
      <c r="Y33" s="496">
        <f t="shared" ca="1" si="10"/>
        <v>0</v>
      </c>
      <c r="Z33" s="496" t="str">
        <f>'Extra look-up'!F27</f>
        <v/>
      </c>
      <c r="AA33" s="496" t="str">
        <f ca="1">'Extra look-up'!H27</f>
        <v>OK</v>
      </c>
      <c r="AB33" s="496">
        <f t="shared" ca="1" si="12"/>
        <v>1</v>
      </c>
      <c r="AC33" s="510" t="e">
        <f t="shared" si="13"/>
        <v>#VALUE!</v>
      </c>
      <c r="AD33" s="513">
        <f t="shared" si="11"/>
        <v>0.1953</v>
      </c>
      <c r="AE33" s="507"/>
      <c r="AF33" s="507"/>
      <c r="AG33" s="12"/>
      <c r="AH33" s="12" t="s">
        <v>110</v>
      </c>
      <c r="AI33" s="12" t="s">
        <v>110</v>
      </c>
      <c r="AJ33" s="12" t="s">
        <v>115</v>
      </c>
      <c r="AK33" s="12"/>
      <c r="AL33" s="12"/>
      <c r="AM33" s="11"/>
      <c r="AN33" s="11"/>
      <c r="AO33" s="11"/>
      <c r="AP33" s="11"/>
      <c r="AQ33" s="23"/>
      <c r="AR33" s="672"/>
      <c r="AS33" s="672"/>
      <c r="AT33" s="672"/>
      <c r="AU33" s="672"/>
      <c r="AV33" s="672"/>
      <c r="AW33" s="672"/>
      <c r="AX33" s="672"/>
      <c r="AY33" s="672"/>
      <c r="AZ33" s="672"/>
      <c r="BA33" s="672"/>
      <c r="BB33" s="672"/>
      <c r="BC33" s="672"/>
      <c r="BD33" s="672"/>
      <c r="BE33" s="672"/>
      <c r="BF33" s="672"/>
      <c r="BG33" s="672"/>
      <c r="BH33" s="672"/>
      <c r="BI33" s="672"/>
      <c r="BJ33" s="672"/>
      <c r="BK33" s="672"/>
      <c r="BL33" s="672"/>
      <c r="BM33" s="672"/>
      <c r="BN33" s="672"/>
      <c r="BO33" s="672"/>
      <c r="BP33" s="672"/>
      <c r="BQ33" s="672"/>
      <c r="BR33" s="672"/>
    </row>
    <row r="34" spans="1:70" s="682" customFormat="1" ht="34.15" hidden="1" customHeight="1" outlineLevel="1" x14ac:dyDescent="0.2">
      <c r="A34" s="151">
        <v>23</v>
      </c>
      <c r="B34" s="98"/>
      <c r="C34" s="107"/>
      <c r="D34" s="99"/>
      <c r="E34" s="100"/>
      <c r="F34" s="101"/>
      <c r="G34" s="126" t="str">
        <f t="shared" si="0"/>
        <v/>
      </c>
      <c r="H34" s="307"/>
      <c r="I34" s="940"/>
      <c r="J34" s="941"/>
      <c r="K34" s="102"/>
      <c r="L34" s="103"/>
      <c r="M34" s="129" t="str">
        <f t="shared" si="3"/>
        <v/>
      </c>
      <c r="N34" s="130">
        <f t="shared" si="4"/>
        <v>0</v>
      </c>
      <c r="O34" s="104"/>
      <c r="P34" s="138" t="str">
        <f t="shared" si="1"/>
        <v/>
      </c>
      <c r="Q34" s="139" t="str">
        <f t="shared" si="5"/>
        <v/>
      </c>
      <c r="R34" s="518" t="str">
        <f t="shared" si="2"/>
        <v/>
      </c>
      <c r="S34" s="140" t="str">
        <f t="shared" si="6"/>
        <v/>
      </c>
      <c r="T34" s="140" t="str">
        <f t="shared" si="7"/>
        <v/>
      </c>
      <c r="U34" s="141" t="str">
        <f t="shared" si="8"/>
        <v/>
      </c>
      <c r="V34" s="524" t="str">
        <f ca="1">IF('Extra look-up'!$H28="Work Type","Check Work Type",IF(AND(D34="",F34="",H34="",I34="",L34="",M34=""),"",IF(OR(D34="",F34="",H34="",I34="",L34="",M34="",$L$9&lt;&gt;"OK"),"Check all fields completed correctly",IF(AND(D34="",OR(F34&lt;&gt;"",H34&lt;&gt;"",I34&lt;&gt;"",L34&lt;&gt;"")),"Check all fields completed correctly","OK"))))</f>
        <v/>
      </c>
      <c r="W34" s="495" t="str">
        <f>IF(I34="","",IF(VLOOKUP(I34,'Eligible Technologies'!$D$7:$G$69,4,FALSE)&lt;$F$9,VLOOKUP(I34,'Eligible Technologies'!$D$7:$G$69,4,FALSE),$F$9))</f>
        <v/>
      </c>
      <c r="X34" s="496" t="str">
        <f t="shared" si="14"/>
        <v/>
      </c>
      <c r="Y34" s="496">
        <f t="shared" ca="1" si="10"/>
        <v>0</v>
      </c>
      <c r="Z34" s="496" t="str">
        <f>'Extra look-up'!F28</f>
        <v/>
      </c>
      <c r="AA34" s="496" t="str">
        <f ca="1">'Extra look-up'!H28</f>
        <v>OK</v>
      </c>
      <c r="AB34" s="496">
        <f t="shared" ca="1" si="12"/>
        <v>1</v>
      </c>
      <c r="AC34" s="510" t="e">
        <f t="shared" si="13"/>
        <v>#VALUE!</v>
      </c>
      <c r="AD34" s="513">
        <f t="shared" si="11"/>
        <v>0.1953</v>
      </c>
      <c r="AE34" s="507"/>
      <c r="AF34" s="507"/>
      <c r="AG34" s="12"/>
      <c r="AH34" s="12" t="s">
        <v>106</v>
      </c>
      <c r="AI34" s="12" t="s">
        <v>106</v>
      </c>
      <c r="AJ34" s="12"/>
      <c r="AK34" s="12"/>
      <c r="AL34" s="12"/>
      <c r="AM34" s="11"/>
      <c r="AN34" s="11"/>
      <c r="AO34" s="11"/>
      <c r="AP34" s="11"/>
      <c r="AQ34" s="23"/>
      <c r="AR34" s="672"/>
      <c r="AS34" s="672"/>
      <c r="AT34" s="672"/>
      <c r="AU34" s="672"/>
      <c r="AV34" s="672"/>
      <c r="AW34" s="672"/>
      <c r="AX34" s="672"/>
      <c r="AY34" s="672"/>
      <c r="AZ34" s="672"/>
      <c r="BA34" s="672"/>
      <c r="BB34" s="672"/>
      <c r="BC34" s="672"/>
      <c r="BD34" s="672"/>
      <c r="BE34" s="672"/>
      <c r="BF34" s="672"/>
      <c r="BG34" s="672"/>
      <c r="BH34" s="672"/>
      <c r="BI34" s="672"/>
      <c r="BJ34" s="672"/>
      <c r="BK34" s="672"/>
      <c r="BL34" s="672"/>
      <c r="BM34" s="672"/>
      <c r="BN34" s="672"/>
      <c r="BO34" s="672"/>
      <c r="BP34" s="672"/>
      <c r="BQ34" s="672"/>
      <c r="BR34" s="672"/>
    </row>
    <row r="35" spans="1:70" s="682" customFormat="1" ht="34.15" hidden="1" customHeight="1" outlineLevel="1" x14ac:dyDescent="0.2">
      <c r="A35" s="151">
        <v>24</v>
      </c>
      <c r="B35" s="98"/>
      <c r="C35" s="107"/>
      <c r="D35" s="99"/>
      <c r="E35" s="100"/>
      <c r="F35" s="101"/>
      <c r="G35" s="126" t="str">
        <f t="shared" si="0"/>
        <v/>
      </c>
      <c r="H35" s="307"/>
      <c r="I35" s="940"/>
      <c r="J35" s="941"/>
      <c r="K35" s="102"/>
      <c r="L35" s="103"/>
      <c r="M35" s="129" t="str">
        <f t="shared" si="3"/>
        <v/>
      </c>
      <c r="N35" s="130">
        <f t="shared" si="4"/>
        <v>0</v>
      </c>
      <c r="O35" s="104"/>
      <c r="P35" s="138" t="str">
        <f t="shared" si="1"/>
        <v/>
      </c>
      <c r="Q35" s="139" t="str">
        <f t="shared" si="5"/>
        <v/>
      </c>
      <c r="R35" s="518" t="str">
        <f t="shared" si="2"/>
        <v/>
      </c>
      <c r="S35" s="140" t="str">
        <f t="shared" si="6"/>
        <v/>
      </c>
      <c r="T35" s="140" t="str">
        <f t="shared" si="7"/>
        <v/>
      </c>
      <c r="U35" s="141" t="str">
        <f t="shared" si="8"/>
        <v/>
      </c>
      <c r="V35" s="524" t="str">
        <f ca="1">IF('Extra look-up'!$H29="Work Type","Check Work Type",IF(AND(D35="",F35="",H35="",I35="",L35="",M35=""),"",IF(OR(D35="",F35="",H35="",I35="",L35="",M35="",$L$9&lt;&gt;"OK"),"Check all fields completed correctly",IF(AND(D35="",OR(F35&lt;&gt;"",H35&lt;&gt;"",I35&lt;&gt;"",L35&lt;&gt;"")),"Check all fields completed correctly","OK"))))</f>
        <v/>
      </c>
      <c r="W35" s="495" t="str">
        <f>IF(I35="","",IF(VLOOKUP(I35,'Eligible Technologies'!$D$7:$G$69,4,FALSE)&lt;$F$9,VLOOKUP(I35,'Eligible Technologies'!$D$7:$G$69,4,FALSE),$F$9))</f>
        <v/>
      </c>
      <c r="X35" s="496" t="str">
        <f t="shared" si="14"/>
        <v/>
      </c>
      <c r="Y35" s="496">
        <f t="shared" ca="1" si="10"/>
        <v>0</v>
      </c>
      <c r="Z35" s="496" t="str">
        <f>'Extra look-up'!F29</f>
        <v/>
      </c>
      <c r="AA35" s="496" t="str">
        <f ca="1">'Extra look-up'!H29</f>
        <v>OK</v>
      </c>
      <c r="AB35" s="496">
        <f t="shared" ca="1" si="12"/>
        <v>1</v>
      </c>
      <c r="AC35" s="510" t="e">
        <f t="shared" si="13"/>
        <v>#VALUE!</v>
      </c>
      <c r="AD35" s="513">
        <f t="shared" si="11"/>
        <v>0.1953</v>
      </c>
      <c r="AE35" s="507"/>
      <c r="AF35" s="507"/>
      <c r="AG35" s="12"/>
      <c r="AH35" s="12" t="s">
        <v>108</v>
      </c>
      <c r="AI35" s="12" t="s">
        <v>108</v>
      </c>
      <c r="AJ35" s="12"/>
      <c r="AK35" s="12"/>
      <c r="AL35" s="12"/>
      <c r="AM35" s="11"/>
      <c r="AN35" s="11"/>
      <c r="AO35" s="11"/>
      <c r="AP35" s="11"/>
      <c r="AQ35" s="23"/>
      <c r="AR35" s="672"/>
      <c r="AS35" s="672"/>
      <c r="AT35" s="672"/>
      <c r="AU35" s="672"/>
      <c r="AV35" s="672"/>
      <c r="AW35" s="672"/>
      <c r="AX35" s="672"/>
      <c r="AY35" s="672"/>
      <c r="AZ35" s="672"/>
      <c r="BA35" s="672"/>
      <c r="BB35" s="672"/>
      <c r="BC35" s="672"/>
      <c r="BD35" s="672"/>
      <c r="BE35" s="672"/>
      <c r="BF35" s="672"/>
      <c r="BG35" s="672"/>
      <c r="BH35" s="672"/>
      <c r="BI35" s="672"/>
      <c r="BJ35" s="672"/>
      <c r="BK35" s="672"/>
      <c r="BL35" s="672"/>
      <c r="BM35" s="672"/>
      <c r="BN35" s="672"/>
      <c r="BO35" s="672"/>
      <c r="BP35" s="672"/>
      <c r="BQ35" s="672"/>
      <c r="BR35" s="672"/>
    </row>
    <row r="36" spans="1:70" s="682" customFormat="1" ht="34.15" hidden="1" customHeight="1" outlineLevel="1" x14ac:dyDescent="0.2">
      <c r="A36" s="151">
        <v>25</v>
      </c>
      <c r="B36" s="98"/>
      <c r="C36" s="107"/>
      <c r="D36" s="99"/>
      <c r="E36" s="100"/>
      <c r="F36" s="101"/>
      <c r="G36" s="126" t="str">
        <f t="shared" si="0"/>
        <v/>
      </c>
      <c r="H36" s="307"/>
      <c r="I36" s="940"/>
      <c r="J36" s="941"/>
      <c r="K36" s="102"/>
      <c r="L36" s="103"/>
      <c r="M36" s="129" t="str">
        <f t="shared" si="3"/>
        <v/>
      </c>
      <c r="N36" s="130">
        <f t="shared" si="4"/>
        <v>0</v>
      </c>
      <c r="O36" s="104"/>
      <c r="P36" s="138" t="str">
        <f t="shared" si="1"/>
        <v/>
      </c>
      <c r="Q36" s="139" t="str">
        <f t="shared" si="5"/>
        <v/>
      </c>
      <c r="R36" s="518" t="str">
        <f t="shared" si="2"/>
        <v/>
      </c>
      <c r="S36" s="140" t="str">
        <f t="shared" si="6"/>
        <v/>
      </c>
      <c r="T36" s="140" t="str">
        <f t="shared" si="7"/>
        <v/>
      </c>
      <c r="U36" s="141" t="str">
        <f t="shared" si="8"/>
        <v/>
      </c>
      <c r="V36" s="524" t="str">
        <f ca="1">IF('Extra look-up'!$H30="Work Type","Check Work Type",IF(AND(D36="",F36="",H36="",I36="",L36="",M36=""),"",IF(OR(D36="",F36="",H36="",I36="",L36="",M36="",$L$9&lt;&gt;"OK"),"Check all fields completed correctly",IF(AND(D36="",OR(F36&lt;&gt;"",H36&lt;&gt;"",I36&lt;&gt;"",L36&lt;&gt;"")),"Check all fields completed correctly","OK"))))</f>
        <v/>
      </c>
      <c r="W36" s="495" t="str">
        <f>IF(I36="","",IF(VLOOKUP(I36,'Eligible Technologies'!$D$7:$G$69,4,FALSE)&lt;$F$9,VLOOKUP(I36,'Eligible Technologies'!$D$7:$G$69,4,FALSE),$F$9))</f>
        <v/>
      </c>
      <c r="X36" s="496" t="str">
        <f t="shared" si="14"/>
        <v/>
      </c>
      <c r="Y36" s="496">
        <f t="shared" ca="1" si="10"/>
        <v>0</v>
      </c>
      <c r="Z36" s="496" t="str">
        <f>'Extra look-up'!F30</f>
        <v/>
      </c>
      <c r="AA36" s="496" t="str">
        <f ca="1">'Extra look-up'!H30</f>
        <v>OK</v>
      </c>
      <c r="AB36" s="496">
        <f t="shared" ca="1" si="12"/>
        <v>1</v>
      </c>
      <c r="AC36" s="510" t="e">
        <f t="shared" si="13"/>
        <v>#VALUE!</v>
      </c>
      <c r="AD36" s="513">
        <f t="shared" si="11"/>
        <v>0.1953</v>
      </c>
      <c r="AE36" s="507"/>
      <c r="AF36" s="507"/>
      <c r="AG36" s="12"/>
      <c r="AH36" s="12" t="s">
        <v>116</v>
      </c>
      <c r="AI36" s="12" t="s">
        <v>112</v>
      </c>
      <c r="AJ36" s="12"/>
      <c r="AK36" s="12"/>
      <c r="AL36" s="12"/>
      <c r="AM36" s="23"/>
      <c r="AN36" s="11"/>
      <c r="AO36" s="11"/>
      <c r="AP36" s="11"/>
      <c r="AQ36" s="23"/>
      <c r="AR36" s="672"/>
      <c r="AS36" s="672"/>
      <c r="AT36" s="672"/>
      <c r="AU36" s="672"/>
      <c r="AV36" s="672"/>
      <c r="AW36" s="672"/>
      <c r="AX36" s="672"/>
      <c r="AY36" s="672"/>
      <c r="AZ36" s="672"/>
      <c r="BA36" s="672"/>
      <c r="BB36" s="672"/>
      <c r="BC36" s="672"/>
      <c r="BD36" s="672"/>
      <c r="BE36" s="672"/>
      <c r="BF36" s="672"/>
      <c r="BG36" s="672"/>
      <c r="BH36" s="672"/>
      <c r="BI36" s="672"/>
      <c r="BJ36" s="672"/>
      <c r="BK36" s="672"/>
      <c r="BL36" s="672"/>
      <c r="BM36" s="672"/>
      <c r="BN36" s="672"/>
      <c r="BO36" s="672"/>
      <c r="BP36" s="672"/>
      <c r="BQ36" s="672"/>
      <c r="BR36" s="672"/>
    </row>
    <row r="37" spans="1:70" s="682" customFormat="1" ht="34.15" hidden="1" customHeight="1" outlineLevel="1" x14ac:dyDescent="0.2">
      <c r="A37" s="151">
        <v>26</v>
      </c>
      <c r="B37" s="98"/>
      <c r="C37" s="107"/>
      <c r="D37" s="99"/>
      <c r="E37" s="100"/>
      <c r="F37" s="101"/>
      <c r="G37" s="126" t="str">
        <f t="shared" si="0"/>
        <v/>
      </c>
      <c r="H37" s="307"/>
      <c r="I37" s="940"/>
      <c r="J37" s="941"/>
      <c r="K37" s="102"/>
      <c r="L37" s="103"/>
      <c r="M37" s="129" t="str">
        <f t="shared" si="3"/>
        <v/>
      </c>
      <c r="N37" s="130">
        <f t="shared" si="4"/>
        <v>0</v>
      </c>
      <c r="O37" s="104"/>
      <c r="P37" s="138" t="str">
        <f t="shared" si="1"/>
        <v/>
      </c>
      <c r="Q37" s="139" t="str">
        <f t="shared" si="5"/>
        <v/>
      </c>
      <c r="R37" s="518" t="str">
        <f t="shared" si="2"/>
        <v/>
      </c>
      <c r="S37" s="140" t="str">
        <f t="shared" si="6"/>
        <v/>
      </c>
      <c r="T37" s="140" t="str">
        <f t="shared" si="7"/>
        <v/>
      </c>
      <c r="U37" s="141" t="str">
        <f t="shared" si="8"/>
        <v/>
      </c>
      <c r="V37" s="524" t="str">
        <f ca="1">IF('Extra look-up'!$H31="Work Type","Check Work Type",IF(AND(D37="",F37="",H37="",I37="",L37="",M37=""),"",IF(OR(D37="",F37="",H37="",I37="",L37="",M37="",$L$9&lt;&gt;"OK"),"Check all fields completed correctly",IF(AND(D37="",OR(F37&lt;&gt;"",H37&lt;&gt;"",I37&lt;&gt;"",L37&lt;&gt;"")),"Check all fields completed correctly","OK"))))</f>
        <v/>
      </c>
      <c r="W37" s="495" t="str">
        <f>IF(I37="","",IF(VLOOKUP(I37,'Eligible Technologies'!$D$7:$G$69,4,FALSE)&lt;$F$9,VLOOKUP(I37,'Eligible Technologies'!$D$7:$G$69,4,FALSE),$F$9))</f>
        <v/>
      </c>
      <c r="X37" s="496" t="str">
        <f t="shared" si="14"/>
        <v/>
      </c>
      <c r="Y37" s="496">
        <f t="shared" ca="1" si="10"/>
        <v>0</v>
      </c>
      <c r="Z37" s="496" t="str">
        <f>'Extra look-up'!F31</f>
        <v/>
      </c>
      <c r="AA37" s="496" t="str">
        <f ca="1">'Extra look-up'!H31</f>
        <v>OK</v>
      </c>
      <c r="AB37" s="496">
        <f t="shared" ca="1" si="12"/>
        <v>1</v>
      </c>
      <c r="AC37" s="510" t="e">
        <f t="shared" si="13"/>
        <v>#VALUE!</v>
      </c>
      <c r="AD37" s="513">
        <f t="shared" si="11"/>
        <v>0.1953</v>
      </c>
      <c r="AE37" s="507"/>
      <c r="AF37" s="507"/>
      <c r="AG37" s="12"/>
      <c r="AH37" s="11" t="s">
        <v>117</v>
      </c>
      <c r="AI37" s="12" t="s">
        <v>117</v>
      </c>
      <c r="AJ37" s="12"/>
      <c r="AK37" s="23"/>
      <c r="AL37" s="23"/>
      <c r="AM37" s="23"/>
      <c r="AN37" s="11"/>
      <c r="AO37" s="11"/>
      <c r="AP37" s="11"/>
      <c r="AQ37" s="23"/>
      <c r="AR37" s="672"/>
      <c r="AS37" s="672"/>
      <c r="AT37" s="672"/>
      <c r="AU37" s="672"/>
      <c r="AV37" s="672"/>
      <c r="AW37" s="672"/>
      <c r="AX37" s="672"/>
      <c r="AY37" s="672"/>
      <c r="AZ37" s="672"/>
      <c r="BA37" s="672"/>
      <c r="BB37" s="672"/>
      <c r="BC37" s="672"/>
      <c r="BD37" s="672"/>
      <c r="BE37" s="672"/>
      <c r="BF37" s="672"/>
      <c r="BG37" s="672"/>
      <c r="BH37" s="672"/>
      <c r="BI37" s="672"/>
      <c r="BJ37" s="672"/>
      <c r="BK37" s="672"/>
      <c r="BL37" s="672"/>
      <c r="BM37" s="672"/>
      <c r="BN37" s="672"/>
      <c r="BO37" s="672"/>
      <c r="BP37" s="672"/>
      <c r="BQ37" s="672"/>
      <c r="BR37" s="672"/>
    </row>
    <row r="38" spans="1:70" s="682" customFormat="1" ht="34.15" hidden="1" customHeight="1" outlineLevel="1" x14ac:dyDescent="0.2">
      <c r="A38" s="151">
        <v>27</v>
      </c>
      <c r="B38" s="98"/>
      <c r="C38" s="107"/>
      <c r="D38" s="99"/>
      <c r="E38" s="100"/>
      <c r="F38" s="101"/>
      <c r="G38" s="126" t="str">
        <f t="shared" si="0"/>
        <v/>
      </c>
      <c r="H38" s="307"/>
      <c r="I38" s="940"/>
      <c r="J38" s="941"/>
      <c r="K38" s="102"/>
      <c r="L38" s="103"/>
      <c r="M38" s="129" t="str">
        <f t="shared" si="3"/>
        <v/>
      </c>
      <c r="N38" s="130">
        <f t="shared" si="4"/>
        <v>0</v>
      </c>
      <c r="O38" s="104"/>
      <c r="P38" s="138" t="str">
        <f t="shared" si="1"/>
        <v/>
      </c>
      <c r="Q38" s="139" t="str">
        <f t="shared" si="5"/>
        <v/>
      </c>
      <c r="R38" s="518" t="str">
        <f t="shared" si="2"/>
        <v/>
      </c>
      <c r="S38" s="140" t="str">
        <f t="shared" si="6"/>
        <v/>
      </c>
      <c r="T38" s="140" t="str">
        <f t="shared" si="7"/>
        <v/>
      </c>
      <c r="U38" s="141" t="str">
        <f t="shared" si="8"/>
        <v/>
      </c>
      <c r="V38" s="524" t="str">
        <f ca="1">IF('Extra look-up'!$H32="Work Type","Check Work Type",IF(AND(D38="",F38="",H38="",I38="",L38="",M38=""),"",IF(OR(D38="",F38="",H38="",I38="",L38="",M38="",$L$9&lt;&gt;"OK"),"Check all fields completed correctly",IF(AND(D38="",OR(F38&lt;&gt;"",H38&lt;&gt;"",I38&lt;&gt;"",L38&lt;&gt;"")),"Check all fields completed correctly","OK"))))</f>
        <v/>
      </c>
      <c r="W38" s="495" t="str">
        <f>IF(I38="","",IF(VLOOKUP(I38,'Eligible Technologies'!$D$7:$G$69,4,FALSE)&lt;$F$9,VLOOKUP(I38,'Eligible Technologies'!$D$7:$G$69,4,FALSE),$F$9))</f>
        <v/>
      </c>
      <c r="X38" s="496" t="str">
        <f t="shared" si="14"/>
        <v/>
      </c>
      <c r="Y38" s="496">
        <f t="shared" ca="1" si="10"/>
        <v>0</v>
      </c>
      <c r="Z38" s="496" t="str">
        <f>'Extra look-up'!F32</f>
        <v/>
      </c>
      <c r="AA38" s="496" t="str">
        <f ca="1">'Extra look-up'!H32</f>
        <v>OK</v>
      </c>
      <c r="AB38" s="496">
        <f t="shared" ca="1" si="12"/>
        <v>1</v>
      </c>
      <c r="AC38" s="510" t="e">
        <f t="shared" si="13"/>
        <v>#VALUE!</v>
      </c>
      <c r="AD38" s="513">
        <f t="shared" si="11"/>
        <v>0.1953</v>
      </c>
      <c r="AE38" s="507"/>
      <c r="AF38" s="507"/>
      <c r="AG38" s="11"/>
      <c r="AH38" s="23"/>
      <c r="AI38" s="11"/>
      <c r="AJ38" s="11"/>
      <c r="AK38" s="11"/>
      <c r="AL38" s="11"/>
      <c r="AM38" s="23"/>
      <c r="AN38" s="11"/>
      <c r="AO38" s="11"/>
      <c r="AP38" s="11"/>
      <c r="AQ38" s="23"/>
      <c r="AR38" s="672"/>
      <c r="AS38" s="672"/>
      <c r="AT38" s="672"/>
      <c r="AU38" s="672"/>
      <c r="AV38" s="672"/>
      <c r="AW38" s="672"/>
      <c r="AX38" s="672"/>
      <c r="AY38" s="672"/>
      <c r="AZ38" s="672"/>
      <c r="BA38" s="672"/>
      <c r="BB38" s="672"/>
      <c r="BC38" s="672"/>
      <c r="BD38" s="672"/>
      <c r="BE38" s="672"/>
      <c r="BF38" s="672"/>
      <c r="BG38" s="672"/>
      <c r="BH38" s="672"/>
      <c r="BI38" s="672"/>
      <c r="BJ38" s="672"/>
      <c r="BK38" s="672"/>
      <c r="BL38" s="672"/>
      <c r="BM38" s="672"/>
      <c r="BN38" s="672"/>
      <c r="BO38" s="672"/>
      <c r="BP38" s="672"/>
      <c r="BQ38" s="672"/>
      <c r="BR38" s="672"/>
    </row>
    <row r="39" spans="1:70" s="682" customFormat="1" ht="34.15" hidden="1" customHeight="1" outlineLevel="1" x14ac:dyDescent="0.2">
      <c r="A39" s="151">
        <v>28</v>
      </c>
      <c r="B39" s="98"/>
      <c r="C39" s="107"/>
      <c r="D39" s="99"/>
      <c r="E39" s="100"/>
      <c r="F39" s="101"/>
      <c r="G39" s="126" t="str">
        <f t="shared" si="0"/>
        <v/>
      </c>
      <c r="H39" s="307"/>
      <c r="I39" s="940"/>
      <c r="J39" s="941"/>
      <c r="K39" s="102"/>
      <c r="L39" s="103"/>
      <c r="M39" s="129" t="str">
        <f t="shared" si="3"/>
        <v/>
      </c>
      <c r="N39" s="130">
        <f t="shared" si="4"/>
        <v>0</v>
      </c>
      <c r="O39" s="104"/>
      <c r="P39" s="138" t="str">
        <f t="shared" si="1"/>
        <v/>
      </c>
      <c r="Q39" s="139" t="str">
        <f t="shared" si="5"/>
        <v/>
      </c>
      <c r="R39" s="518" t="str">
        <f t="shared" si="2"/>
        <v/>
      </c>
      <c r="S39" s="140" t="str">
        <f t="shared" si="6"/>
        <v/>
      </c>
      <c r="T39" s="140" t="str">
        <f t="shared" si="7"/>
        <v/>
      </c>
      <c r="U39" s="141" t="str">
        <f t="shared" si="8"/>
        <v/>
      </c>
      <c r="V39" s="524" t="str">
        <f ca="1">IF('Extra look-up'!$H33="Work Type","Check Work Type",IF(AND(D39="",F39="",H39="",I39="",L39="",M39=""),"",IF(OR(D39="",F39="",H39="",I39="",L39="",M39="",$L$9&lt;&gt;"OK"),"Check all fields completed correctly",IF(AND(D39="",OR(F39&lt;&gt;"",H39&lt;&gt;"",I39&lt;&gt;"",L39&lt;&gt;"")),"Check all fields completed correctly","OK"))))</f>
        <v/>
      </c>
      <c r="W39" s="495" t="str">
        <f>IF(I39="","",IF(VLOOKUP(I39,'Eligible Technologies'!$D$7:$G$69,4,FALSE)&lt;$F$9,VLOOKUP(I39,'Eligible Technologies'!$D$7:$G$69,4,FALSE),$F$9))</f>
        <v/>
      </c>
      <c r="X39" s="496" t="str">
        <f t="shared" si="14"/>
        <v/>
      </c>
      <c r="Y39" s="496">
        <f t="shared" ca="1" si="10"/>
        <v>0</v>
      </c>
      <c r="Z39" s="496" t="str">
        <f>'Extra look-up'!F33</f>
        <v/>
      </c>
      <c r="AA39" s="496" t="str">
        <f ca="1">'Extra look-up'!H33</f>
        <v>OK</v>
      </c>
      <c r="AB39" s="496">
        <f t="shared" ca="1" si="12"/>
        <v>1</v>
      </c>
      <c r="AC39" s="510" t="e">
        <f t="shared" si="13"/>
        <v>#VALUE!</v>
      </c>
      <c r="AD39" s="513">
        <f t="shared" si="11"/>
        <v>0.1953</v>
      </c>
      <c r="AE39" s="507"/>
      <c r="AF39" s="507"/>
      <c r="AG39" s="23"/>
      <c r="AH39" s="23"/>
      <c r="AI39" s="23"/>
      <c r="AJ39" s="23"/>
      <c r="AK39" s="23"/>
      <c r="AL39" s="23"/>
      <c r="AM39" s="23"/>
      <c r="AN39" s="23"/>
      <c r="AO39" s="11"/>
      <c r="AP39" s="11"/>
      <c r="AQ39" s="23"/>
      <c r="AR39" s="672"/>
      <c r="AS39" s="672"/>
      <c r="AT39" s="672"/>
      <c r="AU39" s="672"/>
      <c r="AV39" s="672"/>
      <c r="AW39" s="672"/>
      <c r="AX39" s="672"/>
      <c r="AY39" s="672"/>
      <c r="AZ39" s="672"/>
      <c r="BA39" s="672"/>
      <c r="BB39" s="672"/>
      <c r="BC39" s="672"/>
      <c r="BD39" s="672"/>
      <c r="BE39" s="672"/>
      <c r="BF39" s="672"/>
      <c r="BG39" s="672"/>
      <c r="BH39" s="672"/>
      <c r="BI39" s="672"/>
      <c r="BJ39" s="672"/>
      <c r="BK39" s="672"/>
      <c r="BL39" s="672"/>
      <c r="BM39" s="672"/>
      <c r="BN39" s="672"/>
      <c r="BO39" s="672"/>
      <c r="BP39" s="672"/>
      <c r="BQ39" s="672"/>
      <c r="BR39" s="672"/>
    </row>
    <row r="40" spans="1:70" s="682" customFormat="1" ht="34.15" hidden="1" customHeight="1" outlineLevel="1" x14ac:dyDescent="0.2">
      <c r="A40" s="151">
        <v>29</v>
      </c>
      <c r="B40" s="98"/>
      <c r="C40" s="107"/>
      <c r="D40" s="99"/>
      <c r="E40" s="100"/>
      <c r="F40" s="101"/>
      <c r="G40" s="126" t="str">
        <f t="shared" si="0"/>
        <v/>
      </c>
      <c r="H40" s="307"/>
      <c r="I40" s="940"/>
      <c r="J40" s="941"/>
      <c r="K40" s="102"/>
      <c r="L40" s="103"/>
      <c r="M40" s="129" t="str">
        <f t="shared" si="3"/>
        <v/>
      </c>
      <c r="N40" s="130">
        <f t="shared" si="4"/>
        <v>0</v>
      </c>
      <c r="O40" s="104"/>
      <c r="P40" s="138" t="str">
        <f t="shared" si="1"/>
        <v/>
      </c>
      <c r="Q40" s="139" t="str">
        <f t="shared" si="5"/>
        <v/>
      </c>
      <c r="R40" s="518" t="str">
        <f t="shared" si="2"/>
        <v/>
      </c>
      <c r="S40" s="140" t="str">
        <f t="shared" si="6"/>
        <v/>
      </c>
      <c r="T40" s="140" t="str">
        <f t="shared" si="7"/>
        <v/>
      </c>
      <c r="U40" s="141" t="str">
        <f t="shared" si="8"/>
        <v/>
      </c>
      <c r="V40" s="524" t="str">
        <f ca="1">IF('Extra look-up'!$H34="Work Type","Check Work Type",IF(AND(D40="",F40="",H40="",I40="",L40="",M40=""),"",IF(OR(D40="",F40="",H40="",I40="",L40="",M40="",$L$9&lt;&gt;"OK"),"Check all fields completed correctly",IF(AND(D40="",OR(F40&lt;&gt;"",H40&lt;&gt;"",I40&lt;&gt;"",L40&lt;&gt;"")),"Check all fields completed correctly","OK"))))</f>
        <v/>
      </c>
      <c r="W40" s="495" t="str">
        <f>IF(I40="","",IF(VLOOKUP(I40,'Eligible Technologies'!$D$7:$G$69,4,FALSE)&lt;$F$9,VLOOKUP(I40,'Eligible Technologies'!$D$7:$G$69,4,FALSE),$F$9))</f>
        <v/>
      </c>
      <c r="X40" s="496" t="str">
        <f t="shared" si="14"/>
        <v/>
      </c>
      <c r="Y40" s="496">
        <f t="shared" ca="1" si="10"/>
        <v>0</v>
      </c>
      <c r="Z40" s="496" t="str">
        <f>'Extra look-up'!F34</f>
        <v/>
      </c>
      <c r="AA40" s="496" t="str">
        <f ca="1">'Extra look-up'!H34</f>
        <v>OK</v>
      </c>
      <c r="AB40" s="496">
        <f t="shared" ca="1" si="12"/>
        <v>1</v>
      </c>
      <c r="AC40" s="510" t="e">
        <f t="shared" si="13"/>
        <v>#VALUE!</v>
      </c>
      <c r="AD40" s="513">
        <f t="shared" si="11"/>
        <v>0.1953</v>
      </c>
      <c r="AE40" s="507"/>
      <c r="AF40" s="507"/>
      <c r="AG40" s="23"/>
      <c r="AH40" s="23"/>
      <c r="AI40" s="23"/>
      <c r="AJ40" s="23"/>
      <c r="AK40" s="23"/>
      <c r="AL40" s="23"/>
      <c r="AM40" s="23"/>
      <c r="AN40" s="23"/>
      <c r="AO40" s="11"/>
      <c r="AP40" s="11"/>
      <c r="AQ40" s="23"/>
      <c r="AR40" s="672"/>
      <c r="AS40" s="672"/>
      <c r="AT40" s="672"/>
      <c r="AU40" s="672"/>
      <c r="AV40" s="672"/>
      <c r="AW40" s="672"/>
      <c r="AX40" s="672"/>
      <c r="AY40" s="672"/>
      <c r="AZ40" s="672"/>
      <c r="BA40" s="672"/>
      <c r="BB40" s="672"/>
      <c r="BC40" s="672"/>
      <c r="BD40" s="672"/>
      <c r="BE40" s="672"/>
      <c r="BF40" s="672"/>
      <c r="BG40" s="672"/>
      <c r="BH40" s="672"/>
      <c r="BI40" s="672"/>
      <c r="BJ40" s="672"/>
      <c r="BK40" s="672"/>
      <c r="BL40" s="672"/>
      <c r="BM40" s="672"/>
      <c r="BN40" s="672"/>
      <c r="BO40" s="672"/>
      <c r="BP40" s="672"/>
      <c r="BQ40" s="672"/>
      <c r="BR40" s="672"/>
    </row>
    <row r="41" spans="1:70" s="682" customFormat="1" ht="34.15" hidden="1" customHeight="1" outlineLevel="1" x14ac:dyDescent="0.2">
      <c r="A41" s="151">
        <v>30</v>
      </c>
      <c r="B41" s="98"/>
      <c r="C41" s="107"/>
      <c r="D41" s="99"/>
      <c r="E41" s="100"/>
      <c r="F41" s="101"/>
      <c r="G41" s="126" t="str">
        <f t="shared" si="0"/>
        <v/>
      </c>
      <c r="H41" s="307"/>
      <c r="I41" s="940"/>
      <c r="J41" s="941"/>
      <c r="K41" s="102"/>
      <c r="L41" s="103"/>
      <c r="M41" s="129" t="str">
        <f t="shared" si="3"/>
        <v/>
      </c>
      <c r="N41" s="130">
        <f t="shared" si="4"/>
        <v>0</v>
      </c>
      <c r="O41" s="104"/>
      <c r="P41" s="138" t="str">
        <f t="shared" si="1"/>
        <v/>
      </c>
      <c r="Q41" s="139" t="str">
        <f t="shared" si="5"/>
        <v/>
      </c>
      <c r="R41" s="518" t="str">
        <f t="shared" si="2"/>
        <v/>
      </c>
      <c r="S41" s="140" t="str">
        <f t="shared" si="6"/>
        <v/>
      </c>
      <c r="T41" s="140" t="str">
        <f t="shared" si="7"/>
        <v/>
      </c>
      <c r="U41" s="141" t="str">
        <f t="shared" si="8"/>
        <v/>
      </c>
      <c r="V41" s="524" t="str">
        <f ca="1">IF('Extra look-up'!$H35="Work Type","Check Work Type",IF(AND(D41="",F41="",H41="",I41="",L41="",M41=""),"",IF(OR(D41="",F41="",H41="",I41="",L41="",M41="",$L$9&lt;&gt;"OK"),"Check all fields completed correctly",IF(AND(D41="",OR(F41&lt;&gt;"",H41&lt;&gt;"",I41&lt;&gt;"",L41&lt;&gt;"")),"Check all fields completed correctly","OK"))))</f>
        <v/>
      </c>
      <c r="W41" s="495" t="str">
        <f>IF(I41="","",IF(VLOOKUP(I41,'Eligible Technologies'!$D$7:$G$69,4,FALSE)&lt;$F$9,VLOOKUP(I41,'Eligible Technologies'!$D$7:$G$69,4,FALSE),$F$9))</f>
        <v/>
      </c>
      <c r="X41" s="496" t="str">
        <f t="shared" si="14"/>
        <v/>
      </c>
      <c r="Y41" s="496">
        <f t="shared" ca="1" si="10"/>
        <v>0</v>
      </c>
      <c r="Z41" s="496" t="str">
        <f>'Extra look-up'!F35</f>
        <v/>
      </c>
      <c r="AA41" s="496" t="str">
        <f ca="1">'Extra look-up'!H35</f>
        <v>OK</v>
      </c>
      <c r="AB41" s="496">
        <f t="shared" ca="1" si="12"/>
        <v>1</v>
      </c>
      <c r="AC41" s="510" t="e">
        <f t="shared" si="13"/>
        <v>#VALUE!</v>
      </c>
      <c r="AD41" s="513">
        <f t="shared" si="11"/>
        <v>0.1953</v>
      </c>
      <c r="AE41" s="507"/>
      <c r="AF41" s="507"/>
      <c r="AG41" s="23"/>
      <c r="AH41" s="23"/>
      <c r="AI41" s="23"/>
      <c r="AJ41" s="23"/>
      <c r="AK41" s="23"/>
      <c r="AL41" s="23"/>
      <c r="AM41" s="23"/>
      <c r="AN41" s="23"/>
      <c r="AO41" s="23"/>
      <c r="AP41" s="23"/>
      <c r="AQ41" s="23"/>
      <c r="AR41" s="672"/>
      <c r="AS41" s="672"/>
      <c r="AT41" s="672"/>
      <c r="AU41" s="672"/>
      <c r="AV41" s="672"/>
      <c r="AW41" s="672"/>
      <c r="AX41" s="672"/>
      <c r="AY41" s="672"/>
      <c r="AZ41" s="672"/>
      <c r="BA41" s="672"/>
      <c r="BB41" s="672"/>
      <c r="BC41" s="672"/>
      <c r="BD41" s="672"/>
      <c r="BE41" s="672"/>
      <c r="BF41" s="672"/>
      <c r="BG41" s="672"/>
      <c r="BH41" s="672"/>
      <c r="BI41" s="672"/>
      <c r="BJ41" s="672"/>
      <c r="BK41" s="672"/>
      <c r="BL41" s="672"/>
      <c r="BM41" s="672"/>
      <c r="BN41" s="672"/>
      <c r="BO41" s="672"/>
      <c r="BP41" s="672"/>
      <c r="BQ41" s="672"/>
      <c r="BR41" s="672"/>
    </row>
    <row r="42" spans="1:70" s="682" customFormat="1" ht="34.15" hidden="1" customHeight="1" outlineLevel="1" x14ac:dyDescent="0.2">
      <c r="A42" s="151">
        <v>31</v>
      </c>
      <c r="B42" s="98"/>
      <c r="C42" s="107"/>
      <c r="D42" s="99"/>
      <c r="E42" s="100"/>
      <c r="F42" s="101"/>
      <c r="G42" s="126" t="str">
        <f t="shared" si="0"/>
        <v/>
      </c>
      <c r="H42" s="307"/>
      <c r="I42" s="940"/>
      <c r="J42" s="941"/>
      <c r="K42" s="102"/>
      <c r="L42" s="103"/>
      <c r="M42" s="129" t="str">
        <f t="shared" si="3"/>
        <v/>
      </c>
      <c r="N42" s="130">
        <f t="shared" si="4"/>
        <v>0</v>
      </c>
      <c r="O42" s="104"/>
      <c r="P42" s="138" t="str">
        <f t="shared" si="1"/>
        <v/>
      </c>
      <c r="Q42" s="139" t="str">
        <f t="shared" si="5"/>
        <v/>
      </c>
      <c r="R42" s="518" t="str">
        <f t="shared" si="2"/>
        <v/>
      </c>
      <c r="S42" s="140" t="str">
        <f t="shared" si="6"/>
        <v/>
      </c>
      <c r="T42" s="140" t="str">
        <f t="shared" si="7"/>
        <v/>
      </c>
      <c r="U42" s="141" t="str">
        <f t="shared" si="8"/>
        <v/>
      </c>
      <c r="V42" s="524" t="str">
        <f ca="1">IF('Extra look-up'!$H36="Work Type","Check Work Type",IF(AND(D42="",F42="",H42="",I42="",L42="",M42=""),"",IF(OR(D42="",F42="",H42="",I42="",L42="",M42="",$L$9&lt;&gt;"OK"),"Check all fields completed correctly",IF(AND(D42="",OR(F42&lt;&gt;"",H42&lt;&gt;"",I42&lt;&gt;"",L42&lt;&gt;"")),"Check all fields completed correctly","OK"))))</f>
        <v/>
      </c>
      <c r="W42" s="495" t="str">
        <f>IF(I42="","",IF(VLOOKUP(I42,'Eligible Technologies'!$D$7:$G$69,4,FALSE)&lt;$F$9,VLOOKUP(I42,'Eligible Technologies'!$D$7:$G$69,4,FALSE),$F$9))</f>
        <v/>
      </c>
      <c r="X42" s="496" t="str">
        <f t="shared" si="14"/>
        <v/>
      </c>
      <c r="Y42" s="496">
        <f t="shared" ca="1" si="10"/>
        <v>0</v>
      </c>
      <c r="Z42" s="496" t="str">
        <f>'Extra look-up'!F36</f>
        <v/>
      </c>
      <c r="AA42" s="496" t="str">
        <f ca="1">'Extra look-up'!H36</f>
        <v>OK</v>
      </c>
      <c r="AB42" s="496">
        <f t="shared" ca="1" si="12"/>
        <v>1</v>
      </c>
      <c r="AC42" s="510" t="e">
        <f t="shared" si="13"/>
        <v>#VALUE!</v>
      </c>
      <c r="AD42" s="513">
        <f t="shared" si="11"/>
        <v>0.1953</v>
      </c>
      <c r="AE42" s="507"/>
      <c r="AF42" s="507"/>
      <c r="AG42" s="23"/>
      <c r="AH42" s="23"/>
      <c r="AI42" s="23"/>
      <c r="AJ42" s="23"/>
      <c r="AK42" s="23"/>
      <c r="AL42" s="23"/>
      <c r="AM42" s="23"/>
      <c r="AN42" s="23"/>
      <c r="AO42" s="23"/>
      <c r="AP42" s="23"/>
      <c r="AQ42" s="23"/>
      <c r="AR42" s="672"/>
      <c r="AS42" s="672"/>
      <c r="AT42" s="672"/>
      <c r="AU42" s="672"/>
      <c r="AV42" s="672"/>
      <c r="AW42" s="672"/>
      <c r="AX42" s="672"/>
      <c r="AY42" s="672"/>
      <c r="AZ42" s="672"/>
      <c r="BA42" s="672"/>
      <c r="BB42" s="672"/>
      <c r="BC42" s="672"/>
      <c r="BD42" s="672"/>
      <c r="BE42" s="672"/>
      <c r="BF42" s="672"/>
      <c r="BG42" s="672"/>
      <c r="BH42" s="672"/>
      <c r="BI42" s="672"/>
      <c r="BJ42" s="672"/>
      <c r="BK42" s="672"/>
      <c r="BL42" s="672"/>
      <c r="BM42" s="672"/>
      <c r="BN42" s="672"/>
      <c r="BO42" s="672"/>
      <c r="BP42" s="672"/>
      <c r="BQ42" s="672"/>
      <c r="BR42" s="672"/>
    </row>
    <row r="43" spans="1:70" s="682" customFormat="1" ht="34.15" hidden="1" customHeight="1" outlineLevel="1" x14ac:dyDescent="0.2">
      <c r="A43" s="151">
        <v>32</v>
      </c>
      <c r="B43" s="98"/>
      <c r="C43" s="107"/>
      <c r="D43" s="99"/>
      <c r="E43" s="100"/>
      <c r="F43" s="101"/>
      <c r="G43" s="126" t="str">
        <f t="shared" si="0"/>
        <v/>
      </c>
      <c r="H43" s="307"/>
      <c r="I43" s="940"/>
      <c r="J43" s="941"/>
      <c r="K43" s="102"/>
      <c r="L43" s="103"/>
      <c r="M43" s="129" t="str">
        <f t="shared" si="3"/>
        <v/>
      </c>
      <c r="N43" s="130">
        <f t="shared" si="4"/>
        <v>0</v>
      </c>
      <c r="O43" s="104"/>
      <c r="P43" s="138" t="str">
        <f t="shared" si="1"/>
        <v/>
      </c>
      <c r="Q43" s="139" t="str">
        <f t="shared" si="5"/>
        <v/>
      </c>
      <c r="R43" s="518" t="str">
        <f t="shared" si="2"/>
        <v/>
      </c>
      <c r="S43" s="140" t="str">
        <f t="shared" si="6"/>
        <v/>
      </c>
      <c r="T43" s="140" t="str">
        <f t="shared" si="7"/>
        <v/>
      </c>
      <c r="U43" s="141" t="str">
        <f t="shared" si="8"/>
        <v/>
      </c>
      <c r="V43" s="524" t="str">
        <f ca="1">IF('Extra look-up'!$H37="Work Type","Check Work Type",IF(AND(D43="",F43="",H43="",I43="",L43="",M43=""),"",IF(OR(D43="",F43="",H43="",I43="",L43="",M43="",$L$9&lt;&gt;"OK"),"Check all fields completed correctly",IF(AND(D43="",OR(F43&lt;&gt;"",H43&lt;&gt;"",I43&lt;&gt;"",L43&lt;&gt;"")),"Check all fields completed correctly","OK"))))</f>
        <v/>
      </c>
      <c r="W43" s="495" t="str">
        <f>IF(I43="","",IF(VLOOKUP(I43,'Eligible Technologies'!$D$7:$G$69,4,FALSE)&lt;$F$9,VLOOKUP(I43,'Eligible Technologies'!$D$7:$G$69,4,FALSE),$F$9))</f>
        <v/>
      </c>
      <c r="X43" s="496" t="str">
        <f t="shared" si="14"/>
        <v/>
      </c>
      <c r="Y43" s="496">
        <f t="shared" ca="1" si="10"/>
        <v>0</v>
      </c>
      <c r="Z43" s="496" t="str">
        <f>'Extra look-up'!F37</f>
        <v/>
      </c>
      <c r="AA43" s="496" t="str">
        <f ca="1">'Extra look-up'!H37</f>
        <v>OK</v>
      </c>
      <c r="AB43" s="496">
        <f t="shared" ca="1" si="12"/>
        <v>1</v>
      </c>
      <c r="AC43" s="510" t="e">
        <f t="shared" si="13"/>
        <v>#VALUE!</v>
      </c>
      <c r="AD43" s="513">
        <f t="shared" si="11"/>
        <v>0.1953</v>
      </c>
      <c r="AE43" s="507"/>
      <c r="AF43" s="507"/>
      <c r="AG43" s="23"/>
      <c r="AH43" s="23"/>
      <c r="AI43" s="23"/>
      <c r="AJ43" s="23"/>
      <c r="AK43" s="23"/>
      <c r="AL43" s="23"/>
      <c r="AM43" s="23"/>
      <c r="AN43" s="23"/>
      <c r="AO43" s="23"/>
      <c r="AP43" s="23"/>
      <c r="AQ43" s="23"/>
      <c r="AR43" s="672"/>
      <c r="AS43" s="672"/>
      <c r="AT43" s="672"/>
      <c r="AU43" s="672"/>
      <c r="AV43" s="672"/>
      <c r="AW43" s="672"/>
      <c r="AX43" s="672"/>
      <c r="AY43" s="672"/>
      <c r="AZ43" s="672"/>
      <c r="BA43" s="672"/>
      <c r="BB43" s="672"/>
      <c r="BC43" s="672"/>
      <c r="BD43" s="672"/>
      <c r="BE43" s="672"/>
      <c r="BF43" s="672"/>
      <c r="BG43" s="672"/>
      <c r="BH43" s="672"/>
      <c r="BI43" s="672"/>
      <c r="BJ43" s="672"/>
      <c r="BK43" s="672"/>
      <c r="BL43" s="672"/>
      <c r="BM43" s="672"/>
      <c r="BN43" s="672"/>
      <c r="BO43" s="672"/>
      <c r="BP43" s="672"/>
      <c r="BQ43" s="672"/>
      <c r="BR43" s="672"/>
    </row>
    <row r="44" spans="1:70" s="682" customFormat="1" ht="34.15" hidden="1" customHeight="1" outlineLevel="1" x14ac:dyDescent="0.2">
      <c r="A44" s="151">
        <v>33</v>
      </c>
      <c r="B44" s="98"/>
      <c r="C44" s="107"/>
      <c r="D44" s="99"/>
      <c r="E44" s="100"/>
      <c r="F44" s="101"/>
      <c r="G44" s="126" t="str">
        <f t="shared" ref="G44:G61" si="15">IFERROR(((F44/E44)^(1/X44))-1,"")</f>
        <v/>
      </c>
      <c r="H44" s="307"/>
      <c r="I44" s="940"/>
      <c r="J44" s="941"/>
      <c r="K44" s="102"/>
      <c r="L44" s="103"/>
      <c r="M44" s="129" t="str">
        <f t="shared" si="3"/>
        <v/>
      </c>
      <c r="N44" s="130">
        <f t="shared" si="4"/>
        <v>0</v>
      </c>
      <c r="O44" s="104"/>
      <c r="P44" s="138" t="str">
        <f t="shared" ref="P44:P61" si="16">IF(OR(F44="",M44=""),"",M44*F44/100)</f>
        <v/>
      </c>
      <c r="Q44" s="139" t="str">
        <f t="shared" si="5"/>
        <v/>
      </c>
      <c r="R44" s="518" t="str">
        <f t="shared" ref="R44:R61" si="17">IFERROR(IF(D44="Electricity",AD44,HLOOKUP(D44,$AH$115:$AQ$153,2,FALSE)),"")</f>
        <v/>
      </c>
      <c r="S44" s="140" t="str">
        <f t="shared" ref="S44:S61" si="18">IF(OR(D44="",M44="",R44=""),"",M44*R44/1000)</f>
        <v/>
      </c>
      <c r="T44" s="140" t="str">
        <f t="shared" si="7"/>
        <v/>
      </c>
      <c r="U44" s="141" t="str">
        <f t="shared" si="8"/>
        <v/>
      </c>
      <c r="V44" s="524" t="str">
        <f ca="1">IF('Extra look-up'!$H38="Work Type","Check Work Type",IF(AND(D44="",F44="",H44="",I44="",L44="",M44=""),"",IF(OR(D44="",F44="",H44="",I44="",L44="",M44="",$L$9&lt;&gt;"OK"),"Check all fields completed correctly",IF(AND(D44="",OR(F44&lt;&gt;"",H44&lt;&gt;"",I44&lt;&gt;"",L44&lt;&gt;"")),"Check all fields completed correctly","OK"))))</f>
        <v/>
      </c>
      <c r="W44" s="495" t="str">
        <f>IF(I44="","",IF(VLOOKUP(I44,'Eligible Technologies'!$D$7:$G$69,4,FALSE)&lt;$F$9,VLOOKUP(I44,'Eligible Technologies'!$D$7:$G$69,4,FALSE),$F$9))</f>
        <v/>
      </c>
      <c r="X44" s="496" t="str">
        <f t="shared" si="14"/>
        <v/>
      </c>
      <c r="Y44" s="496">
        <f t="shared" ca="1" si="10"/>
        <v>0</v>
      </c>
      <c r="Z44" s="496" t="str">
        <f>'Extra look-up'!F38</f>
        <v/>
      </c>
      <c r="AA44" s="496" t="str">
        <f ca="1">'Extra look-up'!H38</f>
        <v>OK</v>
      </c>
      <c r="AB44" s="496">
        <f t="shared" ca="1" si="12"/>
        <v>1</v>
      </c>
      <c r="AC44" s="510" t="e">
        <f t="shared" si="13"/>
        <v>#VALUE!</v>
      </c>
      <c r="AD44" s="513">
        <f t="shared" si="11"/>
        <v>0.1953</v>
      </c>
      <c r="AE44" s="507"/>
      <c r="AF44" s="507"/>
      <c r="AG44" s="23"/>
      <c r="AH44" s="23"/>
      <c r="AI44" s="23"/>
      <c r="AJ44" s="23"/>
      <c r="AK44" s="23"/>
      <c r="AL44" s="23"/>
      <c r="AM44" s="23"/>
      <c r="AN44" s="23"/>
      <c r="AO44" s="23"/>
      <c r="AP44" s="23"/>
      <c r="AQ44" s="23"/>
      <c r="AR44" s="672"/>
      <c r="AS44" s="672"/>
      <c r="AT44" s="672"/>
      <c r="AU44" s="672"/>
      <c r="AV44" s="672"/>
      <c r="AW44" s="672"/>
      <c r="AX44" s="672"/>
      <c r="AY44" s="672"/>
      <c r="AZ44" s="672"/>
      <c r="BA44" s="672"/>
      <c r="BB44" s="672"/>
      <c r="BC44" s="672"/>
      <c r="BD44" s="672"/>
      <c r="BE44" s="672"/>
      <c r="BF44" s="672"/>
      <c r="BG44" s="672"/>
      <c r="BH44" s="672"/>
      <c r="BI44" s="672"/>
      <c r="BJ44" s="672"/>
      <c r="BK44" s="672"/>
      <c r="BL44" s="672"/>
      <c r="BM44" s="672"/>
      <c r="BN44" s="672"/>
      <c r="BO44" s="672"/>
      <c r="BP44" s="672"/>
      <c r="BQ44" s="672"/>
      <c r="BR44" s="672"/>
    </row>
    <row r="45" spans="1:70" s="682" customFormat="1" ht="34.15" hidden="1" customHeight="1" outlineLevel="1" x14ac:dyDescent="0.2">
      <c r="A45" s="151">
        <v>34</v>
      </c>
      <c r="B45" s="98"/>
      <c r="C45" s="107"/>
      <c r="D45" s="99"/>
      <c r="E45" s="100"/>
      <c r="F45" s="101"/>
      <c r="G45" s="126" t="str">
        <f t="shared" si="15"/>
        <v/>
      </c>
      <c r="H45" s="307"/>
      <c r="I45" s="940"/>
      <c r="J45" s="941"/>
      <c r="K45" s="102"/>
      <c r="L45" s="103"/>
      <c r="M45" s="129" t="str">
        <f t="shared" si="3"/>
        <v/>
      </c>
      <c r="N45" s="130">
        <f t="shared" si="4"/>
        <v>0</v>
      </c>
      <c r="O45" s="104"/>
      <c r="P45" s="138" t="str">
        <f t="shared" si="16"/>
        <v/>
      </c>
      <c r="Q45" s="139" t="str">
        <f t="shared" si="5"/>
        <v/>
      </c>
      <c r="R45" s="518" t="str">
        <f t="shared" si="17"/>
        <v/>
      </c>
      <c r="S45" s="140" t="str">
        <f t="shared" si="18"/>
        <v/>
      </c>
      <c r="T45" s="140" t="str">
        <f t="shared" si="7"/>
        <v/>
      </c>
      <c r="U45" s="141" t="str">
        <f t="shared" si="8"/>
        <v/>
      </c>
      <c r="V45" s="524" t="str">
        <f ca="1">IF('Extra look-up'!$H39="Work Type","Check Work Type",IF(AND(D45="",F45="",H45="",I45="",L45="",M45=""),"",IF(OR(D45="",F45="",H45="",I45="",L45="",M45="",$L$9&lt;&gt;"OK"),"Check all fields completed correctly",IF(AND(D45="",OR(F45&lt;&gt;"",H45&lt;&gt;"",I45&lt;&gt;"",L45&lt;&gt;"")),"Check all fields completed correctly","OK"))))</f>
        <v/>
      </c>
      <c r="W45" s="495" t="str">
        <f>IF(I45="","",IF(VLOOKUP(I45,'Eligible Technologies'!$D$7:$G$69,4,FALSE)&lt;$F$9,VLOOKUP(I45,'Eligible Technologies'!$D$7:$G$69,4,FALSE),$F$9))</f>
        <v/>
      </c>
      <c r="X45" s="496" t="str">
        <f t="shared" si="14"/>
        <v/>
      </c>
      <c r="Y45" s="496">
        <f t="shared" ca="1" si="10"/>
        <v>0</v>
      </c>
      <c r="Z45" s="496" t="str">
        <f>'Extra look-up'!F39</f>
        <v/>
      </c>
      <c r="AA45" s="496" t="str">
        <f ca="1">'Extra look-up'!H39</f>
        <v>OK</v>
      </c>
      <c r="AB45" s="496">
        <f t="shared" ca="1" si="12"/>
        <v>1</v>
      </c>
      <c r="AC45" s="510" t="e">
        <f t="shared" si="13"/>
        <v>#VALUE!</v>
      </c>
      <c r="AD45" s="513">
        <f t="shared" si="11"/>
        <v>0.1953</v>
      </c>
      <c r="AE45" s="507"/>
      <c r="AF45" s="507"/>
      <c r="AG45" s="23"/>
      <c r="AH45" s="23"/>
      <c r="AI45" s="23"/>
      <c r="AJ45" s="23"/>
      <c r="AK45" s="23"/>
      <c r="AL45" s="23"/>
      <c r="AM45" s="23"/>
      <c r="AN45" s="23"/>
      <c r="AO45" s="23"/>
      <c r="AP45" s="23"/>
      <c r="AQ45" s="23"/>
      <c r="AR45" s="672"/>
      <c r="AS45" s="672"/>
      <c r="AT45" s="672"/>
      <c r="AU45" s="672"/>
      <c r="AV45" s="672"/>
      <c r="AW45" s="672"/>
      <c r="AX45" s="672"/>
      <c r="AY45" s="672"/>
      <c r="AZ45" s="672"/>
      <c r="BA45" s="672"/>
      <c r="BB45" s="672"/>
      <c r="BC45" s="672"/>
      <c r="BD45" s="672"/>
      <c r="BE45" s="672"/>
      <c r="BF45" s="672"/>
      <c r="BG45" s="672"/>
      <c r="BH45" s="672"/>
      <c r="BI45" s="672"/>
      <c r="BJ45" s="672"/>
      <c r="BK45" s="672"/>
      <c r="BL45" s="672"/>
      <c r="BM45" s="672"/>
      <c r="BN45" s="672"/>
      <c r="BO45" s="672"/>
      <c r="BP45" s="672"/>
      <c r="BQ45" s="672"/>
      <c r="BR45" s="672"/>
    </row>
    <row r="46" spans="1:70" s="682" customFormat="1" ht="34.15" hidden="1" customHeight="1" outlineLevel="1" x14ac:dyDescent="0.2">
      <c r="A46" s="151">
        <v>35</v>
      </c>
      <c r="B46" s="98"/>
      <c r="C46" s="107"/>
      <c r="D46" s="99"/>
      <c r="E46" s="100"/>
      <c r="F46" s="101"/>
      <c r="G46" s="126" t="str">
        <f t="shared" si="15"/>
        <v/>
      </c>
      <c r="H46" s="307"/>
      <c r="I46" s="940"/>
      <c r="J46" s="941"/>
      <c r="K46" s="102"/>
      <c r="L46" s="103"/>
      <c r="M46" s="129" t="str">
        <f t="shared" si="3"/>
        <v/>
      </c>
      <c r="N46" s="130">
        <f t="shared" si="4"/>
        <v>0</v>
      </c>
      <c r="O46" s="104"/>
      <c r="P46" s="138" t="str">
        <f t="shared" si="16"/>
        <v/>
      </c>
      <c r="Q46" s="139" t="str">
        <f t="shared" si="5"/>
        <v/>
      </c>
      <c r="R46" s="518" t="str">
        <f t="shared" si="17"/>
        <v/>
      </c>
      <c r="S46" s="140" t="str">
        <f t="shared" si="18"/>
        <v/>
      </c>
      <c r="T46" s="140" t="str">
        <f t="shared" si="7"/>
        <v/>
      </c>
      <c r="U46" s="141" t="str">
        <f t="shared" si="8"/>
        <v/>
      </c>
      <c r="V46" s="524" t="str">
        <f ca="1">IF('Extra look-up'!$H40="Work Type","Check Work Type",IF(AND(D46="",F46="",H46="",I46="",L46="",M46=""),"",IF(OR(D46="",F46="",H46="",I46="",L46="",M46="",$L$9&lt;&gt;"OK"),"Check all fields completed correctly",IF(AND(D46="",OR(F46&lt;&gt;"",H46&lt;&gt;"",I46&lt;&gt;"",L46&lt;&gt;"")),"Check all fields completed correctly","OK"))))</f>
        <v/>
      </c>
      <c r="W46" s="495" t="str">
        <f>IF(I46="","",IF(VLOOKUP(I46,'Eligible Technologies'!$D$7:$G$69,4,FALSE)&lt;$F$9,VLOOKUP(I46,'Eligible Technologies'!$D$7:$G$69,4,FALSE),$F$9))</f>
        <v/>
      </c>
      <c r="X46" s="496" t="str">
        <f t="shared" si="14"/>
        <v/>
      </c>
      <c r="Y46" s="496">
        <f t="shared" ca="1" si="10"/>
        <v>0</v>
      </c>
      <c r="Z46" s="496" t="str">
        <f>'Extra look-up'!F40</f>
        <v/>
      </c>
      <c r="AA46" s="496" t="str">
        <f ca="1">'Extra look-up'!H40</f>
        <v>OK</v>
      </c>
      <c r="AB46" s="496">
        <f t="shared" ca="1" si="12"/>
        <v>1</v>
      </c>
      <c r="AC46" s="510" t="e">
        <f t="shared" si="13"/>
        <v>#VALUE!</v>
      </c>
      <c r="AD46" s="513">
        <f t="shared" si="11"/>
        <v>0.1953</v>
      </c>
      <c r="AE46" s="507"/>
      <c r="AF46" s="507"/>
      <c r="AG46" s="23"/>
      <c r="AH46" s="23"/>
      <c r="AI46" s="23"/>
      <c r="AJ46" s="23"/>
      <c r="AK46" s="23"/>
      <c r="AL46" s="23"/>
      <c r="AM46" s="23"/>
      <c r="AN46" s="23"/>
      <c r="AO46" s="23"/>
      <c r="AP46" s="23"/>
      <c r="AQ46" s="23"/>
      <c r="AR46" s="672"/>
      <c r="AS46" s="672"/>
      <c r="AT46" s="672"/>
      <c r="AU46" s="672"/>
      <c r="AV46" s="672"/>
      <c r="AW46" s="672"/>
      <c r="AX46" s="672"/>
      <c r="AY46" s="672"/>
      <c r="AZ46" s="672"/>
      <c r="BA46" s="672"/>
      <c r="BB46" s="672"/>
      <c r="BC46" s="672"/>
      <c r="BD46" s="672"/>
      <c r="BE46" s="672"/>
      <c r="BF46" s="672"/>
      <c r="BG46" s="672"/>
      <c r="BH46" s="672"/>
      <c r="BI46" s="672"/>
      <c r="BJ46" s="672"/>
      <c r="BK46" s="672"/>
      <c r="BL46" s="672"/>
      <c r="BM46" s="672"/>
      <c r="BN46" s="672"/>
      <c r="BO46" s="672"/>
      <c r="BP46" s="672"/>
      <c r="BQ46" s="672"/>
      <c r="BR46" s="672"/>
    </row>
    <row r="47" spans="1:70" s="682" customFormat="1" ht="34.15" hidden="1" customHeight="1" outlineLevel="1" x14ac:dyDescent="0.2">
      <c r="A47" s="151">
        <v>36</v>
      </c>
      <c r="B47" s="98"/>
      <c r="C47" s="107"/>
      <c r="D47" s="99"/>
      <c r="E47" s="100"/>
      <c r="F47" s="101"/>
      <c r="G47" s="126" t="str">
        <f t="shared" si="15"/>
        <v/>
      </c>
      <c r="H47" s="307"/>
      <c r="I47" s="940"/>
      <c r="J47" s="941"/>
      <c r="K47" s="102"/>
      <c r="L47" s="103"/>
      <c r="M47" s="129" t="str">
        <f t="shared" si="3"/>
        <v/>
      </c>
      <c r="N47" s="130">
        <f t="shared" si="4"/>
        <v>0</v>
      </c>
      <c r="O47" s="104"/>
      <c r="P47" s="138" t="str">
        <f t="shared" si="16"/>
        <v/>
      </c>
      <c r="Q47" s="139" t="str">
        <f t="shared" si="5"/>
        <v/>
      </c>
      <c r="R47" s="518" t="str">
        <f t="shared" si="17"/>
        <v/>
      </c>
      <c r="S47" s="140" t="str">
        <f t="shared" si="18"/>
        <v/>
      </c>
      <c r="T47" s="140" t="str">
        <f t="shared" si="7"/>
        <v/>
      </c>
      <c r="U47" s="141" t="str">
        <f t="shared" si="8"/>
        <v/>
      </c>
      <c r="V47" s="524" t="str">
        <f ca="1">IF('Extra look-up'!$H41="Work Type","Check Work Type",IF(AND(D47="",F47="",H47="",I47="",L47="",M47=""),"",IF(OR(D47="",F47="",H47="",I47="",L47="",M47="",$L$9&lt;&gt;"OK"),"Check all fields completed correctly",IF(AND(D47="",OR(F47&lt;&gt;"",H47&lt;&gt;"",I47&lt;&gt;"",L47&lt;&gt;"")),"Check all fields completed correctly","OK"))))</f>
        <v/>
      </c>
      <c r="W47" s="495" t="str">
        <f>IF(I47="","",IF(VLOOKUP(I47,'Eligible Technologies'!$D$7:$G$69,4,FALSE)&lt;$F$9,VLOOKUP(I47,'Eligible Technologies'!$D$7:$G$69,4,FALSE),$F$9))</f>
        <v/>
      </c>
      <c r="X47" s="496" t="str">
        <f t="shared" si="14"/>
        <v/>
      </c>
      <c r="Y47" s="496">
        <f t="shared" ca="1" si="10"/>
        <v>0</v>
      </c>
      <c r="Z47" s="496" t="str">
        <f>'Extra look-up'!F41</f>
        <v/>
      </c>
      <c r="AA47" s="496" t="str">
        <f ca="1">'Extra look-up'!H41</f>
        <v>OK</v>
      </c>
      <c r="AB47" s="496">
        <f t="shared" ca="1" si="12"/>
        <v>1</v>
      </c>
      <c r="AC47" s="510" t="e">
        <f t="shared" si="13"/>
        <v>#VALUE!</v>
      </c>
      <c r="AD47" s="513">
        <f t="shared" si="11"/>
        <v>0.1953</v>
      </c>
      <c r="AE47" s="507"/>
      <c r="AF47" s="507"/>
      <c r="AG47" s="24"/>
      <c r="AH47" s="24"/>
      <c r="AI47" s="24"/>
      <c r="AJ47" s="24"/>
      <c r="AK47" s="24"/>
      <c r="AL47" s="24"/>
      <c r="AM47" s="24"/>
      <c r="AN47" s="24"/>
      <c r="AO47" s="24"/>
      <c r="AP47" s="24"/>
      <c r="AQ47" s="24"/>
      <c r="AR47" s="672"/>
      <c r="AS47" s="672"/>
      <c r="AT47" s="672"/>
      <c r="AU47" s="672"/>
      <c r="AV47" s="672"/>
      <c r="AW47" s="672"/>
      <c r="AX47" s="672"/>
      <c r="AY47" s="672"/>
      <c r="AZ47" s="672"/>
      <c r="BA47" s="672"/>
      <c r="BB47" s="672"/>
      <c r="BC47" s="672"/>
      <c r="BD47" s="672"/>
      <c r="BE47" s="672"/>
      <c r="BF47" s="672"/>
      <c r="BG47" s="672"/>
      <c r="BH47" s="672"/>
      <c r="BI47" s="672"/>
      <c r="BJ47" s="672"/>
      <c r="BK47" s="672"/>
      <c r="BL47" s="672"/>
      <c r="BM47" s="672"/>
      <c r="BN47" s="672"/>
      <c r="BO47" s="672"/>
      <c r="BP47" s="672"/>
      <c r="BQ47" s="672"/>
      <c r="BR47" s="672"/>
    </row>
    <row r="48" spans="1:70" s="682" customFormat="1" ht="34.15" hidden="1" customHeight="1" outlineLevel="1" x14ac:dyDescent="0.2">
      <c r="A48" s="151">
        <v>37</v>
      </c>
      <c r="B48" s="98"/>
      <c r="C48" s="107"/>
      <c r="D48" s="99"/>
      <c r="E48" s="100"/>
      <c r="F48" s="101"/>
      <c r="G48" s="126" t="str">
        <f t="shared" si="15"/>
        <v/>
      </c>
      <c r="H48" s="307"/>
      <c r="I48" s="940"/>
      <c r="J48" s="941"/>
      <c r="K48" s="102"/>
      <c r="L48" s="103"/>
      <c r="M48" s="129" t="str">
        <f t="shared" si="3"/>
        <v/>
      </c>
      <c r="N48" s="130">
        <f t="shared" si="4"/>
        <v>0</v>
      </c>
      <c r="O48" s="104"/>
      <c r="P48" s="138" t="str">
        <f t="shared" si="16"/>
        <v/>
      </c>
      <c r="Q48" s="139" t="str">
        <f t="shared" si="5"/>
        <v/>
      </c>
      <c r="R48" s="518" t="str">
        <f t="shared" si="17"/>
        <v/>
      </c>
      <c r="S48" s="140" t="str">
        <f t="shared" si="18"/>
        <v/>
      </c>
      <c r="T48" s="140" t="str">
        <f t="shared" si="7"/>
        <v/>
      </c>
      <c r="U48" s="141" t="str">
        <f t="shared" si="8"/>
        <v/>
      </c>
      <c r="V48" s="524" t="str">
        <f ca="1">IF('Extra look-up'!$H42="Work Type","Check Work Type",IF(AND(D48="",F48="",H48="",I48="",L48="",M48=""),"",IF(OR(D48="",F48="",H48="",I48="",L48="",M48="",$L$9&lt;&gt;"OK"),"Check all fields completed correctly",IF(AND(D48="",OR(F48&lt;&gt;"",H48&lt;&gt;"",I48&lt;&gt;"",L48&lt;&gt;"")),"Check all fields completed correctly","OK"))))</f>
        <v/>
      </c>
      <c r="W48" s="495" t="str">
        <f>IF(I48="","",IF(VLOOKUP(I48,'Eligible Technologies'!$D$7:$G$69,4,FALSE)&lt;$F$9,VLOOKUP(I48,'Eligible Technologies'!$D$7:$G$69,4,FALSE),$F$9))</f>
        <v/>
      </c>
      <c r="X48" s="496" t="str">
        <f t="shared" si="14"/>
        <v/>
      </c>
      <c r="Y48" s="496">
        <f t="shared" ca="1" si="10"/>
        <v>0</v>
      </c>
      <c r="Z48" s="496" t="str">
        <f>'Extra look-up'!F42</f>
        <v/>
      </c>
      <c r="AA48" s="496" t="str">
        <f ca="1">'Extra look-up'!H42</f>
        <v>OK</v>
      </c>
      <c r="AB48" s="496">
        <f t="shared" ca="1" si="12"/>
        <v>1</v>
      </c>
      <c r="AC48" s="510" t="e">
        <f t="shared" si="13"/>
        <v>#VALUE!</v>
      </c>
      <c r="AD48" s="513">
        <f t="shared" si="11"/>
        <v>0.1953</v>
      </c>
      <c r="AE48" s="507"/>
      <c r="AF48" s="507"/>
      <c r="AG48" s="24"/>
      <c r="AH48" s="24"/>
      <c r="AI48" s="24"/>
      <c r="AJ48" s="24"/>
      <c r="AK48" s="24"/>
      <c r="AL48" s="24"/>
      <c r="AM48" s="24"/>
      <c r="AN48" s="24"/>
      <c r="AO48" s="24"/>
      <c r="AP48" s="24"/>
      <c r="AQ48" s="24"/>
      <c r="AR48" s="672"/>
      <c r="AS48" s="672"/>
      <c r="AT48" s="672"/>
      <c r="AU48" s="672"/>
      <c r="AV48" s="672"/>
      <c r="AW48" s="672"/>
      <c r="AX48" s="672"/>
      <c r="AY48" s="672"/>
      <c r="AZ48" s="672"/>
      <c r="BA48" s="672"/>
      <c r="BB48" s="672"/>
      <c r="BC48" s="672"/>
      <c r="BD48" s="672"/>
      <c r="BE48" s="672"/>
      <c r="BF48" s="672"/>
      <c r="BG48" s="672"/>
      <c r="BH48" s="672"/>
      <c r="BI48" s="672"/>
      <c r="BJ48" s="672"/>
      <c r="BK48" s="672"/>
      <c r="BL48" s="672"/>
      <c r="BM48" s="672"/>
      <c r="BN48" s="672"/>
      <c r="BO48" s="672"/>
      <c r="BP48" s="672"/>
      <c r="BQ48" s="672"/>
      <c r="BR48" s="672"/>
    </row>
    <row r="49" spans="1:70" s="682" customFormat="1" ht="34.15" hidden="1" customHeight="1" outlineLevel="1" x14ac:dyDescent="0.2">
      <c r="A49" s="151">
        <v>38</v>
      </c>
      <c r="B49" s="98"/>
      <c r="C49" s="107"/>
      <c r="D49" s="99"/>
      <c r="E49" s="100"/>
      <c r="F49" s="101"/>
      <c r="G49" s="126" t="str">
        <f t="shared" si="15"/>
        <v/>
      </c>
      <c r="H49" s="307"/>
      <c r="I49" s="940"/>
      <c r="J49" s="941"/>
      <c r="K49" s="102"/>
      <c r="L49" s="103"/>
      <c r="M49" s="129" t="str">
        <f t="shared" si="3"/>
        <v/>
      </c>
      <c r="N49" s="130">
        <f t="shared" si="4"/>
        <v>0</v>
      </c>
      <c r="O49" s="104"/>
      <c r="P49" s="138" t="str">
        <f t="shared" si="16"/>
        <v/>
      </c>
      <c r="Q49" s="139" t="str">
        <f t="shared" si="5"/>
        <v/>
      </c>
      <c r="R49" s="518" t="str">
        <f t="shared" si="17"/>
        <v/>
      </c>
      <c r="S49" s="140" t="str">
        <f t="shared" si="18"/>
        <v/>
      </c>
      <c r="T49" s="140" t="str">
        <f t="shared" si="7"/>
        <v/>
      </c>
      <c r="U49" s="141" t="str">
        <f t="shared" si="8"/>
        <v/>
      </c>
      <c r="V49" s="524" t="str">
        <f ca="1">IF('Extra look-up'!$H43="Work Type","Check Work Type",IF(AND(D49="",F49="",H49="",I49="",L49="",M49=""),"",IF(OR(D49="",F49="",H49="",I49="",L49="",M49="",$L$9&lt;&gt;"OK"),"Check all fields completed correctly",IF(AND(D49="",OR(F49&lt;&gt;"",H49&lt;&gt;"",I49&lt;&gt;"",L49&lt;&gt;"")),"Check all fields completed correctly","OK"))))</f>
        <v/>
      </c>
      <c r="W49" s="495" t="str">
        <f>IF(I49="","",IF(VLOOKUP(I49,'Eligible Technologies'!$D$7:$G$69,4,FALSE)&lt;$F$9,VLOOKUP(I49,'Eligible Technologies'!$D$7:$G$69,4,FALSE),$F$9))</f>
        <v/>
      </c>
      <c r="X49" s="496" t="str">
        <f t="shared" si="14"/>
        <v/>
      </c>
      <c r="Y49" s="496">
        <f t="shared" ca="1" si="10"/>
        <v>0</v>
      </c>
      <c r="Z49" s="496" t="str">
        <f>'Extra look-up'!F43</f>
        <v/>
      </c>
      <c r="AA49" s="496" t="str">
        <f ca="1">'Extra look-up'!H43</f>
        <v>OK</v>
      </c>
      <c r="AB49" s="496">
        <f t="shared" ca="1" si="12"/>
        <v>1</v>
      </c>
      <c r="AC49" s="510" t="e">
        <f t="shared" si="13"/>
        <v>#VALUE!</v>
      </c>
      <c r="AD49" s="513">
        <f t="shared" si="11"/>
        <v>0.1953</v>
      </c>
      <c r="AE49" s="507"/>
      <c r="AF49" s="507"/>
      <c r="AG49" s="24"/>
      <c r="AH49" s="24"/>
      <c r="AI49" s="24"/>
      <c r="AJ49" s="24"/>
      <c r="AK49" s="24"/>
      <c r="AL49" s="24"/>
      <c r="AM49" s="24"/>
      <c r="AN49" s="24"/>
      <c r="AO49" s="24"/>
      <c r="AP49" s="24"/>
      <c r="AQ49" s="24"/>
      <c r="AR49" s="672"/>
      <c r="AS49" s="672"/>
      <c r="AT49" s="672"/>
      <c r="AU49" s="672"/>
      <c r="AV49" s="672"/>
      <c r="AW49" s="672"/>
      <c r="AX49" s="672"/>
      <c r="AY49" s="672"/>
      <c r="AZ49" s="672"/>
      <c r="BA49" s="672"/>
      <c r="BB49" s="672"/>
      <c r="BC49" s="672"/>
      <c r="BD49" s="672"/>
      <c r="BE49" s="672"/>
      <c r="BF49" s="672"/>
      <c r="BG49" s="672"/>
      <c r="BH49" s="672"/>
      <c r="BI49" s="672"/>
      <c r="BJ49" s="672"/>
      <c r="BK49" s="672"/>
      <c r="BL49" s="672"/>
      <c r="BM49" s="672"/>
      <c r="BN49" s="672"/>
      <c r="BO49" s="672"/>
      <c r="BP49" s="672"/>
      <c r="BQ49" s="672"/>
      <c r="BR49" s="672"/>
    </row>
    <row r="50" spans="1:70" s="682" customFormat="1" ht="34.15" hidden="1" customHeight="1" outlineLevel="1" x14ac:dyDescent="0.2">
      <c r="A50" s="151">
        <v>39</v>
      </c>
      <c r="B50" s="98"/>
      <c r="C50" s="107"/>
      <c r="D50" s="99"/>
      <c r="E50" s="100"/>
      <c r="F50" s="101"/>
      <c r="G50" s="126" t="str">
        <f t="shared" si="15"/>
        <v/>
      </c>
      <c r="H50" s="307"/>
      <c r="I50" s="940"/>
      <c r="J50" s="941"/>
      <c r="K50" s="102"/>
      <c r="L50" s="103"/>
      <c r="M50" s="129" t="str">
        <f t="shared" si="3"/>
        <v/>
      </c>
      <c r="N50" s="130">
        <f t="shared" si="4"/>
        <v>0</v>
      </c>
      <c r="O50" s="104"/>
      <c r="P50" s="138" t="str">
        <f t="shared" si="16"/>
        <v/>
      </c>
      <c r="Q50" s="139" t="str">
        <f t="shared" si="5"/>
        <v/>
      </c>
      <c r="R50" s="518" t="str">
        <f t="shared" si="17"/>
        <v/>
      </c>
      <c r="S50" s="140" t="str">
        <f t="shared" si="18"/>
        <v/>
      </c>
      <c r="T50" s="140" t="str">
        <f t="shared" si="7"/>
        <v/>
      </c>
      <c r="U50" s="141" t="str">
        <f t="shared" si="8"/>
        <v/>
      </c>
      <c r="V50" s="524" t="str">
        <f ca="1">IF('Extra look-up'!$H44="Work Type","Check Work Type",IF(AND(D50="",F50="",H50="",I50="",L50="",M50=""),"",IF(OR(D50="",F50="",H50="",I50="",L50="",M50="",$L$9&lt;&gt;"OK"),"Check all fields completed correctly",IF(AND(D50="",OR(F50&lt;&gt;"",H50&lt;&gt;"",I50&lt;&gt;"",L50&lt;&gt;"")),"Check all fields completed correctly","OK"))))</f>
        <v/>
      </c>
      <c r="W50" s="495" t="str">
        <f>IF(I50="","",IF(VLOOKUP(I50,'Eligible Technologies'!$D$7:$G$69,4,FALSE)&lt;$F$9,VLOOKUP(I50,'Eligible Technologies'!$D$7:$G$69,4,FALSE),$F$9))</f>
        <v/>
      </c>
      <c r="X50" s="496" t="str">
        <f t="shared" si="14"/>
        <v/>
      </c>
      <c r="Y50" s="496">
        <f t="shared" ca="1" si="10"/>
        <v>0</v>
      </c>
      <c r="Z50" s="496" t="str">
        <f>'Extra look-up'!F44</f>
        <v/>
      </c>
      <c r="AA50" s="496" t="str">
        <f ca="1">'Extra look-up'!H44</f>
        <v>OK</v>
      </c>
      <c r="AB50" s="496">
        <f t="shared" ca="1" si="12"/>
        <v>1</v>
      </c>
      <c r="AC50" s="510" t="e">
        <f t="shared" si="13"/>
        <v>#VALUE!</v>
      </c>
      <c r="AD50" s="513">
        <f t="shared" si="11"/>
        <v>0.1953</v>
      </c>
      <c r="AE50" s="507"/>
      <c r="AF50" s="507"/>
      <c r="AG50" s="24"/>
      <c r="AH50" s="24"/>
      <c r="AI50" s="24"/>
      <c r="AJ50" s="24"/>
      <c r="AK50" s="24"/>
      <c r="AL50" s="24"/>
      <c r="AM50" s="24"/>
      <c r="AN50" s="24"/>
      <c r="AO50" s="24"/>
      <c r="AP50" s="24"/>
      <c r="AQ50" s="24"/>
      <c r="AR50" s="672"/>
      <c r="AS50" s="672"/>
      <c r="AT50" s="672"/>
      <c r="AU50" s="672"/>
      <c r="AV50" s="672"/>
      <c r="AW50" s="672"/>
      <c r="AX50" s="672"/>
      <c r="AY50" s="672"/>
      <c r="AZ50" s="672"/>
      <c r="BA50" s="672"/>
      <c r="BB50" s="672"/>
      <c r="BC50" s="672"/>
      <c r="BD50" s="672"/>
      <c r="BE50" s="672"/>
      <c r="BF50" s="672"/>
      <c r="BG50" s="672"/>
      <c r="BH50" s="672"/>
      <c r="BI50" s="672"/>
      <c r="BJ50" s="672"/>
      <c r="BK50" s="672"/>
      <c r="BL50" s="672"/>
      <c r="BM50" s="672"/>
      <c r="BN50" s="672"/>
      <c r="BO50" s="672"/>
      <c r="BP50" s="672"/>
      <c r="BQ50" s="672"/>
      <c r="BR50" s="672"/>
    </row>
    <row r="51" spans="1:70" s="682" customFormat="1" ht="34.15" hidden="1" customHeight="1" outlineLevel="1" x14ac:dyDescent="0.2">
      <c r="A51" s="151">
        <v>40</v>
      </c>
      <c r="B51" s="98"/>
      <c r="C51" s="107"/>
      <c r="D51" s="99"/>
      <c r="E51" s="100"/>
      <c r="F51" s="101"/>
      <c r="G51" s="126" t="str">
        <f t="shared" si="15"/>
        <v/>
      </c>
      <c r="H51" s="307"/>
      <c r="I51" s="940"/>
      <c r="J51" s="941"/>
      <c r="K51" s="102"/>
      <c r="L51" s="103"/>
      <c r="M51" s="129" t="str">
        <f t="shared" si="3"/>
        <v/>
      </c>
      <c r="N51" s="130">
        <f t="shared" si="4"/>
        <v>0</v>
      </c>
      <c r="O51" s="104"/>
      <c r="P51" s="138" t="str">
        <f t="shared" si="16"/>
        <v/>
      </c>
      <c r="Q51" s="139" t="str">
        <f t="shared" si="5"/>
        <v/>
      </c>
      <c r="R51" s="518" t="str">
        <f t="shared" si="17"/>
        <v/>
      </c>
      <c r="S51" s="140" t="str">
        <f t="shared" si="18"/>
        <v/>
      </c>
      <c r="T51" s="140" t="str">
        <f t="shared" si="7"/>
        <v/>
      </c>
      <c r="U51" s="141" t="str">
        <f t="shared" si="8"/>
        <v/>
      </c>
      <c r="V51" s="524" t="str">
        <f ca="1">IF('Extra look-up'!$H45="Work Type","Check Work Type",IF(AND(D51="",F51="",H51="",I51="",L51="",M51=""),"",IF(OR(D51="",F51="",H51="",I51="",L51="",M51="",$L$9&lt;&gt;"OK"),"Check all fields completed correctly",IF(AND(D51="",OR(F51&lt;&gt;"",H51&lt;&gt;"",I51&lt;&gt;"",L51&lt;&gt;"")),"Check all fields completed correctly","OK"))))</f>
        <v/>
      </c>
      <c r="W51" s="495" t="str">
        <f>IF(I51="","",IF(VLOOKUP(I51,'Eligible Technologies'!$D$7:$G$69,4,FALSE)&lt;$F$9,VLOOKUP(I51,'Eligible Technologies'!$D$7:$G$69,4,FALSE),$F$9))</f>
        <v/>
      </c>
      <c r="X51" s="496" t="str">
        <f t="shared" si="14"/>
        <v/>
      </c>
      <c r="Y51" s="496">
        <f t="shared" ca="1" si="10"/>
        <v>0</v>
      </c>
      <c r="Z51" s="496" t="str">
        <f>'Extra look-up'!F45</f>
        <v/>
      </c>
      <c r="AA51" s="496" t="str">
        <f ca="1">'Extra look-up'!H45</f>
        <v>OK</v>
      </c>
      <c r="AB51" s="496">
        <f t="shared" ca="1" si="12"/>
        <v>1</v>
      </c>
      <c r="AC51" s="510" t="e">
        <f t="shared" si="13"/>
        <v>#VALUE!</v>
      </c>
      <c r="AD51" s="513">
        <f t="shared" si="11"/>
        <v>0.1953</v>
      </c>
      <c r="AE51" s="507"/>
      <c r="AF51" s="507"/>
      <c r="AG51" s="24"/>
      <c r="AH51" s="24"/>
      <c r="AI51" s="24"/>
      <c r="AJ51" s="24"/>
      <c r="AK51" s="24"/>
      <c r="AL51" s="24"/>
      <c r="AM51" s="24"/>
      <c r="AN51" s="24"/>
      <c r="AO51" s="24"/>
      <c r="AP51" s="24"/>
      <c r="AQ51" s="24"/>
      <c r="AR51" s="672"/>
      <c r="AS51" s="672"/>
      <c r="AT51" s="672"/>
      <c r="AU51" s="672"/>
      <c r="AV51" s="672"/>
      <c r="AW51" s="672"/>
      <c r="AX51" s="672"/>
      <c r="AY51" s="672"/>
      <c r="AZ51" s="672"/>
      <c r="BA51" s="672"/>
      <c r="BB51" s="672"/>
      <c r="BC51" s="672"/>
      <c r="BD51" s="672"/>
      <c r="BE51" s="672"/>
      <c r="BF51" s="672"/>
      <c r="BG51" s="672"/>
      <c r="BH51" s="672"/>
      <c r="BI51" s="672"/>
      <c r="BJ51" s="672"/>
      <c r="BK51" s="672"/>
      <c r="BL51" s="672"/>
      <c r="BM51" s="672"/>
      <c r="BN51" s="672"/>
      <c r="BO51" s="672"/>
      <c r="BP51" s="672"/>
      <c r="BQ51" s="672"/>
      <c r="BR51" s="672"/>
    </row>
    <row r="52" spans="1:70" s="682" customFormat="1" ht="34.15" hidden="1" customHeight="1" outlineLevel="1" x14ac:dyDescent="0.2">
      <c r="A52" s="151">
        <v>41</v>
      </c>
      <c r="B52" s="98"/>
      <c r="C52" s="107"/>
      <c r="D52" s="99"/>
      <c r="E52" s="100"/>
      <c r="F52" s="101"/>
      <c r="G52" s="126" t="str">
        <f t="shared" si="15"/>
        <v/>
      </c>
      <c r="H52" s="307"/>
      <c r="I52" s="940"/>
      <c r="J52" s="941"/>
      <c r="K52" s="102"/>
      <c r="L52" s="103"/>
      <c r="M52" s="129" t="str">
        <f t="shared" si="3"/>
        <v/>
      </c>
      <c r="N52" s="130">
        <f t="shared" si="4"/>
        <v>0</v>
      </c>
      <c r="O52" s="104"/>
      <c r="P52" s="138" t="str">
        <f t="shared" si="16"/>
        <v/>
      </c>
      <c r="Q52" s="139" t="str">
        <f t="shared" si="5"/>
        <v/>
      </c>
      <c r="R52" s="518" t="str">
        <f t="shared" si="17"/>
        <v/>
      </c>
      <c r="S52" s="140" t="str">
        <f t="shared" si="18"/>
        <v/>
      </c>
      <c r="T52" s="140" t="str">
        <f t="shared" si="7"/>
        <v/>
      </c>
      <c r="U52" s="141" t="str">
        <f t="shared" si="8"/>
        <v/>
      </c>
      <c r="V52" s="524" t="str">
        <f ca="1">IF('Extra look-up'!$H46="Work Type","Check Work Type",IF(AND(D52="",F52="",H52="",I52="",L52="",M52=""),"",IF(OR(D52="",F52="",H52="",I52="",L52="",M52="",$L$9&lt;&gt;"OK"),"Check all fields completed correctly",IF(AND(D52="",OR(F52&lt;&gt;"",H52&lt;&gt;"",I52&lt;&gt;"",L52&lt;&gt;"")),"Check all fields completed correctly","OK"))))</f>
        <v/>
      </c>
      <c r="W52" s="495" t="str">
        <f>IF(I52="","",IF(VLOOKUP(I52,'Eligible Technologies'!$D$7:$G$69,4,FALSE)&lt;$F$9,VLOOKUP(I52,'Eligible Technologies'!$D$7:$G$69,4,FALSE),$F$9))</f>
        <v/>
      </c>
      <c r="X52" s="496" t="str">
        <f t="shared" si="14"/>
        <v/>
      </c>
      <c r="Y52" s="496">
        <f t="shared" ca="1" si="10"/>
        <v>0</v>
      </c>
      <c r="Z52" s="496" t="str">
        <f>'Extra look-up'!F46</f>
        <v/>
      </c>
      <c r="AA52" s="496" t="str">
        <f ca="1">'Extra look-up'!H46</f>
        <v>OK</v>
      </c>
      <c r="AB52" s="496">
        <f t="shared" ca="1" si="12"/>
        <v>1</v>
      </c>
      <c r="AC52" s="510" t="e">
        <f t="shared" si="13"/>
        <v>#VALUE!</v>
      </c>
      <c r="AD52" s="513">
        <f t="shared" si="11"/>
        <v>0.1953</v>
      </c>
      <c r="AE52" s="507"/>
      <c r="AF52" s="507"/>
      <c r="AG52" s="24"/>
      <c r="AH52" s="24"/>
      <c r="AI52" s="24"/>
      <c r="AJ52" s="24"/>
      <c r="AK52" s="24"/>
      <c r="AL52" s="24"/>
      <c r="AM52" s="24"/>
      <c r="AN52" s="24"/>
      <c r="AO52" s="24"/>
      <c r="AP52" s="24"/>
      <c r="AQ52" s="24"/>
      <c r="AR52" s="672"/>
      <c r="AS52" s="672"/>
      <c r="AT52" s="672"/>
      <c r="AU52" s="672"/>
      <c r="AV52" s="672"/>
      <c r="AW52" s="672"/>
      <c r="AX52" s="672"/>
      <c r="AY52" s="672"/>
      <c r="AZ52" s="672"/>
      <c r="BA52" s="672"/>
      <c r="BB52" s="672"/>
      <c r="BC52" s="672"/>
      <c r="BD52" s="672"/>
      <c r="BE52" s="672"/>
      <c r="BF52" s="672"/>
      <c r="BG52" s="672"/>
      <c r="BH52" s="672"/>
      <c r="BI52" s="672"/>
      <c r="BJ52" s="672"/>
      <c r="BK52" s="672"/>
      <c r="BL52" s="672"/>
      <c r="BM52" s="672"/>
      <c r="BN52" s="672"/>
      <c r="BO52" s="672"/>
      <c r="BP52" s="672"/>
      <c r="BQ52" s="672"/>
      <c r="BR52" s="672"/>
    </row>
    <row r="53" spans="1:70" s="682" customFormat="1" ht="34.15" hidden="1" customHeight="1" outlineLevel="1" x14ac:dyDescent="0.2">
      <c r="A53" s="151">
        <v>42</v>
      </c>
      <c r="B53" s="98"/>
      <c r="C53" s="107"/>
      <c r="D53" s="99"/>
      <c r="E53" s="100"/>
      <c r="F53" s="101"/>
      <c r="G53" s="126" t="str">
        <f t="shared" si="15"/>
        <v/>
      </c>
      <c r="H53" s="307"/>
      <c r="I53" s="940"/>
      <c r="J53" s="941"/>
      <c r="K53" s="102"/>
      <c r="L53" s="103"/>
      <c r="M53" s="129" t="str">
        <f t="shared" si="3"/>
        <v/>
      </c>
      <c r="N53" s="130">
        <f t="shared" si="4"/>
        <v>0</v>
      </c>
      <c r="O53" s="104"/>
      <c r="P53" s="138" t="str">
        <f t="shared" si="16"/>
        <v/>
      </c>
      <c r="Q53" s="139" t="str">
        <f t="shared" si="5"/>
        <v/>
      </c>
      <c r="R53" s="518" t="str">
        <f t="shared" si="17"/>
        <v/>
      </c>
      <c r="S53" s="140" t="str">
        <f t="shared" si="18"/>
        <v/>
      </c>
      <c r="T53" s="140" t="str">
        <f t="shared" si="7"/>
        <v/>
      </c>
      <c r="U53" s="141" t="str">
        <f t="shared" si="8"/>
        <v/>
      </c>
      <c r="V53" s="524" t="str">
        <f ca="1">IF('Extra look-up'!$H47="Work Type","Check Work Type",IF(AND(D53="",F53="",H53="",I53="",L53="",M53=""),"",IF(OR(D53="",F53="",H53="",I53="",L53="",M53="",$L$9&lt;&gt;"OK"),"Check all fields completed correctly",IF(AND(D53="",OR(F53&lt;&gt;"",H53&lt;&gt;"",I53&lt;&gt;"",L53&lt;&gt;"")),"Check all fields completed correctly","OK"))))</f>
        <v/>
      </c>
      <c r="W53" s="495" t="str">
        <f>IF(I53="","",IF(VLOOKUP(I53,'Eligible Technologies'!$D$7:$G$69,4,FALSE)&lt;$F$9,VLOOKUP(I53,'Eligible Technologies'!$D$7:$G$69,4,FALSE),$F$9))</f>
        <v/>
      </c>
      <c r="X53" s="496" t="str">
        <f t="shared" si="14"/>
        <v/>
      </c>
      <c r="Y53" s="496">
        <f t="shared" ca="1" si="10"/>
        <v>0</v>
      </c>
      <c r="Z53" s="496" t="str">
        <f>'Extra look-up'!F47</f>
        <v/>
      </c>
      <c r="AA53" s="496" t="str">
        <f ca="1">'Extra look-up'!H47</f>
        <v>OK</v>
      </c>
      <c r="AB53" s="496">
        <f t="shared" ca="1" si="12"/>
        <v>1</v>
      </c>
      <c r="AC53" s="510" t="e">
        <f t="shared" si="13"/>
        <v>#VALUE!</v>
      </c>
      <c r="AD53" s="513">
        <f t="shared" si="11"/>
        <v>0.1953</v>
      </c>
      <c r="AE53" s="507"/>
      <c r="AF53" s="507"/>
      <c r="AG53" s="24"/>
      <c r="AH53" s="24"/>
      <c r="AI53" s="24"/>
      <c r="AJ53" s="24"/>
      <c r="AK53" s="24"/>
      <c r="AL53" s="24"/>
      <c r="AM53" s="24"/>
      <c r="AN53" s="24"/>
      <c r="AO53" s="24"/>
      <c r="AP53" s="24"/>
      <c r="AQ53" s="24"/>
      <c r="AR53" s="672"/>
      <c r="AS53" s="672"/>
      <c r="AT53" s="672"/>
      <c r="AU53" s="672"/>
      <c r="AV53" s="672"/>
      <c r="AW53" s="672"/>
      <c r="AX53" s="672"/>
      <c r="AY53" s="672"/>
      <c r="AZ53" s="672"/>
      <c r="BA53" s="672"/>
      <c r="BB53" s="672"/>
      <c r="BC53" s="672"/>
      <c r="BD53" s="672"/>
      <c r="BE53" s="672"/>
      <c r="BF53" s="672"/>
      <c r="BG53" s="672"/>
      <c r="BH53" s="672"/>
      <c r="BI53" s="672"/>
      <c r="BJ53" s="672"/>
      <c r="BK53" s="672"/>
      <c r="BL53" s="672"/>
      <c r="BM53" s="672"/>
      <c r="BN53" s="672"/>
      <c r="BO53" s="672"/>
      <c r="BP53" s="672"/>
      <c r="BQ53" s="672"/>
      <c r="BR53" s="672"/>
    </row>
    <row r="54" spans="1:70" s="682" customFormat="1" ht="34.15" hidden="1" customHeight="1" outlineLevel="1" x14ac:dyDescent="0.2">
      <c r="A54" s="151">
        <v>43</v>
      </c>
      <c r="B54" s="98"/>
      <c r="C54" s="107"/>
      <c r="D54" s="99"/>
      <c r="E54" s="100"/>
      <c r="F54" s="101"/>
      <c r="G54" s="126" t="str">
        <f t="shared" si="15"/>
        <v/>
      </c>
      <c r="H54" s="307"/>
      <c r="I54" s="940"/>
      <c r="J54" s="941"/>
      <c r="K54" s="102"/>
      <c r="L54" s="103"/>
      <c r="M54" s="129" t="str">
        <f t="shared" si="3"/>
        <v/>
      </c>
      <c r="N54" s="130">
        <f t="shared" si="4"/>
        <v>0</v>
      </c>
      <c r="O54" s="104"/>
      <c r="P54" s="138" t="str">
        <f t="shared" si="16"/>
        <v/>
      </c>
      <c r="Q54" s="139" t="str">
        <f t="shared" si="5"/>
        <v/>
      </c>
      <c r="R54" s="518" t="str">
        <f t="shared" si="17"/>
        <v/>
      </c>
      <c r="S54" s="140" t="str">
        <f t="shared" si="18"/>
        <v/>
      </c>
      <c r="T54" s="140" t="str">
        <f t="shared" si="7"/>
        <v/>
      </c>
      <c r="U54" s="141" t="str">
        <f t="shared" si="8"/>
        <v/>
      </c>
      <c r="V54" s="524" t="str">
        <f ca="1">IF('Extra look-up'!$H48="Work Type","Check Work Type",IF(AND(D54="",F54="",H54="",I54="",L54="",M54=""),"",IF(OR(D54="",F54="",H54="",I54="",L54="",M54="",$L$9&lt;&gt;"OK"),"Check all fields completed correctly",IF(AND(D54="",OR(F54&lt;&gt;"",H54&lt;&gt;"",I54&lt;&gt;"",L54&lt;&gt;"")),"Check all fields completed correctly","OK"))))</f>
        <v/>
      </c>
      <c r="W54" s="495" t="str">
        <f>IF(I54="","",IF(VLOOKUP(I54,'Eligible Technologies'!$D$7:$G$69,4,FALSE)&lt;$F$9,VLOOKUP(I54,'Eligible Technologies'!$D$7:$G$69,4,FALSE),$F$9))</f>
        <v/>
      </c>
      <c r="X54" s="496" t="str">
        <f t="shared" si="14"/>
        <v/>
      </c>
      <c r="Y54" s="496">
        <f t="shared" ca="1" si="10"/>
        <v>0</v>
      </c>
      <c r="Z54" s="496" t="str">
        <f>'Extra look-up'!F48</f>
        <v/>
      </c>
      <c r="AA54" s="496" t="str">
        <f ca="1">'Extra look-up'!H48</f>
        <v>OK</v>
      </c>
      <c r="AB54" s="496">
        <f t="shared" ca="1" si="12"/>
        <v>1</v>
      </c>
      <c r="AC54" s="510" t="e">
        <f t="shared" si="13"/>
        <v>#VALUE!</v>
      </c>
      <c r="AD54" s="513">
        <f t="shared" si="11"/>
        <v>0.1953</v>
      </c>
      <c r="AE54" s="507"/>
      <c r="AF54" s="507"/>
      <c r="AG54" s="24"/>
      <c r="AH54" s="24"/>
      <c r="AI54" s="24"/>
      <c r="AJ54" s="24"/>
      <c r="AK54" s="24"/>
      <c r="AL54" s="24"/>
      <c r="AM54" s="24"/>
      <c r="AN54" s="24"/>
      <c r="AO54" s="24"/>
      <c r="AP54" s="24"/>
      <c r="AQ54" s="24"/>
      <c r="AR54" s="672"/>
      <c r="AS54" s="672"/>
      <c r="AT54" s="672"/>
      <c r="AU54" s="672"/>
      <c r="AV54" s="672"/>
      <c r="AW54" s="672"/>
      <c r="AX54" s="672"/>
      <c r="AY54" s="672"/>
      <c r="AZ54" s="672"/>
      <c r="BA54" s="672"/>
      <c r="BB54" s="672"/>
      <c r="BC54" s="672"/>
      <c r="BD54" s="672"/>
      <c r="BE54" s="672"/>
      <c r="BF54" s="672"/>
      <c r="BG54" s="672"/>
      <c r="BH54" s="672"/>
      <c r="BI54" s="672"/>
      <c r="BJ54" s="672"/>
      <c r="BK54" s="672"/>
      <c r="BL54" s="672"/>
      <c r="BM54" s="672"/>
      <c r="BN54" s="672"/>
      <c r="BO54" s="672"/>
      <c r="BP54" s="672"/>
      <c r="BQ54" s="672"/>
      <c r="BR54" s="672"/>
    </row>
    <row r="55" spans="1:70" s="682" customFormat="1" ht="34.15" hidden="1" customHeight="1" outlineLevel="1" x14ac:dyDescent="0.2">
      <c r="A55" s="151">
        <v>44</v>
      </c>
      <c r="B55" s="98"/>
      <c r="C55" s="107"/>
      <c r="D55" s="99"/>
      <c r="E55" s="100"/>
      <c r="F55" s="101"/>
      <c r="G55" s="126" t="str">
        <f t="shared" si="15"/>
        <v/>
      </c>
      <c r="H55" s="307"/>
      <c r="I55" s="940"/>
      <c r="J55" s="941"/>
      <c r="K55" s="102"/>
      <c r="L55" s="103"/>
      <c r="M55" s="129" t="str">
        <f t="shared" si="3"/>
        <v/>
      </c>
      <c r="N55" s="130">
        <f t="shared" si="4"/>
        <v>0</v>
      </c>
      <c r="O55" s="104"/>
      <c r="P55" s="138" t="str">
        <f t="shared" si="16"/>
        <v/>
      </c>
      <c r="Q55" s="139" t="str">
        <f t="shared" si="5"/>
        <v/>
      </c>
      <c r="R55" s="518" t="str">
        <f t="shared" si="17"/>
        <v/>
      </c>
      <c r="S55" s="140" t="str">
        <f t="shared" si="18"/>
        <v/>
      </c>
      <c r="T55" s="140" t="str">
        <f t="shared" si="7"/>
        <v/>
      </c>
      <c r="U55" s="141" t="str">
        <f t="shared" si="8"/>
        <v/>
      </c>
      <c r="V55" s="524" t="str">
        <f ca="1">IF('Extra look-up'!$H49="Work Type","Check Work Type",IF(AND(D55="",F55="",H55="",I55="",L55="",M55=""),"",IF(OR(D55="",F55="",H55="",I55="",L55="",M55="",$L$9&lt;&gt;"OK"),"Check all fields completed correctly",IF(AND(D55="",OR(F55&lt;&gt;"",H55&lt;&gt;"",I55&lt;&gt;"",L55&lt;&gt;"")),"Check all fields completed correctly","OK"))))</f>
        <v/>
      </c>
      <c r="W55" s="495" t="str">
        <f>IF(I55="","",IF(VLOOKUP(I55,'Eligible Technologies'!$D$7:$G$69,4,FALSE)&lt;$F$9,VLOOKUP(I55,'Eligible Technologies'!$D$7:$G$69,4,FALSE),$F$9))</f>
        <v/>
      </c>
      <c r="X55" s="496" t="str">
        <f t="shared" si="14"/>
        <v/>
      </c>
      <c r="Y55" s="496">
        <f t="shared" ca="1" si="10"/>
        <v>0</v>
      </c>
      <c r="Z55" s="496" t="str">
        <f>'Extra look-up'!F49</f>
        <v/>
      </c>
      <c r="AA55" s="496" t="str">
        <f ca="1">'Extra look-up'!H49</f>
        <v>OK</v>
      </c>
      <c r="AB55" s="496">
        <f t="shared" ca="1" si="12"/>
        <v>1</v>
      </c>
      <c r="AC55" s="510" t="e">
        <f t="shared" si="13"/>
        <v>#VALUE!</v>
      </c>
      <c r="AD55" s="513">
        <f t="shared" si="11"/>
        <v>0.1953</v>
      </c>
      <c r="AE55" s="507"/>
      <c r="AF55" s="507"/>
      <c r="AG55" s="24"/>
      <c r="AH55" s="24"/>
      <c r="AI55" s="24"/>
      <c r="AJ55" s="24"/>
      <c r="AK55" s="24"/>
      <c r="AL55" s="24"/>
      <c r="AM55" s="24"/>
      <c r="AN55" s="24"/>
      <c r="AO55" s="24"/>
      <c r="AP55" s="24"/>
      <c r="AQ55" s="24"/>
      <c r="AR55" s="672"/>
      <c r="AS55" s="672"/>
      <c r="AT55" s="672"/>
      <c r="AU55" s="672"/>
      <c r="AV55" s="672"/>
      <c r="AW55" s="672"/>
      <c r="AX55" s="672"/>
      <c r="AY55" s="672"/>
      <c r="AZ55" s="672"/>
      <c r="BA55" s="672"/>
      <c r="BB55" s="672"/>
      <c r="BC55" s="672"/>
      <c r="BD55" s="672"/>
      <c r="BE55" s="672"/>
      <c r="BF55" s="672"/>
      <c r="BG55" s="672"/>
      <c r="BH55" s="672"/>
      <c r="BI55" s="672"/>
      <c r="BJ55" s="672"/>
      <c r="BK55" s="672"/>
      <c r="BL55" s="672"/>
      <c r="BM55" s="672"/>
      <c r="BN55" s="672"/>
      <c r="BO55" s="672"/>
      <c r="BP55" s="672"/>
      <c r="BQ55" s="672"/>
      <c r="BR55" s="672"/>
    </row>
    <row r="56" spans="1:70" s="682" customFormat="1" ht="34.15" hidden="1" customHeight="1" outlineLevel="1" x14ac:dyDescent="0.2">
      <c r="A56" s="151">
        <v>45</v>
      </c>
      <c r="B56" s="98"/>
      <c r="C56" s="107"/>
      <c r="D56" s="99"/>
      <c r="E56" s="100"/>
      <c r="F56" s="101"/>
      <c r="G56" s="126" t="str">
        <f t="shared" si="15"/>
        <v/>
      </c>
      <c r="H56" s="307"/>
      <c r="I56" s="940"/>
      <c r="J56" s="941"/>
      <c r="K56" s="102"/>
      <c r="L56" s="103"/>
      <c r="M56" s="129" t="str">
        <f t="shared" si="3"/>
        <v/>
      </c>
      <c r="N56" s="130">
        <f t="shared" si="4"/>
        <v>0</v>
      </c>
      <c r="O56" s="104"/>
      <c r="P56" s="138" t="str">
        <f t="shared" si="16"/>
        <v/>
      </c>
      <c r="Q56" s="139" t="str">
        <f t="shared" si="5"/>
        <v/>
      </c>
      <c r="R56" s="518" t="str">
        <f t="shared" si="17"/>
        <v/>
      </c>
      <c r="S56" s="140" t="str">
        <f t="shared" si="18"/>
        <v/>
      </c>
      <c r="T56" s="140" t="str">
        <f t="shared" si="7"/>
        <v/>
      </c>
      <c r="U56" s="141" t="str">
        <f t="shared" si="8"/>
        <v/>
      </c>
      <c r="V56" s="524" t="str">
        <f ca="1">IF('Extra look-up'!$H50="Work Type","Check Work Type",IF(AND(D56="",F56="",H56="",I56="",L56="",M56=""),"",IF(OR(D56="",F56="",H56="",I56="",L56="",M56="",$L$9&lt;&gt;"OK"),"Check all fields completed correctly",IF(AND(D56="",OR(F56&lt;&gt;"",H56&lt;&gt;"",I56&lt;&gt;"",L56&lt;&gt;"")),"Check all fields completed correctly","OK"))))</f>
        <v/>
      </c>
      <c r="W56" s="495" t="str">
        <f>IF(I56="","",IF(VLOOKUP(I56,'Eligible Technologies'!$D$7:$G$69,4,FALSE)&lt;$F$9,VLOOKUP(I56,'Eligible Technologies'!$D$7:$G$69,4,FALSE),$F$9))</f>
        <v/>
      </c>
      <c r="X56" s="496" t="str">
        <f t="shared" si="14"/>
        <v/>
      </c>
      <c r="Y56" s="496">
        <f t="shared" ca="1" si="10"/>
        <v>0</v>
      </c>
      <c r="Z56" s="496" t="str">
        <f>'Extra look-up'!F50</f>
        <v/>
      </c>
      <c r="AA56" s="496" t="str">
        <f ca="1">'Extra look-up'!H50</f>
        <v>OK</v>
      </c>
      <c r="AB56" s="496">
        <f t="shared" ca="1" si="12"/>
        <v>1</v>
      </c>
      <c r="AC56" s="510" t="e">
        <f t="shared" si="13"/>
        <v>#VALUE!</v>
      </c>
      <c r="AD56" s="513">
        <f t="shared" si="11"/>
        <v>0.1953</v>
      </c>
      <c r="AE56" s="507"/>
      <c r="AF56" s="507"/>
      <c r="AG56" s="24"/>
      <c r="AH56" s="24"/>
      <c r="AI56" s="24"/>
      <c r="AJ56" s="24"/>
      <c r="AK56" s="24"/>
      <c r="AL56" s="24"/>
      <c r="AM56" s="24"/>
      <c r="AN56" s="24"/>
      <c r="AO56" s="24"/>
      <c r="AP56" s="24"/>
      <c r="AQ56" s="24"/>
      <c r="AR56" s="672"/>
      <c r="AS56" s="672"/>
      <c r="AT56" s="672"/>
      <c r="AU56" s="672"/>
      <c r="AV56" s="672"/>
      <c r="AW56" s="672"/>
      <c r="AX56" s="672"/>
      <c r="AY56" s="672"/>
      <c r="AZ56" s="672"/>
      <c r="BA56" s="672"/>
      <c r="BB56" s="672"/>
      <c r="BC56" s="672"/>
      <c r="BD56" s="672"/>
      <c r="BE56" s="672"/>
      <c r="BF56" s="672"/>
      <c r="BG56" s="672"/>
      <c r="BH56" s="672"/>
      <c r="BI56" s="672"/>
      <c r="BJ56" s="672"/>
      <c r="BK56" s="672"/>
      <c r="BL56" s="672"/>
      <c r="BM56" s="672"/>
      <c r="BN56" s="672"/>
      <c r="BO56" s="672"/>
      <c r="BP56" s="672"/>
      <c r="BQ56" s="672"/>
      <c r="BR56" s="672"/>
    </row>
    <row r="57" spans="1:70" s="682" customFormat="1" ht="34.15" hidden="1" customHeight="1" outlineLevel="1" x14ac:dyDescent="0.2">
      <c r="A57" s="151">
        <v>46</v>
      </c>
      <c r="B57" s="98"/>
      <c r="C57" s="107"/>
      <c r="D57" s="99"/>
      <c r="E57" s="100"/>
      <c r="F57" s="101"/>
      <c r="G57" s="126" t="str">
        <f t="shared" si="15"/>
        <v/>
      </c>
      <c r="H57" s="307"/>
      <c r="I57" s="940"/>
      <c r="J57" s="941"/>
      <c r="K57" s="102"/>
      <c r="L57" s="103"/>
      <c r="M57" s="129" t="str">
        <f t="shared" si="3"/>
        <v/>
      </c>
      <c r="N57" s="130">
        <f t="shared" si="4"/>
        <v>0</v>
      </c>
      <c r="O57" s="104"/>
      <c r="P57" s="138" t="str">
        <f t="shared" si="16"/>
        <v/>
      </c>
      <c r="Q57" s="139" t="str">
        <f t="shared" si="5"/>
        <v/>
      </c>
      <c r="R57" s="518" t="str">
        <f t="shared" si="17"/>
        <v/>
      </c>
      <c r="S57" s="140" t="str">
        <f t="shared" si="18"/>
        <v/>
      </c>
      <c r="T57" s="140" t="str">
        <f t="shared" si="7"/>
        <v/>
      </c>
      <c r="U57" s="141" t="str">
        <f t="shared" si="8"/>
        <v/>
      </c>
      <c r="V57" s="524" t="str">
        <f ca="1">IF('Extra look-up'!$H51="Work Type","Check Work Type",IF(AND(D57="",F57="",H57="",I57="",L57="",M57=""),"",IF(OR(D57="",F57="",H57="",I57="",L57="",M57="",$L$9&lt;&gt;"OK"),"Check all fields completed correctly",IF(AND(D57="",OR(F57&lt;&gt;"",H57&lt;&gt;"",I57&lt;&gt;"",L57&lt;&gt;"")),"Check all fields completed correctly","OK"))))</f>
        <v/>
      </c>
      <c r="W57" s="495" t="str">
        <f>IF(I57="","",IF(VLOOKUP(I57,'Eligible Technologies'!$D$7:$G$69,4,FALSE)&lt;$F$9,VLOOKUP(I57,'Eligible Technologies'!$D$7:$G$69,4,FALSE),$F$9))</f>
        <v/>
      </c>
      <c r="X57" s="496" t="str">
        <f t="shared" si="14"/>
        <v/>
      </c>
      <c r="Y57" s="496">
        <f t="shared" ca="1" si="10"/>
        <v>0</v>
      </c>
      <c r="Z57" s="496" t="str">
        <f>'Extra look-up'!F51</f>
        <v/>
      </c>
      <c r="AA57" s="496" t="str">
        <f ca="1">'Extra look-up'!H51</f>
        <v>OK</v>
      </c>
      <c r="AB57" s="496">
        <f t="shared" ca="1" si="12"/>
        <v>1</v>
      </c>
      <c r="AC57" s="510" t="e">
        <f t="shared" si="13"/>
        <v>#VALUE!</v>
      </c>
      <c r="AD57" s="513">
        <f t="shared" si="11"/>
        <v>0.1953</v>
      </c>
      <c r="AE57" s="507"/>
      <c r="AF57" s="507"/>
      <c r="AG57" s="24"/>
      <c r="AH57" s="24"/>
      <c r="AI57" s="24"/>
      <c r="AJ57" s="24"/>
      <c r="AK57" s="24"/>
      <c r="AL57" s="24"/>
      <c r="AM57" s="24"/>
      <c r="AN57" s="24"/>
      <c r="AO57" s="24"/>
      <c r="AP57" s="24"/>
      <c r="AQ57" s="24"/>
      <c r="AR57" s="672"/>
      <c r="AS57" s="672"/>
      <c r="AT57" s="672"/>
      <c r="AU57" s="672"/>
      <c r="AV57" s="672"/>
      <c r="AW57" s="672"/>
      <c r="AX57" s="672"/>
      <c r="AY57" s="672"/>
      <c r="AZ57" s="672"/>
      <c r="BA57" s="672"/>
      <c r="BB57" s="672"/>
      <c r="BC57" s="672"/>
      <c r="BD57" s="672"/>
      <c r="BE57" s="672"/>
      <c r="BF57" s="672"/>
      <c r="BG57" s="672"/>
      <c r="BH57" s="672"/>
      <c r="BI57" s="672"/>
      <c r="BJ57" s="672"/>
      <c r="BK57" s="672"/>
      <c r="BL57" s="672"/>
      <c r="BM57" s="672"/>
      <c r="BN57" s="672"/>
      <c r="BO57" s="672"/>
      <c r="BP57" s="672"/>
      <c r="BQ57" s="672"/>
      <c r="BR57" s="672"/>
    </row>
    <row r="58" spans="1:70" s="682" customFormat="1" ht="34.15" hidden="1" customHeight="1" outlineLevel="1" x14ac:dyDescent="0.2">
      <c r="A58" s="151">
        <v>47</v>
      </c>
      <c r="B58" s="98"/>
      <c r="C58" s="107"/>
      <c r="D58" s="99"/>
      <c r="E58" s="100"/>
      <c r="F58" s="101"/>
      <c r="G58" s="126" t="str">
        <f t="shared" si="15"/>
        <v/>
      </c>
      <c r="H58" s="307"/>
      <c r="I58" s="940"/>
      <c r="J58" s="941"/>
      <c r="K58" s="102"/>
      <c r="L58" s="103"/>
      <c r="M58" s="129" t="str">
        <f t="shared" si="3"/>
        <v/>
      </c>
      <c r="N58" s="130">
        <f t="shared" si="4"/>
        <v>0</v>
      </c>
      <c r="O58" s="104"/>
      <c r="P58" s="138" t="str">
        <f t="shared" si="16"/>
        <v/>
      </c>
      <c r="Q58" s="139" t="str">
        <f t="shared" si="5"/>
        <v/>
      </c>
      <c r="R58" s="518" t="str">
        <f t="shared" si="17"/>
        <v/>
      </c>
      <c r="S58" s="140" t="str">
        <f t="shared" si="18"/>
        <v/>
      </c>
      <c r="T58" s="140" t="str">
        <f t="shared" si="7"/>
        <v/>
      </c>
      <c r="U58" s="141" t="str">
        <f t="shared" si="8"/>
        <v/>
      </c>
      <c r="V58" s="524" t="str">
        <f ca="1">IF('Extra look-up'!$H52="Work Type","Check Work Type",IF(AND(D58="",F58="",H58="",I58="",L58="",M58=""),"",IF(OR(D58="",F58="",H58="",I58="",L58="",M58="",$L$9&lt;&gt;"OK"),"Check all fields completed correctly",IF(AND(D58="",OR(F58&lt;&gt;"",H58&lt;&gt;"",I58&lt;&gt;"",L58&lt;&gt;"")),"Check all fields completed correctly","OK"))))</f>
        <v/>
      </c>
      <c r="W58" s="495" t="str">
        <f>IF(I58="","",IF(VLOOKUP(I58,'Eligible Technologies'!$D$7:$G$69,4,FALSE)&lt;$F$9,VLOOKUP(I58,'Eligible Technologies'!$D$7:$G$69,4,FALSE),$F$9))</f>
        <v/>
      </c>
      <c r="X58" s="496" t="str">
        <f t="shared" si="14"/>
        <v/>
      </c>
      <c r="Y58" s="496">
        <f t="shared" ca="1" si="10"/>
        <v>0</v>
      </c>
      <c r="Z58" s="496" t="str">
        <f>'Extra look-up'!F52</f>
        <v/>
      </c>
      <c r="AA58" s="496" t="str">
        <f ca="1">'Extra look-up'!H52</f>
        <v>OK</v>
      </c>
      <c r="AB58" s="496">
        <f t="shared" ca="1" si="12"/>
        <v>1</v>
      </c>
      <c r="AC58" s="510" t="e">
        <f t="shared" si="13"/>
        <v>#VALUE!</v>
      </c>
      <c r="AD58" s="513">
        <f t="shared" si="11"/>
        <v>0.1953</v>
      </c>
      <c r="AE58" s="507"/>
      <c r="AF58" s="507"/>
      <c r="AG58" s="24"/>
      <c r="AH58" s="24"/>
      <c r="AI58" s="24"/>
      <c r="AJ58" s="24"/>
      <c r="AK58" s="24"/>
      <c r="AL58" s="24"/>
      <c r="AM58" s="24"/>
      <c r="AN58" s="24"/>
      <c r="AO58" s="24"/>
      <c r="AP58" s="24"/>
      <c r="AQ58" s="24"/>
      <c r="AR58" s="672"/>
      <c r="AS58" s="672"/>
      <c r="AT58" s="672"/>
      <c r="AU58" s="672"/>
      <c r="AV58" s="672"/>
      <c r="AW58" s="672"/>
      <c r="AX58" s="672"/>
      <c r="AY58" s="672"/>
      <c r="AZ58" s="672"/>
      <c r="BA58" s="672"/>
      <c r="BB58" s="672"/>
      <c r="BC58" s="672"/>
      <c r="BD58" s="672"/>
      <c r="BE58" s="672"/>
      <c r="BF58" s="672"/>
      <c r="BG58" s="672"/>
      <c r="BH58" s="672"/>
      <c r="BI58" s="672"/>
      <c r="BJ58" s="672"/>
      <c r="BK58" s="672"/>
      <c r="BL58" s="672"/>
      <c r="BM58" s="672"/>
      <c r="BN58" s="672"/>
      <c r="BO58" s="672"/>
      <c r="BP58" s="672"/>
      <c r="BQ58" s="672"/>
      <c r="BR58" s="672"/>
    </row>
    <row r="59" spans="1:70" s="682" customFormat="1" ht="34.15" hidden="1" customHeight="1" outlineLevel="1" x14ac:dyDescent="0.2">
      <c r="A59" s="151">
        <v>48</v>
      </c>
      <c r="B59" s="98"/>
      <c r="C59" s="107"/>
      <c r="D59" s="99"/>
      <c r="E59" s="100"/>
      <c r="F59" s="101"/>
      <c r="G59" s="126" t="str">
        <f t="shared" si="15"/>
        <v/>
      </c>
      <c r="H59" s="307"/>
      <c r="I59" s="940"/>
      <c r="J59" s="941"/>
      <c r="K59" s="102"/>
      <c r="L59" s="103"/>
      <c r="M59" s="129" t="str">
        <f t="shared" si="3"/>
        <v/>
      </c>
      <c r="N59" s="130">
        <f t="shared" si="4"/>
        <v>0</v>
      </c>
      <c r="O59" s="104"/>
      <c r="P59" s="138" t="str">
        <f t="shared" si="16"/>
        <v/>
      </c>
      <c r="Q59" s="139" t="str">
        <f t="shared" si="5"/>
        <v/>
      </c>
      <c r="R59" s="518" t="str">
        <f t="shared" si="17"/>
        <v/>
      </c>
      <c r="S59" s="140" t="str">
        <f t="shared" si="18"/>
        <v/>
      </c>
      <c r="T59" s="140" t="str">
        <f t="shared" si="7"/>
        <v/>
      </c>
      <c r="U59" s="141" t="str">
        <f t="shared" si="8"/>
        <v/>
      </c>
      <c r="V59" s="524" t="str">
        <f ca="1">IF('Extra look-up'!$H53="Work Type","Check Work Type",IF(AND(D59="",F59="",H59="",I59="",L59="",M59=""),"",IF(OR(D59="",F59="",H59="",I59="",L59="",M59="",$L$9&lt;&gt;"OK"),"Check all fields completed correctly",IF(AND(D59="",OR(F59&lt;&gt;"",H59&lt;&gt;"",I59&lt;&gt;"",L59&lt;&gt;"")),"Check all fields completed correctly","OK"))))</f>
        <v/>
      </c>
      <c r="W59" s="495" t="str">
        <f>IF(I59="","",IF(VLOOKUP(I59,'Eligible Technologies'!$D$7:$G$69,4,FALSE)&lt;$F$9,VLOOKUP(I59,'Eligible Technologies'!$D$7:$G$69,4,FALSE),$F$9))</f>
        <v/>
      </c>
      <c r="X59" s="496" t="str">
        <f t="shared" si="14"/>
        <v/>
      </c>
      <c r="Y59" s="496">
        <f t="shared" ca="1" si="10"/>
        <v>0</v>
      </c>
      <c r="Z59" s="496" t="str">
        <f>'Extra look-up'!F53</f>
        <v/>
      </c>
      <c r="AA59" s="496" t="str">
        <f ca="1">'Extra look-up'!H53</f>
        <v>OK</v>
      </c>
      <c r="AB59" s="496">
        <f t="shared" ca="1" si="12"/>
        <v>1</v>
      </c>
      <c r="AC59" s="510" t="e">
        <f t="shared" si="13"/>
        <v>#VALUE!</v>
      </c>
      <c r="AD59" s="513">
        <f t="shared" si="11"/>
        <v>0.1953</v>
      </c>
      <c r="AE59" s="507"/>
      <c r="AF59" s="507"/>
      <c r="AG59" s="24"/>
      <c r="AH59" s="24"/>
      <c r="AI59" s="24"/>
      <c r="AJ59" s="24"/>
      <c r="AK59" s="24"/>
      <c r="AL59" s="24"/>
      <c r="AM59" s="24"/>
      <c r="AN59" s="24"/>
      <c r="AO59" s="24"/>
      <c r="AP59" s="24"/>
      <c r="AQ59" s="24"/>
      <c r="AR59" s="672"/>
      <c r="AS59" s="672"/>
      <c r="AT59" s="672"/>
      <c r="AU59" s="672"/>
      <c r="AV59" s="672"/>
      <c r="AW59" s="672"/>
      <c r="AX59" s="672"/>
      <c r="AY59" s="672"/>
      <c r="AZ59" s="672"/>
      <c r="BA59" s="672"/>
      <c r="BB59" s="672"/>
      <c r="BC59" s="672"/>
      <c r="BD59" s="672"/>
      <c r="BE59" s="672"/>
      <c r="BF59" s="672"/>
      <c r="BG59" s="672"/>
      <c r="BH59" s="672"/>
      <c r="BI59" s="672"/>
      <c r="BJ59" s="672"/>
      <c r="BK59" s="672"/>
      <c r="BL59" s="672"/>
      <c r="BM59" s="672"/>
      <c r="BN59" s="672"/>
      <c r="BO59" s="672"/>
      <c r="BP59" s="672"/>
      <c r="BQ59" s="672"/>
      <c r="BR59" s="672"/>
    </row>
    <row r="60" spans="1:70" s="682" customFormat="1" ht="33.6" hidden="1" customHeight="1" outlineLevel="1" x14ac:dyDescent="0.2">
      <c r="A60" s="151">
        <v>49</v>
      </c>
      <c r="B60" s="98"/>
      <c r="C60" s="107"/>
      <c r="D60" s="99"/>
      <c r="E60" s="100"/>
      <c r="F60" s="101"/>
      <c r="G60" s="126" t="str">
        <f t="shared" si="15"/>
        <v/>
      </c>
      <c r="H60" s="307"/>
      <c r="I60" s="940"/>
      <c r="J60" s="941"/>
      <c r="K60" s="102"/>
      <c r="L60" s="103"/>
      <c r="M60" s="129" t="str">
        <f t="shared" si="3"/>
        <v/>
      </c>
      <c r="N60" s="130">
        <f t="shared" si="4"/>
        <v>0</v>
      </c>
      <c r="O60" s="104"/>
      <c r="P60" s="138" t="str">
        <f t="shared" si="16"/>
        <v/>
      </c>
      <c r="Q60" s="139" t="str">
        <f t="shared" si="5"/>
        <v/>
      </c>
      <c r="R60" s="518" t="str">
        <f t="shared" si="17"/>
        <v/>
      </c>
      <c r="S60" s="140" t="str">
        <f t="shared" si="18"/>
        <v/>
      </c>
      <c r="T60" s="140" t="str">
        <f t="shared" si="7"/>
        <v/>
      </c>
      <c r="U60" s="141" t="str">
        <f t="shared" si="8"/>
        <v/>
      </c>
      <c r="V60" s="524" t="str">
        <f ca="1">IF('Extra look-up'!$H54="Work Type","Check Work Type",IF(AND(D60="",F60="",H60="",I60="",L60="",M60=""),"",IF(OR(D60="",F60="",H60="",I60="",L60="",M60="",$L$9&lt;&gt;"OK"),"Check all fields completed correctly",IF(AND(D60="",OR(F60&lt;&gt;"",H60&lt;&gt;"",I60&lt;&gt;"",L60&lt;&gt;"")),"Check all fields completed correctly","OK"))))</f>
        <v/>
      </c>
      <c r="W60" s="495" t="str">
        <f>IF(I60="","",IF(VLOOKUP(I60,'Eligible Technologies'!$D$7:$G$69,4,FALSE)&lt;$F$9,VLOOKUP(I60,'Eligible Technologies'!$D$7:$G$69,4,FALSE),$F$9))</f>
        <v/>
      </c>
      <c r="X60" s="496" t="str">
        <f t="shared" si="14"/>
        <v/>
      </c>
      <c r="Y60" s="496">
        <f t="shared" ca="1" si="10"/>
        <v>0</v>
      </c>
      <c r="Z60" s="496" t="str">
        <f>'Extra look-up'!F54</f>
        <v/>
      </c>
      <c r="AA60" s="496" t="str">
        <f ca="1">'Extra look-up'!H54</f>
        <v>OK</v>
      </c>
      <c r="AB60" s="496">
        <f t="shared" ca="1" si="12"/>
        <v>1</v>
      </c>
      <c r="AC60" s="510" t="e">
        <f t="shared" si="13"/>
        <v>#VALUE!</v>
      </c>
      <c r="AD60" s="513">
        <f t="shared" si="11"/>
        <v>0.1953</v>
      </c>
      <c r="AE60" s="507"/>
      <c r="AF60" s="507"/>
      <c r="AG60" s="24"/>
      <c r="AH60" s="24"/>
      <c r="AI60" s="24"/>
      <c r="AJ60" s="24"/>
      <c r="AK60" s="24"/>
      <c r="AL60" s="24"/>
      <c r="AM60" s="24"/>
      <c r="AN60" s="24"/>
      <c r="AO60" s="24"/>
      <c r="AP60" s="24"/>
      <c r="AQ60" s="24"/>
      <c r="AR60" s="672"/>
      <c r="AS60" s="672"/>
      <c r="AT60" s="672"/>
      <c r="AU60" s="672"/>
      <c r="AV60" s="672"/>
      <c r="AW60" s="672"/>
      <c r="AX60" s="672"/>
      <c r="AY60" s="672"/>
      <c r="AZ60" s="672"/>
      <c r="BA60" s="672"/>
      <c r="BB60" s="672"/>
      <c r="BC60" s="672"/>
      <c r="BD60" s="672"/>
      <c r="BE60" s="672"/>
      <c r="BF60" s="672"/>
      <c r="BG60" s="672"/>
      <c r="BH60" s="672"/>
      <c r="BI60" s="672"/>
      <c r="BJ60" s="672"/>
      <c r="BK60" s="672"/>
      <c r="BL60" s="672"/>
      <c r="BM60" s="672"/>
      <c r="BN60" s="672"/>
      <c r="BO60" s="672"/>
      <c r="BP60" s="672"/>
      <c r="BQ60" s="672"/>
      <c r="BR60" s="672"/>
    </row>
    <row r="61" spans="1:70" s="682" customFormat="1" ht="33" hidden="1" customHeight="1" outlineLevel="1" thickBot="1" x14ac:dyDescent="0.25">
      <c r="A61" s="151">
        <v>50</v>
      </c>
      <c r="B61" s="98"/>
      <c r="C61" s="105"/>
      <c r="D61" s="99"/>
      <c r="E61" s="100"/>
      <c r="F61" s="101"/>
      <c r="G61" s="126" t="str">
        <f t="shared" si="15"/>
        <v/>
      </c>
      <c r="H61" s="307"/>
      <c r="I61" s="940"/>
      <c r="J61" s="941"/>
      <c r="K61" s="102"/>
      <c r="L61" s="103"/>
      <c r="M61" s="129" t="str">
        <f t="shared" si="3"/>
        <v/>
      </c>
      <c r="N61" s="130">
        <f t="shared" si="4"/>
        <v>0</v>
      </c>
      <c r="O61" s="104"/>
      <c r="P61" s="138" t="str">
        <f t="shared" si="16"/>
        <v/>
      </c>
      <c r="Q61" s="139" t="str">
        <f t="shared" si="5"/>
        <v/>
      </c>
      <c r="R61" s="518" t="str">
        <f t="shared" si="17"/>
        <v/>
      </c>
      <c r="S61" s="140" t="str">
        <f t="shared" si="18"/>
        <v/>
      </c>
      <c r="T61" s="140" t="str">
        <f t="shared" si="7"/>
        <v/>
      </c>
      <c r="U61" s="141" t="str">
        <f t="shared" si="8"/>
        <v/>
      </c>
      <c r="V61" s="525" t="str">
        <f>IF('Extra look-up'!$H80="Work Type","Check Work Type",IF(AND(D61="",F61="",H61="",I61="",L61="",M61=""),"",IF(OR(D61="",F61="",H61="",I61="",L61="",M61="",$L$9&lt;&gt;"OK"),"Check all fields completed correctly",IF(AND(D61="",OR(F61&lt;&gt;"",H61&lt;&gt;"",I61&lt;&gt;"",L61&lt;&gt;"")),"Check all fields completed correctly","OK"))))</f>
        <v/>
      </c>
      <c r="W61" s="497" t="str">
        <f>IF(I61="","",IF(VLOOKUP(I61,'Eligible Technologies'!$D$7:$G$69,4,FALSE)&lt;$F$9,VLOOKUP(I61,'Eligible Technologies'!$D$7:$G$69,4,FALSE),$F$9))</f>
        <v/>
      </c>
      <c r="X61" s="498" t="str">
        <f t="shared" si="14"/>
        <v/>
      </c>
      <c r="Y61" s="498">
        <f t="shared" si="10"/>
        <v>0</v>
      </c>
      <c r="Z61" s="498" t="str">
        <f>'Extra look-up'!F55</f>
        <v/>
      </c>
      <c r="AA61" s="498" t="str">
        <f ca="1">'Extra look-up'!H55</f>
        <v>OK</v>
      </c>
      <c r="AB61" s="498">
        <f t="shared" si="12"/>
        <v>1</v>
      </c>
      <c r="AC61" s="511" t="e">
        <f t="shared" si="13"/>
        <v>#VALUE!</v>
      </c>
      <c r="AD61" s="513">
        <f t="shared" si="11"/>
        <v>0.1953</v>
      </c>
      <c r="AE61" s="507"/>
      <c r="AF61" s="507"/>
      <c r="AG61" s="24"/>
      <c r="AH61" s="24"/>
      <c r="AI61" s="24"/>
      <c r="AJ61" s="24"/>
      <c r="AK61" s="24"/>
      <c r="AL61" s="24"/>
      <c r="AM61" s="24"/>
      <c r="AN61" s="24"/>
      <c r="AO61" s="24"/>
      <c r="AP61" s="24"/>
      <c r="AQ61" s="24"/>
      <c r="AR61" s="672"/>
      <c r="AS61" s="672"/>
      <c r="AT61" s="672"/>
      <c r="AU61" s="672"/>
      <c r="AV61" s="672"/>
      <c r="AW61" s="672"/>
      <c r="AX61" s="672"/>
      <c r="AY61" s="672"/>
      <c r="AZ61" s="672"/>
      <c r="BA61" s="672"/>
      <c r="BB61" s="672"/>
      <c r="BC61" s="672"/>
      <c r="BD61" s="672"/>
      <c r="BE61" s="672"/>
      <c r="BF61" s="672"/>
      <c r="BG61" s="672"/>
      <c r="BH61" s="672"/>
      <c r="BI61" s="672"/>
      <c r="BJ61" s="672"/>
      <c r="BK61" s="672"/>
      <c r="BL61" s="672"/>
      <c r="BM61" s="672"/>
      <c r="BN61" s="672"/>
      <c r="BO61" s="672"/>
      <c r="BP61" s="672"/>
      <c r="BQ61" s="672"/>
      <c r="BR61" s="672"/>
    </row>
    <row r="62" spans="1:70" s="682" customFormat="1" ht="15" customHeight="1" collapsed="1" thickBot="1" x14ac:dyDescent="0.25">
      <c r="A62" s="215"/>
      <c r="B62" s="216"/>
      <c r="C62" s="216"/>
      <c r="D62" s="216"/>
      <c r="E62" s="216"/>
      <c r="F62" s="216"/>
      <c r="G62" s="216"/>
      <c r="H62" s="216"/>
      <c r="I62" s="216"/>
      <c r="J62" s="216"/>
      <c r="K62" s="216"/>
      <c r="L62" s="216"/>
      <c r="M62" s="216"/>
      <c r="N62" s="216"/>
      <c r="O62" s="216"/>
      <c r="P62" s="216"/>
      <c r="Q62" s="216"/>
      <c r="R62" s="216"/>
      <c r="S62" s="216"/>
      <c r="T62" s="216"/>
      <c r="U62" s="216"/>
      <c r="V62" s="217"/>
      <c r="W62" s="6"/>
      <c r="X62" s="23"/>
      <c r="Y62" s="502">
        <f ca="1">SUM(Y12:Y61)</f>
        <v>0</v>
      </c>
      <c r="Z62" s="23"/>
      <c r="AA62" s="23"/>
      <c r="AB62" s="502">
        <f ca="1">SUM(AB12:AB61)</f>
        <v>50</v>
      </c>
      <c r="AC62" s="23"/>
      <c r="AD62" s="23"/>
      <c r="AE62" s="23"/>
      <c r="AF62" s="23"/>
      <c r="AG62" s="24"/>
      <c r="AH62" s="24"/>
      <c r="AI62" s="24"/>
      <c r="AJ62" s="24"/>
      <c r="AK62" s="24"/>
      <c r="AL62" s="24"/>
      <c r="AM62" s="24"/>
      <c r="AN62" s="24"/>
      <c r="AO62" s="24"/>
      <c r="AP62" s="24"/>
      <c r="AQ62" s="24"/>
      <c r="AR62" s="672"/>
      <c r="AS62" s="672"/>
      <c r="AT62" s="672"/>
      <c r="AU62" s="672"/>
      <c r="AV62" s="672"/>
      <c r="AW62" s="672"/>
      <c r="AX62" s="672"/>
      <c r="AY62" s="672"/>
      <c r="AZ62" s="672"/>
      <c r="BA62" s="672"/>
      <c r="BB62" s="672"/>
      <c r="BC62" s="672"/>
      <c r="BD62" s="672"/>
      <c r="BE62" s="672"/>
      <c r="BF62" s="672"/>
      <c r="BG62" s="672"/>
      <c r="BH62" s="672"/>
      <c r="BI62" s="672"/>
      <c r="BJ62" s="672"/>
      <c r="BK62" s="672"/>
      <c r="BL62" s="672"/>
      <c r="BM62" s="672"/>
      <c r="BN62" s="672"/>
      <c r="BO62" s="672"/>
      <c r="BP62" s="672"/>
      <c r="BQ62" s="672"/>
      <c r="BR62" s="672"/>
    </row>
    <row r="63" spans="1:70" s="682" customFormat="1" ht="15" customHeight="1" thickBot="1" x14ac:dyDescent="0.25">
      <c r="A63" s="152"/>
      <c r="B63" s="314"/>
      <c r="C63" s="314"/>
      <c r="D63" s="314"/>
      <c r="E63" s="314"/>
      <c r="F63" s="314"/>
      <c r="G63" s="314"/>
      <c r="H63" s="314"/>
      <c r="I63" s="314"/>
      <c r="J63" s="314"/>
      <c r="K63" s="314"/>
      <c r="L63" s="314"/>
      <c r="M63" s="314"/>
      <c r="N63" s="314"/>
      <c r="O63" s="314"/>
      <c r="P63" s="314"/>
      <c r="Q63" s="314"/>
      <c r="R63" s="314"/>
      <c r="S63" s="314"/>
      <c r="T63" s="314"/>
      <c r="U63" s="314"/>
      <c r="V63" s="314"/>
      <c r="W63" s="6"/>
      <c r="X63" s="23"/>
      <c r="Y63" s="23"/>
      <c r="Z63" s="23"/>
      <c r="AA63" s="23"/>
      <c r="AB63" s="23"/>
      <c r="AC63" s="23"/>
      <c r="AD63" s="23"/>
      <c r="AE63" s="23"/>
      <c r="AF63" s="23"/>
      <c r="AG63" s="24"/>
      <c r="AH63" s="24"/>
      <c r="AI63" s="24"/>
      <c r="AJ63" s="24"/>
      <c r="AK63" s="24"/>
      <c r="AL63" s="24"/>
      <c r="AM63" s="24"/>
      <c r="AN63" s="24"/>
      <c r="AO63" s="24"/>
      <c r="AP63" s="24"/>
      <c r="AQ63" s="24"/>
      <c r="AR63" s="672"/>
      <c r="AS63" s="672"/>
      <c r="AT63" s="672"/>
      <c r="AU63" s="672"/>
      <c r="AV63" s="672"/>
      <c r="AW63" s="672"/>
      <c r="AX63" s="672"/>
      <c r="AY63" s="672"/>
      <c r="AZ63" s="672"/>
      <c r="BA63" s="672"/>
      <c r="BB63" s="672"/>
      <c r="BC63" s="672"/>
      <c r="BD63" s="672"/>
      <c r="BE63" s="672"/>
      <c r="BF63" s="672"/>
      <c r="BG63" s="672"/>
      <c r="BH63" s="672"/>
      <c r="BI63" s="672"/>
      <c r="BJ63" s="672"/>
      <c r="BK63" s="672"/>
      <c r="BL63" s="672"/>
      <c r="BM63" s="672"/>
      <c r="BN63" s="672"/>
      <c r="BO63" s="672"/>
      <c r="BP63" s="672"/>
      <c r="BQ63" s="672"/>
      <c r="BR63" s="672"/>
    </row>
    <row r="64" spans="1:70" s="682" customFormat="1" ht="60.75" customHeight="1" thickBot="1" x14ac:dyDescent="0.25">
      <c r="A64" s="149"/>
      <c r="B64" s="314"/>
      <c r="C64" s="314"/>
      <c r="D64" s="314"/>
      <c r="E64" s="314"/>
      <c r="F64" s="314"/>
      <c r="G64" s="314"/>
      <c r="H64" s="315"/>
      <c r="I64" s="314"/>
      <c r="J64" s="314"/>
      <c r="K64" s="314"/>
      <c r="L64" s="314"/>
      <c r="M64" s="314"/>
      <c r="N64" s="227" t="s">
        <v>118</v>
      </c>
      <c r="O64" s="227" t="s">
        <v>119</v>
      </c>
      <c r="P64" s="228" t="s">
        <v>120</v>
      </c>
      <c r="Q64" s="117" t="s">
        <v>57</v>
      </c>
      <c r="R64" s="117" t="s">
        <v>121</v>
      </c>
      <c r="S64" s="117" t="s">
        <v>122</v>
      </c>
      <c r="T64" s="117" t="s">
        <v>123</v>
      </c>
      <c r="U64" s="125" t="s">
        <v>124</v>
      </c>
      <c r="V64" s="229" t="s">
        <v>125</v>
      </c>
      <c r="W64" s="6"/>
      <c r="X64" s="23"/>
      <c r="Y64" s="23"/>
      <c r="Z64" s="23"/>
      <c r="AA64" s="23"/>
      <c r="AB64" s="23"/>
      <c r="AC64" s="23"/>
      <c r="AD64" s="23"/>
      <c r="AE64" s="23"/>
      <c r="AF64" s="23"/>
      <c r="AG64" s="24"/>
      <c r="AH64" s="24"/>
      <c r="AI64" s="24"/>
      <c r="AJ64" s="24"/>
      <c r="AK64" s="24"/>
      <c r="AL64" s="24"/>
      <c r="AM64" s="24"/>
      <c r="AN64" s="24"/>
      <c r="AO64" s="24"/>
      <c r="AP64" s="24"/>
      <c r="AQ64" s="24"/>
      <c r="AR64" s="672"/>
      <c r="AS64" s="672"/>
      <c r="AT64" s="672"/>
      <c r="AU64" s="672"/>
      <c r="AV64" s="672"/>
      <c r="AW64" s="672"/>
      <c r="AX64" s="672"/>
      <c r="AY64" s="672"/>
      <c r="AZ64" s="672"/>
      <c r="BA64" s="672"/>
      <c r="BB64" s="672"/>
      <c r="BC64" s="672"/>
      <c r="BD64" s="672"/>
      <c r="BE64" s="672"/>
      <c r="BF64" s="672"/>
      <c r="BG64" s="672"/>
      <c r="BH64" s="672"/>
      <c r="BI64" s="672"/>
      <c r="BJ64" s="672"/>
      <c r="BK64" s="672"/>
      <c r="BL64" s="672"/>
      <c r="BM64" s="672"/>
      <c r="BN64" s="672"/>
      <c r="BO64" s="672"/>
      <c r="BP64" s="672"/>
      <c r="BQ64" s="672"/>
      <c r="BR64" s="672"/>
    </row>
    <row r="65" spans="1:70" s="682" customFormat="1" ht="30.75" customHeight="1" thickBot="1" x14ac:dyDescent="0.25">
      <c r="A65" s="149"/>
      <c r="B65" s="316"/>
      <c r="C65" s="317"/>
      <c r="D65" s="318"/>
      <c r="E65" s="316"/>
      <c r="F65" s="316"/>
      <c r="G65" s="316"/>
      <c r="H65" s="316"/>
      <c r="I65" s="316"/>
      <c r="J65" s="316"/>
      <c r="K65" s="319"/>
      <c r="L65" s="319"/>
      <c r="M65" s="227" t="s">
        <v>126</v>
      </c>
      <c r="N65" s="218"/>
      <c r="O65" s="219" t="str">
        <f>IF(OR(L9&lt;&gt;"OK",$D$4=""),"",SUM(O12:O61))</f>
        <v/>
      </c>
      <c r="P65" s="220" t="str">
        <f>IF(OR(L9&lt;&gt;"OK",$D$4=""),"",SUM(P12:P61))</f>
        <v/>
      </c>
      <c r="Q65" s="221" t="str">
        <f>IF(OR(P65&lt;=0,P65=""),"",N65/P65)</f>
        <v/>
      </c>
      <c r="R65" s="222" t="str">
        <f>IF(Q65="","",AVERAGE(R12:R61))</f>
        <v/>
      </c>
      <c r="S65" s="223" t="str">
        <f>IF(R65="","",SUM(S12:S61))</f>
        <v/>
      </c>
      <c r="T65" s="224" t="str">
        <f>IF(S65="","",SUM(T12:T61))</f>
        <v/>
      </c>
      <c r="U65" s="225" t="str">
        <f>IF(ISERROR(N65/T65),"",N65/T65)</f>
        <v/>
      </c>
      <c r="V65" s="226" t="str">
        <f>IF($D$4="","Please Select Programme",IF(L9&lt;&gt;"OK","Check Project Details",IF(Y62=0,"Enter Work Type Details",IF(N65=0,"Enter Funding Requested",IF(AB62&gt;=51,"Check Work Type Details",'Extra look-up'!H77)))))</f>
        <v>Check Project Details</v>
      </c>
      <c r="W65" s="6"/>
      <c r="X65" s="23"/>
      <c r="Y65" s="23"/>
      <c r="Z65" s="23"/>
      <c r="AA65" s="23"/>
      <c r="AB65" s="23"/>
      <c r="AC65" s="23"/>
      <c r="AD65" s="23"/>
      <c r="AE65" s="23"/>
      <c r="AF65" s="23"/>
      <c r="AG65" s="24"/>
      <c r="AH65" s="24"/>
      <c r="AI65" s="24"/>
      <c r="AJ65" s="24"/>
      <c r="AK65" s="24"/>
      <c r="AL65" s="24"/>
      <c r="AM65" s="24"/>
      <c r="AN65" s="24"/>
      <c r="AO65" s="24"/>
      <c r="AP65" s="24"/>
      <c r="AQ65" s="24"/>
      <c r="AR65" s="672"/>
      <c r="AS65" s="672"/>
      <c r="AT65" s="672"/>
      <c r="AU65" s="672"/>
      <c r="AV65" s="672"/>
      <c r="AW65" s="672"/>
      <c r="AX65" s="672"/>
      <c r="AY65" s="672"/>
      <c r="AZ65" s="672"/>
      <c r="BA65" s="672"/>
      <c r="BB65" s="672"/>
      <c r="BC65" s="672"/>
      <c r="BD65" s="672"/>
      <c r="BE65" s="672"/>
      <c r="BF65" s="672"/>
      <c r="BG65" s="672"/>
      <c r="BH65" s="672"/>
      <c r="BI65" s="672"/>
      <c r="BJ65" s="672"/>
      <c r="BK65" s="672"/>
      <c r="BL65" s="672"/>
      <c r="BM65" s="672"/>
      <c r="BN65" s="672"/>
      <c r="BO65" s="672"/>
      <c r="BP65" s="672"/>
      <c r="BQ65" s="672"/>
      <c r="BR65" s="672"/>
    </row>
    <row r="66" spans="1:70" s="682" customFormat="1" ht="30.75" customHeight="1" thickBot="1" x14ac:dyDescent="0.25">
      <c r="A66" s="149"/>
      <c r="B66" s="316"/>
      <c r="C66" s="317"/>
      <c r="D66" s="318"/>
      <c r="E66" s="316"/>
      <c r="F66" s="316"/>
      <c r="G66" s="316"/>
      <c r="H66" s="316"/>
      <c r="I66" s="316"/>
      <c r="J66" s="316"/>
      <c r="K66" s="319"/>
      <c r="L66" s="319"/>
      <c r="M66" s="775" t="s">
        <v>127</v>
      </c>
      <c r="N66" s="764"/>
      <c r="O66" s="783">
        <f>SUM(K70:L79)</f>
        <v>0</v>
      </c>
      <c r="P66" s="758"/>
      <c r="Q66" s="759"/>
      <c r="R66" s="760"/>
      <c r="S66" s="761"/>
      <c r="T66" s="762"/>
      <c r="U66" s="762"/>
      <c r="V66" s="763"/>
      <c r="W66" s="6"/>
      <c r="X66" s="23"/>
      <c r="Y66" s="23"/>
      <c r="Z66" s="23"/>
      <c r="AA66" s="23"/>
      <c r="AB66" s="23"/>
      <c r="AC66" s="23"/>
      <c r="AD66" s="23"/>
      <c r="AE66" s="23"/>
      <c r="AF66" s="23"/>
      <c r="AG66" s="24"/>
      <c r="AH66" s="24"/>
      <c r="AI66" s="24"/>
      <c r="AJ66" s="24"/>
      <c r="AK66" s="24"/>
      <c r="AL66" s="24"/>
      <c r="AM66" s="24"/>
      <c r="AN66" s="24"/>
      <c r="AO66" s="24"/>
      <c r="AP66" s="24"/>
      <c r="AQ66" s="24"/>
      <c r="AR66" s="672"/>
      <c r="AS66" s="672"/>
      <c r="AT66" s="672"/>
      <c r="AU66" s="672"/>
      <c r="AV66" s="672"/>
      <c r="AW66" s="672"/>
      <c r="AX66" s="672"/>
      <c r="AY66" s="672"/>
      <c r="AZ66" s="672"/>
      <c r="BA66" s="672"/>
      <c r="BB66" s="672"/>
      <c r="BC66" s="672"/>
      <c r="BD66" s="672"/>
      <c r="BE66" s="672"/>
      <c r="BF66" s="672"/>
      <c r="BG66" s="672"/>
      <c r="BH66" s="672"/>
      <c r="BI66" s="672"/>
      <c r="BJ66" s="672"/>
      <c r="BK66" s="672"/>
      <c r="BL66" s="672"/>
      <c r="BM66" s="672"/>
      <c r="BN66" s="672"/>
      <c r="BO66" s="672"/>
      <c r="BP66" s="672"/>
      <c r="BQ66" s="672"/>
      <c r="BR66" s="672"/>
    </row>
    <row r="67" spans="1:70" s="682" customFormat="1" ht="30.75" customHeight="1" thickBot="1" x14ac:dyDescent="0.25">
      <c r="A67" s="326"/>
      <c r="B67" s="316"/>
      <c r="C67" s="317"/>
      <c r="D67" s="318"/>
      <c r="E67" s="316"/>
      <c r="F67" s="316"/>
      <c r="G67" s="316"/>
      <c r="H67" s="316"/>
      <c r="I67" s="316"/>
      <c r="J67" s="316"/>
      <c r="K67" s="319"/>
      <c r="L67" s="319"/>
      <c r="M67" s="775" t="s">
        <v>128</v>
      </c>
      <c r="N67" s="782">
        <f>SUM(N65,N66)</f>
        <v>0</v>
      </c>
      <c r="O67" s="783">
        <f>SUM(O65,O66)</f>
        <v>0</v>
      </c>
      <c r="P67" s="758"/>
      <c r="Q67" s="759"/>
      <c r="R67" s="760"/>
      <c r="S67" s="761"/>
      <c r="T67" s="762"/>
      <c r="U67" s="762"/>
      <c r="V67" s="763"/>
      <c r="W67" s="6"/>
      <c r="X67" s="23"/>
      <c r="Y67" s="23"/>
      <c r="Z67" s="23"/>
      <c r="AA67" s="23"/>
      <c r="AB67" s="23"/>
      <c r="AC67" s="23"/>
      <c r="AD67" s="23"/>
      <c r="AE67" s="23"/>
      <c r="AF67" s="23"/>
      <c r="AG67" s="24"/>
      <c r="AH67" s="24"/>
      <c r="AI67" s="24"/>
      <c r="AJ67" s="24"/>
      <c r="AK67" s="24"/>
      <c r="AL67" s="24"/>
      <c r="AM67" s="24"/>
      <c r="AN67" s="24"/>
      <c r="AO67" s="24"/>
      <c r="AP67" s="24"/>
      <c r="AQ67" s="24"/>
      <c r="AR67" s="672"/>
      <c r="AS67" s="672"/>
      <c r="AT67" s="672"/>
      <c r="AU67" s="672"/>
      <c r="AV67" s="672"/>
      <c r="AW67" s="672"/>
      <c r="AX67" s="672"/>
      <c r="AY67" s="672"/>
      <c r="AZ67" s="672"/>
      <c r="BA67" s="672"/>
      <c r="BB67" s="672"/>
      <c r="BC67" s="672"/>
      <c r="BD67" s="672"/>
      <c r="BE67" s="672"/>
      <c r="BF67" s="672"/>
      <c r="BG67" s="672"/>
      <c r="BH67" s="672"/>
      <c r="BI67" s="672"/>
      <c r="BJ67" s="672"/>
      <c r="BK67" s="672"/>
      <c r="BL67" s="672"/>
      <c r="BM67" s="672"/>
      <c r="BN67" s="672"/>
      <c r="BO67" s="672"/>
      <c r="BP67" s="672"/>
      <c r="BQ67" s="672"/>
      <c r="BR67" s="672"/>
    </row>
    <row r="68" spans="1:70" s="682" customFormat="1" ht="30.75" customHeight="1" thickBot="1" x14ac:dyDescent="0.25">
      <c r="A68" s="765"/>
      <c r="B68" s="932" t="s">
        <v>129</v>
      </c>
      <c r="C68" s="933"/>
      <c r="D68" s="933"/>
      <c r="E68" s="933"/>
      <c r="F68" s="934"/>
      <c r="G68" s="765"/>
      <c r="H68" s="766"/>
      <c r="I68" s="766"/>
      <c r="J68" s="766"/>
      <c r="K68" s="766"/>
      <c r="L68" s="766"/>
      <c r="M68" s="766"/>
      <c r="N68" s="756"/>
      <c r="O68" s="757"/>
      <c r="P68" s="758"/>
      <c r="Q68" s="759"/>
      <c r="R68" s="760"/>
      <c r="S68" s="761"/>
      <c r="T68" s="762"/>
      <c r="U68" s="762"/>
      <c r="V68" s="763"/>
      <c r="W68" s="6"/>
      <c r="X68" s="23"/>
      <c r="Y68" s="23"/>
      <c r="Z68" s="23"/>
      <c r="AA68" s="23"/>
      <c r="AB68" s="23"/>
      <c r="AC68" s="23"/>
      <c r="AD68" s="23"/>
      <c r="AE68" s="23"/>
      <c r="AF68" s="23"/>
      <c r="AG68" s="24"/>
      <c r="AH68" s="24"/>
      <c r="AI68" s="24"/>
      <c r="AJ68" s="24"/>
      <c r="AK68" s="24"/>
      <c r="AL68" s="24"/>
      <c r="AM68" s="24"/>
      <c r="AN68" s="24"/>
      <c r="AO68" s="24"/>
      <c r="AP68" s="24"/>
      <c r="AQ68" s="24"/>
      <c r="AR68" s="672"/>
      <c r="AS68" s="672"/>
      <c r="AT68" s="672"/>
      <c r="AU68" s="672"/>
      <c r="AV68" s="672"/>
      <c r="AW68" s="672"/>
      <c r="AX68" s="672"/>
      <c r="AY68" s="672"/>
      <c r="AZ68" s="672"/>
      <c r="BA68" s="672"/>
      <c r="BB68" s="672"/>
      <c r="BC68" s="672"/>
      <c r="BD68" s="672"/>
      <c r="BE68" s="672"/>
      <c r="BF68" s="672"/>
      <c r="BG68" s="672"/>
      <c r="BH68" s="672"/>
      <c r="BI68" s="672"/>
      <c r="BJ68" s="672"/>
      <c r="BK68" s="672"/>
      <c r="BL68" s="672"/>
      <c r="BM68" s="672"/>
      <c r="BN68" s="672"/>
      <c r="BO68" s="672"/>
      <c r="BP68" s="672"/>
      <c r="BQ68" s="672"/>
      <c r="BR68" s="672"/>
    </row>
    <row r="69" spans="1:70" s="682" customFormat="1" ht="30.75" customHeight="1" thickBot="1" x14ac:dyDescent="0.25">
      <c r="A69" s="767"/>
      <c r="B69" s="768" t="s">
        <v>43</v>
      </c>
      <c r="C69" s="935" t="s">
        <v>49</v>
      </c>
      <c r="D69" s="936"/>
      <c r="E69" s="912" t="s">
        <v>50</v>
      </c>
      <c r="F69" s="937"/>
      <c r="G69" s="912" t="s">
        <v>130</v>
      </c>
      <c r="H69" s="913"/>
      <c r="I69" s="913"/>
      <c r="J69" s="913"/>
      <c r="K69" s="938" t="s">
        <v>55</v>
      </c>
      <c r="L69" s="939"/>
      <c r="M69" s="774" t="s">
        <v>42</v>
      </c>
      <c r="N69" s="756"/>
      <c r="O69" s="757"/>
      <c r="P69" s="758"/>
      <c r="Q69" s="759"/>
      <c r="R69" s="760"/>
      <c r="S69" s="761"/>
      <c r="T69" s="762"/>
      <c r="U69" s="762"/>
      <c r="V69" s="763"/>
      <c r="W69" s="6"/>
      <c r="X69" s="23"/>
      <c r="Y69" s="23"/>
      <c r="Z69" s="23"/>
      <c r="AA69" s="23"/>
      <c r="AB69" s="23"/>
      <c r="AC69" s="23"/>
      <c r="AD69" s="23"/>
      <c r="AE69" s="23"/>
      <c r="AF69" s="23"/>
      <c r="AG69" s="24"/>
      <c r="AH69" s="24"/>
      <c r="AI69" s="24"/>
      <c r="AJ69" s="24"/>
      <c r="AK69" s="24"/>
      <c r="AL69" s="24"/>
      <c r="AM69" s="24"/>
      <c r="AN69" s="24"/>
      <c r="AO69" s="24"/>
      <c r="AP69" s="24"/>
      <c r="AQ69" s="24"/>
      <c r="AR69" s="672"/>
      <c r="AS69" s="672"/>
      <c r="AT69" s="672"/>
      <c r="AU69" s="672"/>
      <c r="AV69" s="672"/>
      <c r="AW69" s="672"/>
      <c r="AX69" s="672"/>
      <c r="AY69" s="672"/>
      <c r="AZ69" s="672"/>
      <c r="BA69" s="672"/>
      <c r="BB69" s="672"/>
      <c r="BC69" s="672"/>
      <c r="BD69" s="672"/>
      <c r="BE69" s="672"/>
      <c r="BF69" s="672"/>
      <c r="BG69" s="672"/>
      <c r="BH69" s="672"/>
      <c r="BI69" s="672"/>
      <c r="BJ69" s="672"/>
      <c r="BK69" s="672"/>
      <c r="BL69" s="672"/>
      <c r="BM69" s="672"/>
      <c r="BN69" s="672"/>
      <c r="BO69" s="672"/>
      <c r="BP69" s="672"/>
      <c r="BQ69" s="672"/>
      <c r="BR69" s="672"/>
    </row>
    <row r="70" spans="1:70" s="682" customFormat="1" ht="30.75" customHeight="1" x14ac:dyDescent="0.2">
      <c r="A70" s="769">
        <v>1</v>
      </c>
      <c r="B70" s="852"/>
      <c r="C70" s="922"/>
      <c r="D70" s="923"/>
      <c r="E70" s="914"/>
      <c r="F70" s="923"/>
      <c r="G70" s="914"/>
      <c r="H70" s="915"/>
      <c r="I70" s="915"/>
      <c r="J70" s="915"/>
      <c r="K70" s="930"/>
      <c r="L70" s="931"/>
      <c r="M70" s="798" t="str">
        <f t="shared" ref="M70:M79" si="19">IF(AND(C70="",E70="",K70=""),"", IF(K70="", "Check data inputs", IF(OR(AND(C70="metering", ISNA(MATCH(E70, Metering, 0))), AND(C70="monitoring", ISNA(MATCH(E70, Monitoring, 0)))), "Check work type", "OK")))</f>
        <v/>
      </c>
      <c r="N70" s="756"/>
      <c r="O70" s="757"/>
      <c r="P70" s="758"/>
      <c r="Q70" s="759"/>
      <c r="R70" s="760"/>
      <c r="S70" s="761"/>
      <c r="T70" s="762"/>
      <c r="U70" s="762"/>
      <c r="V70" s="763"/>
      <c r="W70" s="6"/>
      <c r="X70" s="23"/>
      <c r="Y70" s="23"/>
      <c r="Z70" s="23"/>
      <c r="AA70" s="23"/>
      <c r="AB70" s="23"/>
      <c r="AC70" s="23"/>
      <c r="AD70" s="23"/>
      <c r="AE70" s="23"/>
      <c r="AF70" s="23"/>
      <c r="AG70" s="24"/>
      <c r="AH70" s="24"/>
      <c r="AI70" s="24"/>
      <c r="AJ70" s="24"/>
      <c r="AK70" s="24"/>
      <c r="AL70" s="24"/>
      <c r="AM70" s="24"/>
      <c r="AN70" s="24"/>
      <c r="AO70" s="24"/>
      <c r="AP70" s="24"/>
      <c r="AQ70" s="24"/>
      <c r="AR70" s="672"/>
      <c r="AS70" s="672"/>
      <c r="AT70" s="672"/>
      <c r="AU70" s="672"/>
      <c r="AV70" s="672"/>
      <c r="AW70" s="672"/>
      <c r="AX70" s="672"/>
      <c r="AY70" s="672"/>
      <c r="AZ70" s="672"/>
      <c r="BA70" s="672"/>
      <c r="BB70" s="672"/>
      <c r="BC70" s="672"/>
      <c r="BD70" s="672"/>
      <c r="BE70" s="672"/>
      <c r="BF70" s="672"/>
      <c r="BG70" s="672"/>
      <c r="BH70" s="672"/>
      <c r="BI70" s="672"/>
      <c r="BJ70" s="672"/>
      <c r="BK70" s="672"/>
      <c r="BL70" s="672"/>
      <c r="BM70" s="672"/>
      <c r="BN70" s="672"/>
      <c r="BO70" s="672"/>
      <c r="BP70" s="672"/>
      <c r="BQ70" s="672"/>
      <c r="BR70" s="672"/>
    </row>
    <row r="71" spans="1:70" s="682" customFormat="1" ht="30.75" customHeight="1" x14ac:dyDescent="0.2">
      <c r="A71" s="770">
        <v>2</v>
      </c>
      <c r="B71" s="852"/>
      <c r="C71" s="920"/>
      <c r="D71" s="921"/>
      <c r="E71" s="916"/>
      <c r="F71" s="921"/>
      <c r="G71" s="916"/>
      <c r="H71" s="917"/>
      <c r="I71" s="917"/>
      <c r="J71" s="917"/>
      <c r="K71" s="924"/>
      <c r="L71" s="925"/>
      <c r="M71" s="799" t="str">
        <f t="shared" si="19"/>
        <v/>
      </c>
      <c r="N71" s="756"/>
      <c r="O71" s="757"/>
      <c r="P71" s="758"/>
      <c r="Q71" s="759"/>
      <c r="R71" s="760"/>
      <c r="S71" s="761"/>
      <c r="T71" s="762"/>
      <c r="U71" s="762"/>
      <c r="V71" s="763"/>
      <c r="W71" s="6"/>
      <c r="X71" s="23"/>
      <c r="Y71" s="23"/>
      <c r="Z71" s="23"/>
      <c r="AA71" s="23"/>
      <c r="AB71" s="23"/>
      <c r="AC71" s="23"/>
      <c r="AD71" s="23"/>
      <c r="AE71" s="23"/>
      <c r="AF71" s="23"/>
      <c r="AG71" s="24"/>
      <c r="AH71" s="24"/>
      <c r="AI71" s="24"/>
      <c r="AJ71" s="24"/>
      <c r="AK71" s="24"/>
      <c r="AL71" s="24"/>
      <c r="AM71" s="24"/>
      <c r="AN71" s="24"/>
      <c r="AO71" s="24"/>
      <c r="AP71" s="24"/>
      <c r="AQ71" s="24"/>
      <c r="AR71" s="672"/>
      <c r="AS71" s="672"/>
      <c r="AT71" s="672"/>
      <c r="AU71" s="672"/>
      <c r="AV71" s="672"/>
      <c r="AW71" s="672"/>
      <c r="AX71" s="672"/>
      <c r="AY71" s="672"/>
      <c r="AZ71" s="672"/>
      <c r="BA71" s="672"/>
      <c r="BB71" s="672"/>
      <c r="BC71" s="672"/>
      <c r="BD71" s="672"/>
      <c r="BE71" s="672"/>
      <c r="BF71" s="672"/>
      <c r="BG71" s="672"/>
      <c r="BH71" s="672"/>
      <c r="BI71" s="672"/>
      <c r="BJ71" s="672"/>
      <c r="BK71" s="672"/>
      <c r="BL71" s="672"/>
      <c r="BM71" s="672"/>
      <c r="BN71" s="672"/>
      <c r="BO71" s="672"/>
      <c r="BP71" s="672"/>
      <c r="BQ71" s="672"/>
      <c r="BR71" s="672"/>
    </row>
    <row r="72" spans="1:70" s="682" customFormat="1" ht="30.75" customHeight="1" x14ac:dyDescent="0.2">
      <c r="A72" s="770">
        <v>3</v>
      </c>
      <c r="B72" s="852"/>
      <c r="C72" s="920"/>
      <c r="D72" s="921"/>
      <c r="E72" s="916"/>
      <c r="F72" s="921"/>
      <c r="G72" s="916"/>
      <c r="H72" s="917"/>
      <c r="I72" s="917"/>
      <c r="J72" s="917"/>
      <c r="K72" s="924"/>
      <c r="L72" s="925"/>
      <c r="M72" s="799" t="str">
        <f t="shared" si="19"/>
        <v/>
      </c>
      <c r="N72" s="756"/>
      <c r="O72" s="757"/>
      <c r="P72" s="758"/>
      <c r="Q72" s="759"/>
      <c r="R72" s="760"/>
      <c r="S72" s="761"/>
      <c r="T72" s="762"/>
      <c r="U72" s="762"/>
      <c r="V72" s="763"/>
      <c r="W72" s="6"/>
      <c r="X72" s="23"/>
      <c r="Y72" s="23"/>
      <c r="Z72" s="23"/>
      <c r="AA72" s="23"/>
      <c r="AB72" s="23"/>
      <c r="AC72" s="23"/>
      <c r="AD72" s="23"/>
      <c r="AE72" s="23"/>
      <c r="AF72" s="23"/>
      <c r="AG72" s="24"/>
      <c r="AH72" s="24"/>
      <c r="AI72" s="24"/>
      <c r="AJ72" s="24"/>
      <c r="AK72" s="24"/>
      <c r="AL72" s="24"/>
      <c r="AM72" s="24"/>
      <c r="AN72" s="24"/>
      <c r="AO72" s="24"/>
      <c r="AP72" s="24"/>
      <c r="AQ72" s="24"/>
      <c r="AR72" s="672"/>
      <c r="AS72" s="672"/>
      <c r="AT72" s="672"/>
      <c r="AU72" s="672"/>
      <c r="AV72" s="672"/>
      <c r="AW72" s="672"/>
      <c r="AX72" s="672"/>
      <c r="AY72" s="672"/>
      <c r="AZ72" s="672"/>
      <c r="BA72" s="672"/>
      <c r="BB72" s="672"/>
      <c r="BC72" s="672"/>
      <c r="BD72" s="672"/>
      <c r="BE72" s="672"/>
      <c r="BF72" s="672"/>
      <c r="BG72" s="672"/>
      <c r="BH72" s="672"/>
      <c r="BI72" s="672"/>
      <c r="BJ72" s="672"/>
      <c r="BK72" s="672"/>
      <c r="BL72" s="672"/>
      <c r="BM72" s="672"/>
      <c r="BN72" s="672"/>
      <c r="BO72" s="672"/>
      <c r="BP72" s="672"/>
      <c r="BQ72" s="672"/>
      <c r="BR72" s="672"/>
    </row>
    <row r="73" spans="1:70" s="682" customFormat="1" ht="30.75" customHeight="1" x14ac:dyDescent="0.2">
      <c r="A73" s="770">
        <v>4</v>
      </c>
      <c r="B73" s="852"/>
      <c r="C73" s="920"/>
      <c r="D73" s="921"/>
      <c r="E73" s="916"/>
      <c r="F73" s="921"/>
      <c r="G73" s="916"/>
      <c r="H73" s="917"/>
      <c r="I73" s="917"/>
      <c r="J73" s="917"/>
      <c r="K73" s="924"/>
      <c r="L73" s="925"/>
      <c r="M73" s="799" t="str">
        <f t="shared" si="19"/>
        <v/>
      </c>
      <c r="N73" s="756"/>
      <c r="O73" s="757"/>
      <c r="P73" s="758"/>
      <c r="Q73" s="759"/>
      <c r="R73" s="760"/>
      <c r="S73" s="761"/>
      <c r="T73" s="762"/>
      <c r="U73" s="762"/>
      <c r="V73" s="763"/>
      <c r="W73" s="6"/>
      <c r="X73" s="23"/>
      <c r="Y73" s="23"/>
      <c r="Z73" s="23"/>
      <c r="AA73" s="23"/>
      <c r="AB73" s="23"/>
      <c r="AC73" s="23"/>
      <c r="AD73" s="23"/>
      <c r="AE73" s="23"/>
      <c r="AF73" s="23"/>
      <c r="AG73" s="24"/>
      <c r="AH73" s="24"/>
      <c r="AI73" s="24"/>
      <c r="AJ73" s="24"/>
      <c r="AK73" s="24"/>
      <c r="AL73" s="24"/>
      <c r="AM73" s="24"/>
      <c r="AN73" s="24"/>
      <c r="AO73" s="24"/>
      <c r="AP73" s="24"/>
      <c r="AQ73" s="24"/>
      <c r="AR73" s="672"/>
      <c r="AS73" s="672"/>
      <c r="AT73" s="672"/>
      <c r="AU73" s="672"/>
      <c r="AV73" s="672"/>
      <c r="AW73" s="672"/>
      <c r="AX73" s="672"/>
      <c r="AY73" s="672"/>
      <c r="AZ73" s="672"/>
      <c r="BA73" s="672"/>
      <c r="BB73" s="672"/>
      <c r="BC73" s="672"/>
      <c r="BD73" s="672"/>
      <c r="BE73" s="672"/>
      <c r="BF73" s="672"/>
      <c r="BG73" s="672"/>
      <c r="BH73" s="672"/>
      <c r="BI73" s="672"/>
      <c r="BJ73" s="672"/>
      <c r="BK73" s="672"/>
      <c r="BL73" s="672"/>
      <c r="BM73" s="672"/>
      <c r="BN73" s="672"/>
      <c r="BO73" s="672"/>
      <c r="BP73" s="672"/>
      <c r="BQ73" s="672"/>
      <c r="BR73" s="672"/>
    </row>
    <row r="74" spans="1:70" s="682" customFormat="1" ht="30.75" customHeight="1" x14ac:dyDescent="0.2">
      <c r="A74" s="770">
        <v>5</v>
      </c>
      <c r="B74" s="852"/>
      <c r="C74" s="920"/>
      <c r="D74" s="921"/>
      <c r="E74" s="916"/>
      <c r="F74" s="921"/>
      <c r="G74" s="916"/>
      <c r="H74" s="917"/>
      <c r="I74" s="917"/>
      <c r="J74" s="917"/>
      <c r="K74" s="924"/>
      <c r="L74" s="925"/>
      <c r="M74" s="799" t="str">
        <f t="shared" si="19"/>
        <v/>
      </c>
      <c r="N74" s="756"/>
      <c r="O74" s="757"/>
      <c r="P74" s="758"/>
      <c r="Q74" s="759"/>
      <c r="R74" s="760"/>
      <c r="S74" s="761"/>
      <c r="T74" s="762"/>
      <c r="U74" s="762"/>
      <c r="V74" s="763"/>
      <c r="W74" s="6"/>
      <c r="X74" s="23"/>
      <c r="Y74" s="23"/>
      <c r="Z74" s="23"/>
      <c r="AA74" s="23"/>
      <c r="AB74" s="23"/>
      <c r="AC74" s="23"/>
      <c r="AD74" s="23"/>
      <c r="AE74" s="23"/>
      <c r="AF74" s="23"/>
      <c r="AG74" s="24"/>
      <c r="AH74" s="24"/>
      <c r="AI74" s="24"/>
      <c r="AJ74" s="24"/>
      <c r="AK74" s="24"/>
      <c r="AL74" s="24"/>
      <c r="AM74" s="24"/>
      <c r="AN74" s="24"/>
      <c r="AO74" s="24"/>
      <c r="AP74" s="24"/>
      <c r="AQ74" s="24"/>
      <c r="AR74" s="672"/>
      <c r="AS74" s="672"/>
      <c r="AT74" s="672"/>
      <c r="AU74" s="672"/>
      <c r="AV74" s="672"/>
      <c r="AW74" s="672"/>
      <c r="AX74" s="672"/>
      <c r="AY74" s="672"/>
      <c r="AZ74" s="672"/>
      <c r="BA74" s="672"/>
      <c r="BB74" s="672"/>
      <c r="BC74" s="672"/>
      <c r="BD74" s="672"/>
      <c r="BE74" s="672"/>
      <c r="BF74" s="672"/>
      <c r="BG74" s="672"/>
      <c r="BH74" s="672"/>
      <c r="BI74" s="672"/>
      <c r="BJ74" s="672"/>
      <c r="BK74" s="672"/>
      <c r="BL74" s="672"/>
      <c r="BM74" s="672"/>
      <c r="BN74" s="672"/>
      <c r="BO74" s="672"/>
      <c r="BP74" s="672"/>
      <c r="BQ74" s="672"/>
      <c r="BR74" s="672"/>
    </row>
    <row r="75" spans="1:70" s="682" customFormat="1" ht="30.75" customHeight="1" x14ac:dyDescent="0.2">
      <c r="A75" s="770">
        <v>6</v>
      </c>
      <c r="B75" s="852"/>
      <c r="C75" s="920"/>
      <c r="D75" s="921"/>
      <c r="E75" s="916"/>
      <c r="F75" s="921"/>
      <c r="G75" s="916"/>
      <c r="H75" s="917"/>
      <c r="I75" s="917"/>
      <c r="J75" s="917"/>
      <c r="K75" s="924"/>
      <c r="L75" s="925"/>
      <c r="M75" s="799" t="str">
        <f t="shared" si="19"/>
        <v/>
      </c>
      <c r="N75" s="756"/>
      <c r="O75" s="757"/>
      <c r="P75" s="758"/>
      <c r="Q75" s="759"/>
      <c r="R75" s="760"/>
      <c r="S75" s="761"/>
      <c r="T75" s="762"/>
      <c r="U75" s="762"/>
      <c r="V75" s="763"/>
      <c r="W75" s="6"/>
      <c r="X75" s="23"/>
      <c r="Y75" s="23"/>
      <c r="Z75" s="23"/>
      <c r="AA75" s="23"/>
      <c r="AB75" s="23"/>
      <c r="AC75" s="23"/>
      <c r="AD75" s="23"/>
      <c r="AE75" s="23"/>
      <c r="AF75" s="23"/>
      <c r="AG75" s="24"/>
      <c r="AH75" s="24"/>
      <c r="AI75" s="24"/>
      <c r="AJ75" s="24"/>
      <c r="AK75" s="24"/>
      <c r="AL75" s="24"/>
      <c r="AM75" s="24"/>
      <c r="AN75" s="24"/>
      <c r="AO75" s="24"/>
      <c r="AP75" s="24"/>
      <c r="AQ75" s="24"/>
      <c r="AR75" s="672"/>
      <c r="AS75" s="672"/>
      <c r="AT75" s="672"/>
      <c r="AU75" s="672"/>
      <c r="AV75" s="672"/>
      <c r="AW75" s="672"/>
      <c r="AX75" s="672"/>
      <c r="AY75" s="672"/>
      <c r="AZ75" s="672"/>
      <c r="BA75" s="672"/>
      <c r="BB75" s="672"/>
      <c r="BC75" s="672"/>
      <c r="BD75" s="672"/>
      <c r="BE75" s="672"/>
      <c r="BF75" s="672"/>
      <c r="BG75" s="672"/>
      <c r="BH75" s="672"/>
      <c r="BI75" s="672"/>
      <c r="BJ75" s="672"/>
      <c r="BK75" s="672"/>
      <c r="BL75" s="672"/>
      <c r="BM75" s="672"/>
      <c r="BN75" s="672"/>
      <c r="BO75" s="672"/>
      <c r="BP75" s="672"/>
      <c r="BQ75" s="672"/>
      <c r="BR75" s="672"/>
    </row>
    <row r="76" spans="1:70" s="682" customFormat="1" ht="30.75" customHeight="1" x14ac:dyDescent="0.2">
      <c r="A76" s="770">
        <v>7</v>
      </c>
      <c r="B76" s="852"/>
      <c r="C76" s="920"/>
      <c r="D76" s="921"/>
      <c r="E76" s="916"/>
      <c r="F76" s="921"/>
      <c r="G76" s="916"/>
      <c r="H76" s="917"/>
      <c r="I76" s="917"/>
      <c r="J76" s="917"/>
      <c r="K76" s="924"/>
      <c r="L76" s="925"/>
      <c r="M76" s="799" t="str">
        <f t="shared" si="19"/>
        <v/>
      </c>
      <c r="N76" s="756"/>
      <c r="O76" s="757"/>
      <c r="P76" s="758"/>
      <c r="Q76" s="759"/>
      <c r="R76" s="760"/>
      <c r="S76" s="761"/>
      <c r="T76" s="762"/>
      <c r="U76" s="762"/>
      <c r="V76" s="763"/>
      <c r="W76" s="6"/>
      <c r="X76" s="23"/>
      <c r="Y76" s="23"/>
      <c r="Z76" s="23"/>
      <c r="AA76" s="23"/>
      <c r="AB76" s="23"/>
      <c r="AC76" s="23"/>
      <c r="AD76" s="23"/>
      <c r="AE76" s="23"/>
      <c r="AF76" s="23"/>
      <c r="AG76" s="24"/>
      <c r="AH76" s="24"/>
      <c r="AI76" s="24"/>
      <c r="AJ76" s="24"/>
      <c r="AK76" s="24"/>
      <c r="AL76" s="24"/>
      <c r="AM76" s="24"/>
      <c r="AN76" s="24"/>
      <c r="AO76" s="24"/>
      <c r="AP76" s="24"/>
      <c r="AQ76" s="24"/>
      <c r="AR76" s="672"/>
      <c r="AS76" s="672"/>
      <c r="AT76" s="672"/>
      <c r="AU76" s="672"/>
      <c r="AV76" s="672"/>
      <c r="AW76" s="672"/>
      <c r="AX76" s="672"/>
      <c r="AY76" s="672"/>
      <c r="AZ76" s="672"/>
      <c r="BA76" s="672"/>
      <c r="BB76" s="672"/>
      <c r="BC76" s="672"/>
      <c r="BD76" s="672"/>
      <c r="BE76" s="672"/>
      <c r="BF76" s="672"/>
      <c r="BG76" s="672"/>
      <c r="BH76" s="672"/>
      <c r="BI76" s="672"/>
      <c r="BJ76" s="672"/>
      <c r="BK76" s="672"/>
      <c r="BL76" s="672"/>
      <c r="BM76" s="672"/>
      <c r="BN76" s="672"/>
      <c r="BO76" s="672"/>
      <c r="BP76" s="672"/>
      <c r="BQ76" s="672"/>
      <c r="BR76" s="672"/>
    </row>
    <row r="77" spans="1:70" s="682" customFormat="1" ht="30.75" customHeight="1" x14ac:dyDescent="0.2">
      <c r="A77" s="770">
        <v>8</v>
      </c>
      <c r="B77" s="852"/>
      <c r="C77" s="920"/>
      <c r="D77" s="921"/>
      <c r="E77" s="916"/>
      <c r="F77" s="921"/>
      <c r="G77" s="916"/>
      <c r="H77" s="917"/>
      <c r="I77" s="917"/>
      <c r="J77" s="917"/>
      <c r="K77" s="924"/>
      <c r="L77" s="925"/>
      <c r="M77" s="799" t="str">
        <f t="shared" si="19"/>
        <v/>
      </c>
      <c r="N77" s="756"/>
      <c r="O77" s="757"/>
      <c r="P77" s="758"/>
      <c r="Q77" s="759"/>
      <c r="R77" s="760"/>
      <c r="S77" s="761"/>
      <c r="T77" s="762"/>
      <c r="U77" s="762"/>
      <c r="V77" s="763"/>
      <c r="W77" s="6"/>
      <c r="X77" s="23"/>
      <c r="Y77" s="23"/>
      <c r="Z77" s="23"/>
      <c r="AA77" s="23"/>
      <c r="AB77" s="23"/>
      <c r="AC77" s="23"/>
      <c r="AD77" s="23"/>
      <c r="AE77" s="23"/>
      <c r="AF77" s="23"/>
      <c r="AG77" s="24"/>
      <c r="AH77" s="24"/>
      <c r="AI77" s="24"/>
      <c r="AJ77" s="24"/>
      <c r="AK77" s="24"/>
      <c r="AL77" s="24"/>
      <c r="AM77" s="24"/>
      <c r="AN77" s="24"/>
      <c r="AO77" s="24"/>
      <c r="AP77" s="24"/>
      <c r="AQ77" s="24"/>
      <c r="AR77" s="672"/>
      <c r="AS77" s="672"/>
      <c r="AT77" s="672"/>
      <c r="AU77" s="672"/>
      <c r="AV77" s="672"/>
      <c r="AW77" s="672"/>
      <c r="AX77" s="672"/>
      <c r="AY77" s="672"/>
      <c r="AZ77" s="672"/>
      <c r="BA77" s="672"/>
      <c r="BB77" s="672"/>
      <c r="BC77" s="672"/>
      <c r="BD77" s="672"/>
      <c r="BE77" s="672"/>
      <c r="BF77" s="672"/>
      <c r="BG77" s="672"/>
      <c r="BH77" s="672"/>
      <c r="BI77" s="672"/>
      <c r="BJ77" s="672"/>
      <c r="BK77" s="672"/>
      <c r="BL77" s="672"/>
      <c r="BM77" s="672"/>
      <c r="BN77" s="672"/>
      <c r="BO77" s="672"/>
      <c r="BP77" s="672"/>
      <c r="BQ77" s="672"/>
      <c r="BR77" s="672"/>
    </row>
    <row r="78" spans="1:70" s="682" customFormat="1" ht="30.75" customHeight="1" x14ac:dyDescent="0.2">
      <c r="A78" s="770">
        <v>9</v>
      </c>
      <c r="B78" s="852"/>
      <c r="C78" s="920"/>
      <c r="D78" s="921"/>
      <c r="E78" s="916"/>
      <c r="F78" s="921"/>
      <c r="G78" s="916"/>
      <c r="H78" s="917"/>
      <c r="I78" s="917"/>
      <c r="J78" s="917"/>
      <c r="K78" s="924"/>
      <c r="L78" s="925"/>
      <c r="M78" s="799" t="str">
        <f t="shared" si="19"/>
        <v/>
      </c>
      <c r="N78" s="756"/>
      <c r="O78" s="757"/>
      <c r="P78" s="758"/>
      <c r="Q78" s="759"/>
      <c r="R78" s="760"/>
      <c r="S78" s="761"/>
      <c r="T78" s="762"/>
      <c r="U78" s="762"/>
      <c r="V78" s="763"/>
      <c r="W78" s="6"/>
      <c r="X78" s="23"/>
      <c r="Y78" s="23"/>
      <c r="Z78" s="23"/>
      <c r="AA78" s="23"/>
      <c r="AB78" s="23"/>
      <c r="AC78" s="23"/>
      <c r="AD78" s="23"/>
      <c r="AE78" s="23"/>
      <c r="AF78" s="23"/>
      <c r="AG78" s="24"/>
      <c r="AH78" s="24"/>
      <c r="AI78" s="24"/>
      <c r="AJ78" s="24"/>
      <c r="AK78" s="24"/>
      <c r="AL78" s="24"/>
      <c r="AM78" s="24"/>
      <c r="AN78" s="24"/>
      <c r="AO78" s="24"/>
      <c r="AP78" s="24"/>
      <c r="AQ78" s="24"/>
      <c r="AR78" s="672"/>
      <c r="AS78" s="672"/>
      <c r="AT78" s="672"/>
      <c r="AU78" s="672"/>
      <c r="AV78" s="672"/>
      <c r="AW78" s="672"/>
      <c r="AX78" s="672"/>
      <c r="AY78" s="672"/>
      <c r="AZ78" s="672"/>
      <c r="BA78" s="672"/>
      <c r="BB78" s="672"/>
      <c r="BC78" s="672"/>
      <c r="BD78" s="672"/>
      <c r="BE78" s="672"/>
      <c r="BF78" s="672"/>
      <c r="BG78" s="672"/>
      <c r="BH78" s="672"/>
      <c r="BI78" s="672"/>
      <c r="BJ78" s="672"/>
      <c r="BK78" s="672"/>
      <c r="BL78" s="672"/>
      <c r="BM78" s="672"/>
      <c r="BN78" s="672"/>
      <c r="BO78" s="672"/>
      <c r="BP78" s="672"/>
      <c r="BQ78" s="672"/>
      <c r="BR78" s="672"/>
    </row>
    <row r="79" spans="1:70" s="682" customFormat="1" ht="30.75" customHeight="1" thickBot="1" x14ac:dyDescent="0.25">
      <c r="A79" s="770">
        <v>10</v>
      </c>
      <c r="B79" s="852"/>
      <c r="C79" s="926"/>
      <c r="D79" s="927"/>
      <c r="E79" s="918"/>
      <c r="F79" s="927"/>
      <c r="G79" s="918"/>
      <c r="H79" s="919"/>
      <c r="I79" s="919"/>
      <c r="J79" s="919"/>
      <c r="K79" s="928"/>
      <c r="L79" s="929"/>
      <c r="M79" s="800" t="str">
        <f t="shared" si="19"/>
        <v/>
      </c>
      <c r="N79" s="756"/>
      <c r="O79" s="757"/>
      <c r="P79" s="758"/>
      <c r="Q79" s="759"/>
      <c r="R79" s="760"/>
      <c r="S79" s="761"/>
      <c r="T79" s="762"/>
      <c r="U79" s="762"/>
      <c r="V79" s="763"/>
      <c r="W79" s="6"/>
      <c r="X79" s="23"/>
      <c r="Y79" s="23"/>
      <c r="Z79" s="23"/>
      <c r="AA79" s="23"/>
      <c r="AB79" s="23"/>
      <c r="AC79" s="23"/>
      <c r="AD79" s="23"/>
      <c r="AE79" s="23"/>
      <c r="AF79" s="23"/>
      <c r="AG79" s="24"/>
      <c r="AH79" s="24"/>
      <c r="AI79" s="24"/>
      <c r="AJ79" s="24"/>
      <c r="AK79" s="24"/>
      <c r="AL79" s="24"/>
      <c r="AM79" s="24"/>
      <c r="AN79" s="24"/>
      <c r="AO79" s="24"/>
      <c r="AP79" s="24"/>
      <c r="AQ79" s="24"/>
      <c r="AR79" s="672"/>
      <c r="AS79" s="672"/>
      <c r="AT79" s="672"/>
      <c r="AU79" s="672"/>
      <c r="AV79" s="672"/>
      <c r="AW79" s="672"/>
      <c r="AX79" s="672"/>
      <c r="AY79" s="672"/>
      <c r="AZ79" s="672"/>
      <c r="BA79" s="672"/>
      <c r="BB79" s="672"/>
      <c r="BC79" s="672"/>
      <c r="BD79" s="672"/>
      <c r="BE79" s="672"/>
      <c r="BF79" s="672"/>
      <c r="BG79" s="672"/>
      <c r="BH79" s="672"/>
      <c r="BI79" s="672"/>
      <c r="BJ79" s="672"/>
      <c r="BK79" s="672"/>
      <c r="BL79" s="672"/>
      <c r="BM79" s="672"/>
      <c r="BN79" s="672"/>
      <c r="BO79" s="672"/>
      <c r="BP79" s="672"/>
      <c r="BQ79" s="672"/>
      <c r="BR79" s="672"/>
    </row>
    <row r="80" spans="1:70" s="682" customFormat="1" ht="30.75" customHeight="1" thickBot="1" x14ac:dyDescent="0.25">
      <c r="A80" s="910"/>
      <c r="B80" s="911"/>
      <c r="C80" s="771"/>
      <c r="D80" s="771"/>
      <c r="E80" s="771"/>
      <c r="F80" s="771"/>
      <c r="G80" s="771"/>
      <c r="H80" s="771"/>
      <c r="I80" s="771"/>
      <c r="J80" s="771"/>
      <c r="K80" s="771"/>
      <c r="L80" s="771"/>
      <c r="M80" s="797"/>
      <c r="N80" s="756"/>
      <c r="O80" s="757"/>
      <c r="P80" s="758"/>
      <c r="Q80" s="759"/>
      <c r="R80" s="760"/>
      <c r="S80" s="761"/>
      <c r="T80" s="762"/>
      <c r="U80" s="762"/>
      <c r="V80" s="763"/>
      <c r="W80" s="6"/>
      <c r="X80" s="23"/>
      <c r="Y80" s="23"/>
      <c r="Z80" s="23"/>
      <c r="AA80" s="23"/>
      <c r="AB80" s="23"/>
      <c r="AC80" s="23"/>
      <c r="AD80" s="23"/>
      <c r="AE80" s="23"/>
      <c r="AF80" s="23"/>
      <c r="AG80" s="24"/>
      <c r="AH80" s="24"/>
      <c r="AI80" s="24"/>
      <c r="AJ80" s="24"/>
      <c r="AK80" s="24"/>
      <c r="AL80" s="24"/>
      <c r="AM80" s="24"/>
      <c r="AN80" s="24"/>
      <c r="AO80" s="24"/>
      <c r="AP80" s="24"/>
      <c r="AQ80" s="24"/>
      <c r="AR80" s="672"/>
      <c r="AS80" s="672"/>
      <c r="AT80" s="672"/>
      <c r="AU80" s="672"/>
      <c r="AV80" s="672"/>
      <c r="AW80" s="672"/>
      <c r="AX80" s="672"/>
      <c r="AY80" s="672"/>
      <c r="AZ80" s="672"/>
      <c r="BA80" s="672"/>
      <c r="BB80" s="672"/>
      <c r="BC80" s="672"/>
      <c r="BD80" s="672"/>
      <c r="BE80" s="672"/>
      <c r="BF80" s="672"/>
      <c r="BG80" s="672"/>
      <c r="BH80" s="672"/>
      <c r="BI80" s="672"/>
      <c r="BJ80" s="672"/>
      <c r="BK80" s="672"/>
      <c r="BL80" s="672"/>
      <c r="BM80" s="672"/>
      <c r="BN80" s="672"/>
      <c r="BO80" s="672"/>
      <c r="BP80" s="672"/>
      <c r="BQ80" s="672"/>
      <c r="BR80" s="672"/>
    </row>
    <row r="81" spans="1:70" s="682" customFormat="1" ht="15" customHeight="1" thickBot="1" x14ac:dyDescent="0.25">
      <c r="A81" s="148"/>
      <c r="B81" s="320"/>
      <c r="C81" s="321"/>
      <c r="D81" s="322"/>
      <c r="E81" s="320"/>
      <c r="F81" s="320"/>
      <c r="G81" s="320"/>
      <c r="H81" s="320"/>
      <c r="I81" s="320"/>
      <c r="J81" s="320"/>
      <c r="K81" s="323"/>
      <c r="L81" s="324"/>
      <c r="M81" s="142"/>
      <c r="N81" s="142"/>
      <c r="O81" s="143"/>
      <c r="P81" s="144"/>
      <c r="Q81" s="145"/>
      <c r="R81" s="146"/>
      <c r="S81" s="145"/>
      <c r="T81" s="147"/>
      <c r="U81" s="328"/>
      <c r="V81" s="328"/>
      <c r="W81" s="6"/>
      <c r="X81" s="23"/>
      <c r="Y81" s="23"/>
      <c r="Z81" s="23"/>
      <c r="AA81" s="23"/>
      <c r="AB81" s="23"/>
      <c r="AC81" s="23"/>
      <c r="AD81" s="23"/>
      <c r="AE81" s="23"/>
      <c r="AF81" s="23"/>
      <c r="AG81" s="6"/>
      <c r="AH81" s="6"/>
      <c r="AI81" s="6"/>
      <c r="AJ81" s="6"/>
      <c r="AK81" s="6"/>
      <c r="AL81" s="6"/>
      <c r="AM81" s="6"/>
      <c r="AN81" s="6"/>
      <c r="AO81" s="6"/>
      <c r="AP81" s="6"/>
      <c r="AQ81" s="6"/>
      <c r="AR81" s="672"/>
      <c r="AS81" s="672"/>
      <c r="AT81" s="672"/>
      <c r="AU81" s="672"/>
      <c r="AV81" s="672"/>
      <c r="AW81" s="672"/>
      <c r="AX81" s="672"/>
      <c r="AY81" s="672"/>
      <c r="AZ81" s="672"/>
      <c r="BA81" s="672"/>
      <c r="BB81" s="672"/>
      <c r="BC81" s="672"/>
      <c r="BD81" s="672"/>
      <c r="BE81" s="672"/>
      <c r="BF81" s="672"/>
      <c r="BG81" s="672"/>
      <c r="BH81" s="672"/>
      <c r="BI81" s="672"/>
      <c r="BJ81" s="672"/>
      <c r="BK81" s="672"/>
      <c r="BL81" s="672"/>
      <c r="BM81" s="672"/>
      <c r="BN81" s="672"/>
      <c r="BO81" s="672"/>
      <c r="BP81" s="672"/>
      <c r="BQ81" s="672"/>
      <c r="BR81" s="672"/>
    </row>
    <row r="82" spans="1:70" s="682" customFormat="1" ht="36.75" customHeight="1" x14ac:dyDescent="0.2">
      <c r="A82" s="325"/>
      <c r="B82" s="966" t="s">
        <v>131</v>
      </c>
      <c r="C82" s="967"/>
      <c r="D82" s="967"/>
      <c r="E82" s="967"/>
      <c r="F82" s="967"/>
      <c r="G82" s="967"/>
      <c r="H82" s="967"/>
      <c r="I82" s="967"/>
      <c r="J82" s="967"/>
      <c r="K82" s="967"/>
      <c r="L82" s="967"/>
      <c r="M82" s="967"/>
      <c r="N82" s="967"/>
      <c r="O82" s="967"/>
      <c r="P82" s="967"/>
      <c r="Q82" s="967"/>
      <c r="R82" s="967"/>
      <c r="S82" s="967"/>
      <c r="T82" s="967"/>
      <c r="U82" s="967"/>
      <c r="V82" s="968"/>
      <c r="W82" s="6"/>
      <c r="X82" s="23"/>
      <c r="Y82" s="23"/>
      <c r="Z82" s="23"/>
      <c r="AA82" s="23"/>
      <c r="AB82" s="23"/>
      <c r="AC82" s="23"/>
      <c r="AD82" s="23"/>
      <c r="AE82" s="23"/>
      <c r="AF82" s="23"/>
      <c r="AG82" s="6"/>
      <c r="AH82" s="6"/>
      <c r="AI82" s="6"/>
      <c r="AJ82" s="6"/>
      <c r="AK82" s="6"/>
      <c r="AL82" s="6"/>
      <c r="AM82" s="6"/>
      <c r="AN82" s="6"/>
      <c r="AO82" s="6"/>
      <c r="AP82" s="6"/>
      <c r="AQ82" s="6"/>
      <c r="AR82" s="672"/>
      <c r="AS82" s="672"/>
      <c r="AT82" s="672"/>
      <c r="AU82" s="672"/>
      <c r="AV82" s="672"/>
      <c r="AW82" s="672"/>
      <c r="AX82" s="672"/>
      <c r="AY82" s="672"/>
      <c r="AZ82" s="672"/>
      <c r="BA82" s="672"/>
      <c r="BB82" s="672"/>
      <c r="BC82" s="672"/>
      <c r="BD82" s="672"/>
      <c r="BE82" s="672"/>
      <c r="BF82" s="672"/>
      <c r="BG82" s="672"/>
      <c r="BH82" s="672"/>
      <c r="BI82" s="672"/>
      <c r="BJ82" s="672"/>
      <c r="BK82" s="672"/>
      <c r="BL82" s="672"/>
      <c r="BM82" s="672"/>
      <c r="BN82" s="672"/>
      <c r="BO82" s="672"/>
      <c r="BP82" s="672"/>
      <c r="BQ82" s="672"/>
      <c r="BR82" s="672"/>
    </row>
    <row r="83" spans="1:70" s="682" customFormat="1" ht="21" customHeight="1" x14ac:dyDescent="0.2">
      <c r="A83" s="325"/>
      <c r="B83" s="973" t="s">
        <v>132</v>
      </c>
      <c r="C83" s="974"/>
      <c r="D83" s="974"/>
      <c r="E83" s="974"/>
      <c r="F83" s="974"/>
      <c r="G83" s="974"/>
      <c r="H83" s="974"/>
      <c r="I83" s="974"/>
      <c r="J83" s="974"/>
      <c r="K83" s="974"/>
      <c r="L83" s="974"/>
      <c r="M83" s="974"/>
      <c r="N83" s="974"/>
      <c r="O83" s="974"/>
      <c r="P83" s="974"/>
      <c r="Q83" s="974"/>
      <c r="R83" s="974"/>
      <c r="S83" s="974"/>
      <c r="T83" s="974"/>
      <c r="U83" s="974"/>
      <c r="V83" s="975"/>
      <c r="W83" s="6"/>
      <c r="X83" s="23"/>
      <c r="Y83" s="23"/>
      <c r="Z83" s="23"/>
      <c r="AA83" s="23"/>
      <c r="AB83" s="23"/>
      <c r="AC83" s="23"/>
      <c r="AD83" s="23"/>
      <c r="AE83" s="23"/>
      <c r="AF83" s="23"/>
      <c r="AG83" s="6"/>
      <c r="AH83" s="6"/>
      <c r="AI83" s="6"/>
      <c r="AJ83" s="6"/>
      <c r="AK83" s="6"/>
      <c r="AL83" s="6"/>
      <c r="AM83" s="6"/>
      <c r="AN83" s="6"/>
      <c r="AO83" s="6"/>
      <c r="AP83" s="6"/>
      <c r="AQ83" s="6"/>
      <c r="AR83" s="672"/>
      <c r="AS83" s="672"/>
      <c r="AT83" s="672"/>
      <c r="AU83" s="672"/>
      <c r="AV83" s="672"/>
      <c r="AW83" s="672"/>
      <c r="AX83" s="672"/>
      <c r="AY83" s="672"/>
      <c r="AZ83" s="672"/>
      <c r="BA83" s="672"/>
      <c r="BB83" s="672"/>
      <c r="BC83" s="672"/>
      <c r="BD83" s="672"/>
      <c r="BE83" s="672"/>
      <c r="BF83" s="672"/>
      <c r="BG83" s="672"/>
      <c r="BH83" s="672"/>
      <c r="BI83" s="672"/>
      <c r="BJ83" s="672"/>
      <c r="BK83" s="672"/>
      <c r="BL83" s="672"/>
      <c r="BM83" s="672"/>
      <c r="BN83" s="672"/>
      <c r="BO83" s="672"/>
      <c r="BP83" s="672"/>
      <c r="BQ83" s="672"/>
      <c r="BR83" s="672"/>
    </row>
    <row r="84" spans="1:70" ht="97.5" customHeight="1" thickBot="1" x14ac:dyDescent="0.25">
      <c r="A84" s="325"/>
      <c r="B84" s="969" t="s">
        <v>133</v>
      </c>
      <c r="C84" s="970"/>
      <c r="D84" s="970"/>
      <c r="E84" s="970"/>
      <c r="F84" s="970"/>
      <c r="G84" s="970"/>
      <c r="H84" s="970"/>
      <c r="I84" s="970"/>
      <c r="J84" s="970"/>
      <c r="K84" s="970"/>
      <c r="L84" s="970"/>
      <c r="M84" s="970"/>
      <c r="N84" s="970"/>
      <c r="O84" s="970"/>
      <c r="P84" s="970"/>
      <c r="Q84" s="970"/>
      <c r="R84" s="970"/>
      <c r="S84" s="970"/>
      <c r="T84" s="970"/>
      <c r="U84" s="970"/>
      <c r="V84" s="971"/>
      <c r="W84" s="11"/>
      <c r="X84" s="23"/>
      <c r="Y84" s="23"/>
      <c r="Z84" s="23"/>
      <c r="AA84" s="23"/>
      <c r="AB84" s="23"/>
      <c r="AC84" s="23"/>
      <c r="AD84" s="23"/>
      <c r="AE84" s="23"/>
      <c r="AF84" s="23"/>
      <c r="AG84" s="23"/>
      <c r="AH84" s="23"/>
      <c r="AI84" s="23"/>
      <c r="AJ84" s="23"/>
      <c r="AK84" s="23"/>
      <c r="AL84" s="23"/>
      <c r="AM84" s="23"/>
      <c r="AN84" s="23"/>
      <c r="AO84" s="23"/>
      <c r="AP84" s="23"/>
      <c r="AQ84" s="23"/>
    </row>
    <row r="85" spans="1:70" x14ac:dyDescent="0.2">
      <c r="A85" s="326"/>
      <c r="B85" s="327"/>
      <c r="C85" s="327"/>
      <c r="D85" s="327"/>
      <c r="E85" s="327"/>
      <c r="F85" s="327"/>
      <c r="G85" s="327"/>
      <c r="H85" s="327"/>
      <c r="I85" s="327"/>
      <c r="J85" s="327"/>
      <c r="K85" s="327"/>
      <c r="L85" s="327"/>
      <c r="M85" s="327"/>
      <c r="N85" s="327"/>
      <c r="O85" s="327"/>
      <c r="P85" s="327"/>
      <c r="Q85" s="327"/>
      <c r="R85" s="327"/>
      <c r="S85" s="327"/>
      <c r="T85" s="327"/>
      <c r="U85" s="327"/>
      <c r="V85" s="683"/>
      <c r="W85" s="11"/>
      <c r="X85" s="23"/>
      <c r="Y85" s="23"/>
      <c r="Z85" s="23"/>
      <c r="AA85" s="23"/>
      <c r="AB85" s="23"/>
      <c r="AC85" s="23"/>
      <c r="AD85" s="23"/>
      <c r="AE85" s="23"/>
      <c r="AF85" s="23"/>
      <c r="AG85" s="23"/>
      <c r="AH85" s="23"/>
      <c r="AI85" s="23"/>
      <c r="AJ85" s="23"/>
      <c r="AK85" s="23"/>
      <c r="AL85" s="23"/>
      <c r="AM85" s="23"/>
      <c r="AN85" s="23"/>
      <c r="AO85" s="23"/>
      <c r="AP85" s="23"/>
      <c r="AQ85" s="23"/>
    </row>
    <row r="86" spans="1:70" ht="15" customHeight="1" x14ac:dyDescent="0.2">
      <c r="A86" s="972"/>
      <c r="B86" s="972"/>
      <c r="C86" s="972"/>
      <c r="D86" s="972"/>
      <c r="E86" s="972"/>
      <c r="F86" s="972"/>
      <c r="G86" s="972"/>
      <c r="H86" s="972"/>
      <c r="I86" s="972"/>
      <c r="J86" s="972"/>
      <c r="K86" s="972"/>
      <c r="L86" s="972"/>
      <c r="M86" s="972"/>
      <c r="N86" s="972"/>
      <c r="O86" s="972"/>
      <c r="P86" s="972"/>
      <c r="Q86" s="972"/>
      <c r="R86" s="972"/>
      <c r="S86" s="972"/>
      <c r="T86" s="972"/>
      <c r="U86" s="972"/>
      <c r="V86" s="972"/>
      <c r="W86" s="11"/>
      <c r="X86" s="23"/>
      <c r="Y86" s="23"/>
      <c r="Z86" s="23"/>
      <c r="AA86" s="23"/>
      <c r="AB86" s="23"/>
      <c r="AC86" s="23"/>
      <c r="AD86" s="23"/>
      <c r="AE86" s="23"/>
      <c r="AF86" s="23"/>
      <c r="AG86" s="23"/>
      <c r="AH86" s="23"/>
      <c r="AI86" s="23"/>
      <c r="AJ86" s="23"/>
      <c r="AK86" s="23"/>
      <c r="AL86" s="23"/>
      <c r="AM86" s="23"/>
      <c r="AN86" s="23"/>
      <c r="AO86" s="23"/>
      <c r="AP86" s="23"/>
      <c r="AQ86" s="23"/>
    </row>
    <row r="87" spans="1:70" x14ac:dyDescent="0.2">
      <c r="A87" s="108"/>
      <c r="B87" s="109"/>
      <c r="C87" s="109"/>
      <c r="D87" s="110"/>
      <c r="E87" s="111"/>
      <c r="F87" s="111"/>
      <c r="G87" s="111"/>
      <c r="H87" s="112"/>
      <c r="I87" s="112"/>
      <c r="J87" s="112"/>
      <c r="K87" s="113"/>
      <c r="L87" s="113"/>
      <c r="M87" s="114"/>
      <c r="N87" s="114"/>
      <c r="O87" s="93"/>
      <c r="P87" s="93"/>
      <c r="Q87" s="93"/>
      <c r="R87" s="108"/>
      <c r="S87" s="93"/>
      <c r="T87" s="93"/>
      <c r="U87" s="93"/>
      <c r="V87" s="93"/>
      <c r="W87" s="11"/>
      <c r="X87" s="23"/>
      <c r="Y87" s="23"/>
      <c r="Z87" s="23"/>
      <c r="AA87" s="23"/>
      <c r="AB87" s="23"/>
      <c r="AC87" s="23"/>
      <c r="AD87" s="23"/>
      <c r="AE87" s="23"/>
      <c r="AF87" s="23"/>
      <c r="AG87" s="23"/>
      <c r="AH87" s="23"/>
      <c r="AI87" s="23"/>
      <c r="AJ87" s="23"/>
      <c r="AK87" s="23"/>
      <c r="AL87" s="23"/>
      <c r="AM87" s="23"/>
      <c r="AN87" s="23"/>
      <c r="AO87" s="23"/>
      <c r="AP87" s="23"/>
      <c r="AQ87" s="23"/>
    </row>
    <row r="88" spans="1:70" ht="30.75" customHeight="1" x14ac:dyDescent="0.2">
      <c r="A88" s="664"/>
      <c r="B88" s="665"/>
      <c r="C88" s="665"/>
      <c r="D88" s="666"/>
      <c r="E88" s="667"/>
      <c r="F88" s="667"/>
      <c r="G88" s="667"/>
      <c r="H88" s="668"/>
      <c r="I88" s="668"/>
      <c r="J88" s="668"/>
      <c r="K88" s="669"/>
      <c r="L88" s="669"/>
      <c r="M88" s="670"/>
      <c r="N88" s="670"/>
      <c r="O88" s="671"/>
      <c r="P88" s="671"/>
      <c r="Q88" s="671"/>
      <c r="R88" s="664"/>
      <c r="S88" s="671"/>
      <c r="T88" s="671"/>
      <c r="U88" s="671"/>
      <c r="V88" s="671"/>
    </row>
    <row r="89" spans="1:70" x14ac:dyDescent="0.2">
      <c r="A89" s="664"/>
      <c r="B89" s="665"/>
      <c r="C89" s="665"/>
      <c r="D89" s="666"/>
      <c r="E89" s="667"/>
      <c r="F89" s="667"/>
      <c r="G89" s="667"/>
      <c r="H89" s="668"/>
      <c r="I89" s="668"/>
      <c r="J89" s="668"/>
      <c r="K89" s="669"/>
      <c r="L89" s="669"/>
      <c r="M89" s="670"/>
      <c r="N89" s="670"/>
      <c r="O89" s="671"/>
      <c r="P89" s="671"/>
      <c r="Q89" s="671"/>
      <c r="R89" s="664"/>
      <c r="S89" s="671"/>
      <c r="T89" s="671"/>
      <c r="U89" s="671"/>
      <c r="V89" s="671"/>
    </row>
    <row r="90" spans="1:70" x14ac:dyDescent="0.2">
      <c r="A90" s="664"/>
      <c r="B90" s="665"/>
      <c r="C90" s="665"/>
      <c r="D90" s="666"/>
      <c r="E90" s="667"/>
      <c r="F90" s="667"/>
      <c r="G90" s="667"/>
      <c r="H90" s="668"/>
      <c r="I90" s="668"/>
      <c r="J90" s="668"/>
      <c r="K90" s="669"/>
      <c r="L90" s="669"/>
      <c r="M90" s="670"/>
      <c r="N90" s="670"/>
      <c r="O90" s="671"/>
      <c r="P90" s="671"/>
      <c r="Q90" s="671"/>
      <c r="R90" s="664"/>
      <c r="S90" s="671"/>
      <c r="T90" s="671"/>
      <c r="U90" s="671"/>
      <c r="V90" s="671"/>
    </row>
    <row r="91" spans="1:70" x14ac:dyDescent="0.2">
      <c r="A91" s="664"/>
      <c r="B91" s="665"/>
      <c r="C91" s="665"/>
      <c r="D91" s="666"/>
      <c r="E91" s="667"/>
      <c r="F91" s="667"/>
      <c r="G91" s="667"/>
      <c r="H91" s="668"/>
      <c r="I91" s="668"/>
      <c r="J91" s="668"/>
      <c r="K91" s="669"/>
      <c r="L91" s="669"/>
      <c r="M91" s="670"/>
      <c r="N91" s="670"/>
      <c r="O91" s="671"/>
      <c r="P91" s="671"/>
      <c r="Q91" s="671"/>
      <c r="R91" s="664"/>
      <c r="S91" s="671"/>
      <c r="T91" s="671"/>
      <c r="U91" s="671"/>
      <c r="V91" s="671"/>
    </row>
    <row r="114" spans="33:43" x14ac:dyDescent="0.2">
      <c r="AH114" s="672" t="s">
        <v>134</v>
      </c>
    </row>
    <row r="115" spans="33:43" x14ac:dyDescent="0.2">
      <c r="AG115" s="680" t="s">
        <v>135</v>
      </c>
      <c r="AH115" s="751" t="s">
        <v>136</v>
      </c>
      <c r="AI115" s="751" t="s">
        <v>137</v>
      </c>
      <c r="AJ115" s="751" t="s">
        <v>138</v>
      </c>
      <c r="AK115" s="751" t="s">
        <v>139</v>
      </c>
      <c r="AL115" s="751" t="s">
        <v>140</v>
      </c>
      <c r="AM115" s="751" t="s">
        <v>141</v>
      </c>
      <c r="AN115" s="751" t="s">
        <v>142</v>
      </c>
      <c r="AO115" s="680" t="s">
        <v>143</v>
      </c>
      <c r="AP115" s="751" t="s">
        <v>144</v>
      </c>
      <c r="AQ115" s="751" t="s">
        <v>145</v>
      </c>
    </row>
    <row r="116" spans="33:43" x14ac:dyDescent="0.2">
      <c r="AG116" s="680">
        <v>2025</v>
      </c>
      <c r="AH116" s="681">
        <f t="shared" ref="AH116:AH153" si="20">SUM(0.177+0.0183)</f>
        <v>0.1953</v>
      </c>
      <c r="AI116" s="680">
        <v>0.18296000000000001</v>
      </c>
      <c r="AJ116" s="680">
        <v>0.25650000000000001</v>
      </c>
      <c r="AK116" s="680">
        <v>0.26812999999999998</v>
      </c>
      <c r="AL116" s="680">
        <v>0.24676999999999999</v>
      </c>
      <c r="AM116" s="680">
        <v>0.34721000000000002</v>
      </c>
      <c r="AN116" s="680">
        <v>0.2145</v>
      </c>
      <c r="AO116" s="680">
        <f t="shared" ref="AO116:AO153" si="21">$B$9</f>
        <v>0</v>
      </c>
      <c r="AP116" s="680">
        <v>1.15E-2</v>
      </c>
      <c r="AQ116" s="680">
        <v>1.15E-2</v>
      </c>
    </row>
    <row r="117" spans="33:43" x14ac:dyDescent="0.2">
      <c r="AG117" s="680">
        <v>2026</v>
      </c>
      <c r="AH117" s="681">
        <f t="shared" si="20"/>
        <v>0.1953</v>
      </c>
      <c r="AI117" s="680">
        <v>0.18296000000000001</v>
      </c>
      <c r="AJ117" s="680">
        <v>0.25650000000000001</v>
      </c>
      <c r="AK117" s="680">
        <v>0.26812999999999998</v>
      </c>
      <c r="AL117" s="680">
        <v>0.24676999999999999</v>
      </c>
      <c r="AM117" s="680">
        <v>0.34721000000000002</v>
      </c>
      <c r="AN117" s="680">
        <v>0.2145</v>
      </c>
      <c r="AO117" s="680">
        <f t="shared" si="21"/>
        <v>0</v>
      </c>
      <c r="AP117" s="680">
        <v>1.15E-2</v>
      </c>
      <c r="AQ117" s="680">
        <v>1.15E-2</v>
      </c>
    </row>
    <row r="118" spans="33:43" x14ac:dyDescent="0.2">
      <c r="AG118" s="680">
        <v>2027</v>
      </c>
      <c r="AH118" s="681">
        <f t="shared" si="20"/>
        <v>0.1953</v>
      </c>
      <c r="AI118" s="680">
        <v>0.18296000000000001</v>
      </c>
      <c r="AJ118" s="680">
        <v>0.25650000000000001</v>
      </c>
      <c r="AK118" s="680">
        <v>0.26812999999999998</v>
      </c>
      <c r="AL118" s="680">
        <v>0.24676999999999999</v>
      </c>
      <c r="AM118" s="680">
        <v>0.34721000000000002</v>
      </c>
      <c r="AN118" s="680">
        <v>0.2145</v>
      </c>
      <c r="AO118" s="680">
        <f t="shared" si="21"/>
        <v>0</v>
      </c>
      <c r="AP118" s="680">
        <v>1.15E-2</v>
      </c>
      <c r="AQ118" s="680">
        <v>1.15E-2</v>
      </c>
    </row>
    <row r="119" spans="33:43" x14ac:dyDescent="0.2">
      <c r="AG119" s="680">
        <v>2028</v>
      </c>
      <c r="AH119" s="681">
        <f t="shared" si="20"/>
        <v>0.1953</v>
      </c>
      <c r="AI119" s="680">
        <v>0.18296000000000001</v>
      </c>
      <c r="AJ119" s="680">
        <v>0.25650000000000001</v>
      </c>
      <c r="AK119" s="680">
        <v>0.26812999999999998</v>
      </c>
      <c r="AL119" s="680">
        <v>0.24676999999999999</v>
      </c>
      <c r="AM119" s="680">
        <v>0.34721000000000002</v>
      </c>
      <c r="AN119" s="680">
        <v>0.2145</v>
      </c>
      <c r="AO119" s="680">
        <f t="shared" si="21"/>
        <v>0</v>
      </c>
      <c r="AP119" s="680">
        <v>1.15E-2</v>
      </c>
      <c r="AQ119" s="680">
        <v>1.15E-2</v>
      </c>
    </row>
    <row r="120" spans="33:43" x14ac:dyDescent="0.2">
      <c r="AG120" s="680">
        <v>2029</v>
      </c>
      <c r="AH120" s="681">
        <f t="shared" si="20"/>
        <v>0.1953</v>
      </c>
      <c r="AI120" s="680">
        <v>0.18296000000000001</v>
      </c>
      <c r="AJ120" s="680">
        <v>0.25650000000000001</v>
      </c>
      <c r="AK120" s="680">
        <v>0.26812999999999998</v>
      </c>
      <c r="AL120" s="680">
        <v>0.24676999999999999</v>
      </c>
      <c r="AM120" s="680">
        <v>0.34721000000000002</v>
      </c>
      <c r="AN120" s="680">
        <v>0.2145</v>
      </c>
      <c r="AO120" s="680">
        <f t="shared" si="21"/>
        <v>0</v>
      </c>
      <c r="AP120" s="680">
        <v>1.15E-2</v>
      </c>
      <c r="AQ120" s="680">
        <v>1.15E-2</v>
      </c>
    </row>
    <row r="121" spans="33:43" x14ac:dyDescent="0.2">
      <c r="AG121" s="680">
        <v>2030</v>
      </c>
      <c r="AH121" s="681">
        <f t="shared" si="20"/>
        <v>0.1953</v>
      </c>
      <c r="AI121" s="680">
        <v>0.18296000000000001</v>
      </c>
      <c r="AJ121" s="680">
        <v>0.25650000000000001</v>
      </c>
      <c r="AK121" s="680">
        <v>0.26812999999999998</v>
      </c>
      <c r="AL121" s="680">
        <v>0.24676999999999999</v>
      </c>
      <c r="AM121" s="680">
        <v>0.34721000000000002</v>
      </c>
      <c r="AN121" s="680">
        <v>0.2145</v>
      </c>
      <c r="AO121" s="680">
        <f t="shared" si="21"/>
        <v>0</v>
      </c>
      <c r="AP121" s="680">
        <v>1.15E-2</v>
      </c>
      <c r="AQ121" s="680">
        <v>1.15E-2</v>
      </c>
    </row>
    <row r="122" spans="33:43" x14ac:dyDescent="0.2">
      <c r="AG122" s="680">
        <v>2031</v>
      </c>
      <c r="AH122" s="681">
        <f t="shared" si="20"/>
        <v>0.1953</v>
      </c>
      <c r="AI122" s="680">
        <v>0.18296000000000001</v>
      </c>
      <c r="AJ122" s="680">
        <v>0.25650000000000001</v>
      </c>
      <c r="AK122" s="680">
        <v>0.26812999999999998</v>
      </c>
      <c r="AL122" s="680">
        <v>0.24676999999999999</v>
      </c>
      <c r="AM122" s="680">
        <v>0.34721000000000002</v>
      </c>
      <c r="AN122" s="680">
        <v>0.2145</v>
      </c>
      <c r="AO122" s="680">
        <f t="shared" si="21"/>
        <v>0</v>
      </c>
      <c r="AP122" s="680">
        <v>1.15E-2</v>
      </c>
      <c r="AQ122" s="680">
        <v>1.15E-2</v>
      </c>
    </row>
    <row r="123" spans="33:43" x14ac:dyDescent="0.2">
      <c r="AG123" s="680">
        <v>2032</v>
      </c>
      <c r="AH123" s="681">
        <f t="shared" si="20"/>
        <v>0.1953</v>
      </c>
      <c r="AI123" s="680">
        <v>0.18296000000000001</v>
      </c>
      <c r="AJ123" s="680">
        <v>0.25650000000000001</v>
      </c>
      <c r="AK123" s="680">
        <v>0.26812999999999998</v>
      </c>
      <c r="AL123" s="680">
        <v>0.24676999999999999</v>
      </c>
      <c r="AM123" s="680">
        <v>0.34721000000000002</v>
      </c>
      <c r="AN123" s="680">
        <v>0.2145</v>
      </c>
      <c r="AO123" s="680">
        <f t="shared" si="21"/>
        <v>0</v>
      </c>
      <c r="AP123" s="680">
        <v>1.15E-2</v>
      </c>
      <c r="AQ123" s="680">
        <v>1.15E-2</v>
      </c>
    </row>
    <row r="124" spans="33:43" x14ac:dyDescent="0.2">
      <c r="AG124" s="680">
        <v>2033</v>
      </c>
      <c r="AH124" s="681">
        <f t="shared" si="20"/>
        <v>0.1953</v>
      </c>
      <c r="AI124" s="680">
        <v>0.18296000000000001</v>
      </c>
      <c r="AJ124" s="680">
        <v>0.25650000000000001</v>
      </c>
      <c r="AK124" s="680">
        <v>0.26812999999999998</v>
      </c>
      <c r="AL124" s="680">
        <v>0.24676999999999999</v>
      </c>
      <c r="AM124" s="680">
        <v>0.34721000000000002</v>
      </c>
      <c r="AN124" s="680">
        <v>0.2145</v>
      </c>
      <c r="AO124" s="680">
        <f t="shared" si="21"/>
        <v>0</v>
      </c>
      <c r="AP124" s="680">
        <v>1.15E-2</v>
      </c>
      <c r="AQ124" s="680">
        <v>1.15E-2</v>
      </c>
    </row>
    <row r="125" spans="33:43" x14ac:dyDescent="0.2">
      <c r="AG125" s="680">
        <v>2034</v>
      </c>
      <c r="AH125" s="681">
        <f t="shared" si="20"/>
        <v>0.1953</v>
      </c>
      <c r="AI125" s="680">
        <v>0.18296000000000001</v>
      </c>
      <c r="AJ125" s="680">
        <v>0.25650000000000001</v>
      </c>
      <c r="AK125" s="680">
        <v>0.26812999999999998</v>
      </c>
      <c r="AL125" s="680">
        <v>0.24676999999999999</v>
      </c>
      <c r="AM125" s="680">
        <v>0.34721000000000002</v>
      </c>
      <c r="AN125" s="680">
        <v>0.2145</v>
      </c>
      <c r="AO125" s="680">
        <f t="shared" si="21"/>
        <v>0</v>
      </c>
      <c r="AP125" s="680">
        <v>1.15E-2</v>
      </c>
      <c r="AQ125" s="680">
        <v>1.15E-2</v>
      </c>
    </row>
    <row r="126" spans="33:43" x14ac:dyDescent="0.2">
      <c r="AG126" s="680">
        <v>2035</v>
      </c>
      <c r="AH126" s="681">
        <f t="shared" si="20"/>
        <v>0.1953</v>
      </c>
      <c r="AI126" s="680">
        <v>0.18296000000000001</v>
      </c>
      <c r="AJ126" s="680">
        <v>0.25650000000000001</v>
      </c>
      <c r="AK126" s="680">
        <v>0.26812999999999998</v>
      </c>
      <c r="AL126" s="680">
        <v>0.24676999999999999</v>
      </c>
      <c r="AM126" s="680">
        <v>0.34721000000000002</v>
      </c>
      <c r="AN126" s="680">
        <v>0.2145</v>
      </c>
      <c r="AO126" s="680">
        <f t="shared" si="21"/>
        <v>0</v>
      </c>
      <c r="AP126" s="680">
        <v>1.15E-2</v>
      </c>
      <c r="AQ126" s="680">
        <v>1.15E-2</v>
      </c>
    </row>
    <row r="127" spans="33:43" x14ac:dyDescent="0.2">
      <c r="AG127" s="680">
        <v>2036</v>
      </c>
      <c r="AH127" s="681">
        <f t="shared" si="20"/>
        <v>0.1953</v>
      </c>
      <c r="AI127" s="680">
        <v>0.18296000000000001</v>
      </c>
      <c r="AJ127" s="680">
        <v>0.25650000000000001</v>
      </c>
      <c r="AK127" s="680">
        <v>0.26812999999999998</v>
      </c>
      <c r="AL127" s="680">
        <v>0.24676999999999999</v>
      </c>
      <c r="AM127" s="680">
        <v>0.34721000000000002</v>
      </c>
      <c r="AN127" s="680">
        <v>0.2145</v>
      </c>
      <c r="AO127" s="680">
        <f t="shared" si="21"/>
        <v>0</v>
      </c>
      <c r="AP127" s="680">
        <v>1.15E-2</v>
      </c>
      <c r="AQ127" s="680">
        <v>1.15E-2</v>
      </c>
    </row>
    <row r="128" spans="33:43" x14ac:dyDescent="0.2">
      <c r="AG128" s="680">
        <v>2037</v>
      </c>
      <c r="AH128" s="681">
        <f t="shared" si="20"/>
        <v>0.1953</v>
      </c>
      <c r="AI128" s="680">
        <v>0.18296000000000001</v>
      </c>
      <c r="AJ128" s="680">
        <v>0.25650000000000001</v>
      </c>
      <c r="AK128" s="680">
        <v>0.26812999999999998</v>
      </c>
      <c r="AL128" s="680">
        <v>0.24676999999999999</v>
      </c>
      <c r="AM128" s="680">
        <v>0.34721000000000002</v>
      </c>
      <c r="AN128" s="680">
        <v>0.2145</v>
      </c>
      <c r="AO128" s="680">
        <f t="shared" si="21"/>
        <v>0</v>
      </c>
      <c r="AP128" s="680">
        <v>1.15E-2</v>
      </c>
      <c r="AQ128" s="680">
        <v>1.15E-2</v>
      </c>
    </row>
    <row r="129" spans="33:43" x14ac:dyDescent="0.2">
      <c r="AG129" s="680">
        <v>2038</v>
      </c>
      <c r="AH129" s="681">
        <f t="shared" si="20"/>
        <v>0.1953</v>
      </c>
      <c r="AI129" s="680">
        <v>0.18296000000000001</v>
      </c>
      <c r="AJ129" s="680">
        <v>0.25650000000000001</v>
      </c>
      <c r="AK129" s="680">
        <v>0.26812999999999998</v>
      </c>
      <c r="AL129" s="680">
        <v>0.24676999999999999</v>
      </c>
      <c r="AM129" s="680">
        <v>0.34721000000000002</v>
      </c>
      <c r="AN129" s="680">
        <v>0.2145</v>
      </c>
      <c r="AO129" s="680">
        <f t="shared" si="21"/>
        <v>0</v>
      </c>
      <c r="AP129" s="680">
        <v>1.15E-2</v>
      </c>
      <c r="AQ129" s="680">
        <v>1.15E-2</v>
      </c>
    </row>
    <row r="130" spans="33:43" x14ac:dyDescent="0.2">
      <c r="AG130" s="680">
        <v>2039</v>
      </c>
      <c r="AH130" s="681">
        <f t="shared" si="20"/>
        <v>0.1953</v>
      </c>
      <c r="AI130" s="680">
        <v>0.18296000000000001</v>
      </c>
      <c r="AJ130" s="680">
        <v>0.25650000000000001</v>
      </c>
      <c r="AK130" s="680">
        <v>0.26812999999999998</v>
      </c>
      <c r="AL130" s="680">
        <v>0.24676999999999999</v>
      </c>
      <c r="AM130" s="680">
        <v>0.34721000000000002</v>
      </c>
      <c r="AN130" s="680">
        <v>0.2145</v>
      </c>
      <c r="AO130" s="680">
        <f t="shared" si="21"/>
        <v>0</v>
      </c>
      <c r="AP130" s="680">
        <v>1.15E-2</v>
      </c>
      <c r="AQ130" s="680">
        <v>1.15E-2</v>
      </c>
    </row>
    <row r="131" spans="33:43" x14ac:dyDescent="0.2">
      <c r="AG131" s="680">
        <v>2040</v>
      </c>
      <c r="AH131" s="681">
        <f t="shared" si="20"/>
        <v>0.1953</v>
      </c>
      <c r="AI131" s="680">
        <v>0.18296000000000001</v>
      </c>
      <c r="AJ131" s="680">
        <v>0.25650000000000001</v>
      </c>
      <c r="AK131" s="680">
        <v>0.26812999999999998</v>
      </c>
      <c r="AL131" s="680">
        <v>0.24676999999999999</v>
      </c>
      <c r="AM131" s="680">
        <v>0.34721000000000002</v>
      </c>
      <c r="AN131" s="680">
        <v>0.2145</v>
      </c>
      <c r="AO131" s="680">
        <f t="shared" si="21"/>
        <v>0</v>
      </c>
      <c r="AP131" s="680">
        <v>1.15E-2</v>
      </c>
      <c r="AQ131" s="680">
        <v>1.15E-2</v>
      </c>
    </row>
    <row r="132" spans="33:43" x14ac:dyDescent="0.2">
      <c r="AG132" s="680">
        <v>2041</v>
      </c>
      <c r="AH132" s="681">
        <f t="shared" si="20"/>
        <v>0.1953</v>
      </c>
      <c r="AI132" s="680">
        <v>0.18296000000000001</v>
      </c>
      <c r="AJ132" s="680">
        <v>0.25650000000000001</v>
      </c>
      <c r="AK132" s="680">
        <v>0.26812999999999998</v>
      </c>
      <c r="AL132" s="680">
        <v>0.24676999999999999</v>
      </c>
      <c r="AM132" s="680">
        <v>0.34721000000000002</v>
      </c>
      <c r="AN132" s="680">
        <v>0.2145</v>
      </c>
      <c r="AO132" s="680">
        <f t="shared" si="21"/>
        <v>0</v>
      </c>
      <c r="AP132" s="680">
        <v>1.15E-2</v>
      </c>
      <c r="AQ132" s="680">
        <v>1.15E-2</v>
      </c>
    </row>
    <row r="133" spans="33:43" x14ac:dyDescent="0.2">
      <c r="AG133" s="680">
        <v>2042</v>
      </c>
      <c r="AH133" s="681">
        <f t="shared" si="20"/>
        <v>0.1953</v>
      </c>
      <c r="AI133" s="680">
        <v>0.18296000000000001</v>
      </c>
      <c r="AJ133" s="680">
        <v>0.25650000000000001</v>
      </c>
      <c r="AK133" s="680">
        <v>0.26812999999999998</v>
      </c>
      <c r="AL133" s="680">
        <v>0.24676999999999999</v>
      </c>
      <c r="AM133" s="680">
        <v>0.34721000000000002</v>
      </c>
      <c r="AN133" s="680">
        <v>0.2145</v>
      </c>
      <c r="AO133" s="680">
        <f t="shared" si="21"/>
        <v>0</v>
      </c>
      <c r="AP133" s="680">
        <v>1.15E-2</v>
      </c>
      <c r="AQ133" s="680">
        <v>1.15E-2</v>
      </c>
    </row>
    <row r="134" spans="33:43" x14ac:dyDescent="0.2">
      <c r="AG134" s="680">
        <v>2043</v>
      </c>
      <c r="AH134" s="681">
        <f t="shared" si="20"/>
        <v>0.1953</v>
      </c>
      <c r="AI134" s="680">
        <v>0.18296000000000001</v>
      </c>
      <c r="AJ134" s="680">
        <v>0.25650000000000001</v>
      </c>
      <c r="AK134" s="680">
        <v>0.26812999999999998</v>
      </c>
      <c r="AL134" s="680">
        <v>0.24676999999999999</v>
      </c>
      <c r="AM134" s="680">
        <v>0.34721000000000002</v>
      </c>
      <c r="AN134" s="680">
        <v>0.2145</v>
      </c>
      <c r="AO134" s="680">
        <f t="shared" si="21"/>
        <v>0</v>
      </c>
      <c r="AP134" s="680">
        <v>1.15E-2</v>
      </c>
      <c r="AQ134" s="680">
        <v>1.15E-2</v>
      </c>
    </row>
    <row r="135" spans="33:43" x14ac:dyDescent="0.2">
      <c r="AG135" s="680">
        <v>2044</v>
      </c>
      <c r="AH135" s="681">
        <f t="shared" si="20"/>
        <v>0.1953</v>
      </c>
      <c r="AI135" s="680">
        <v>0.18296000000000001</v>
      </c>
      <c r="AJ135" s="680">
        <v>0.25650000000000001</v>
      </c>
      <c r="AK135" s="680">
        <v>0.26812999999999998</v>
      </c>
      <c r="AL135" s="680">
        <v>0.24676999999999999</v>
      </c>
      <c r="AM135" s="680">
        <v>0.34721000000000002</v>
      </c>
      <c r="AN135" s="680">
        <v>0.2145</v>
      </c>
      <c r="AO135" s="680">
        <f t="shared" si="21"/>
        <v>0</v>
      </c>
      <c r="AP135" s="680">
        <v>1.15E-2</v>
      </c>
      <c r="AQ135" s="680">
        <v>1.15E-2</v>
      </c>
    </row>
    <row r="136" spans="33:43" x14ac:dyDescent="0.2">
      <c r="AG136" s="680">
        <v>2045</v>
      </c>
      <c r="AH136" s="681">
        <f t="shared" si="20"/>
        <v>0.1953</v>
      </c>
      <c r="AI136" s="680">
        <v>0.18296000000000001</v>
      </c>
      <c r="AJ136" s="680">
        <v>0.25650000000000001</v>
      </c>
      <c r="AK136" s="680">
        <v>0.26812999999999998</v>
      </c>
      <c r="AL136" s="680">
        <v>0.24676999999999999</v>
      </c>
      <c r="AM136" s="680">
        <v>0.34721000000000002</v>
      </c>
      <c r="AN136" s="680">
        <v>0.2145</v>
      </c>
      <c r="AO136" s="680">
        <f t="shared" si="21"/>
        <v>0</v>
      </c>
      <c r="AP136" s="680">
        <v>1.15E-2</v>
      </c>
      <c r="AQ136" s="680">
        <v>1.15E-2</v>
      </c>
    </row>
    <row r="137" spans="33:43" x14ac:dyDescent="0.2">
      <c r="AG137" s="680">
        <v>2046</v>
      </c>
      <c r="AH137" s="681">
        <f t="shared" si="20"/>
        <v>0.1953</v>
      </c>
      <c r="AI137" s="680">
        <v>0.18296000000000001</v>
      </c>
      <c r="AJ137" s="680">
        <v>0.25650000000000001</v>
      </c>
      <c r="AK137" s="680">
        <v>0.26812999999999998</v>
      </c>
      <c r="AL137" s="680">
        <v>0.24676999999999999</v>
      </c>
      <c r="AM137" s="680">
        <v>0.34721000000000002</v>
      </c>
      <c r="AN137" s="680">
        <v>0.2145</v>
      </c>
      <c r="AO137" s="680">
        <f t="shared" si="21"/>
        <v>0</v>
      </c>
      <c r="AP137" s="680">
        <v>1.15E-2</v>
      </c>
      <c r="AQ137" s="680">
        <v>1.15E-2</v>
      </c>
    </row>
    <row r="138" spans="33:43" x14ac:dyDescent="0.2">
      <c r="AG138" s="680">
        <v>2047</v>
      </c>
      <c r="AH138" s="681">
        <f t="shared" si="20"/>
        <v>0.1953</v>
      </c>
      <c r="AI138" s="680">
        <v>0.18296000000000001</v>
      </c>
      <c r="AJ138" s="680">
        <v>0.25650000000000001</v>
      </c>
      <c r="AK138" s="680">
        <v>0.26812999999999998</v>
      </c>
      <c r="AL138" s="680">
        <v>0.24676999999999999</v>
      </c>
      <c r="AM138" s="680">
        <v>0.34721000000000002</v>
      </c>
      <c r="AN138" s="680">
        <v>0.2145</v>
      </c>
      <c r="AO138" s="680">
        <f t="shared" si="21"/>
        <v>0</v>
      </c>
      <c r="AP138" s="680">
        <v>1.15E-2</v>
      </c>
      <c r="AQ138" s="680">
        <v>1.15E-2</v>
      </c>
    </row>
    <row r="139" spans="33:43" x14ac:dyDescent="0.2">
      <c r="AG139" s="680">
        <v>2048</v>
      </c>
      <c r="AH139" s="681">
        <f t="shared" si="20"/>
        <v>0.1953</v>
      </c>
      <c r="AI139" s="680">
        <v>0.18296000000000001</v>
      </c>
      <c r="AJ139" s="680">
        <v>0.25650000000000001</v>
      </c>
      <c r="AK139" s="680">
        <v>0.26812999999999998</v>
      </c>
      <c r="AL139" s="680">
        <v>0.24676999999999999</v>
      </c>
      <c r="AM139" s="680">
        <v>0.34721000000000002</v>
      </c>
      <c r="AN139" s="680">
        <v>0.2145</v>
      </c>
      <c r="AO139" s="680">
        <f t="shared" si="21"/>
        <v>0</v>
      </c>
      <c r="AP139" s="680">
        <v>1.15E-2</v>
      </c>
      <c r="AQ139" s="680">
        <v>1.15E-2</v>
      </c>
    </row>
    <row r="140" spans="33:43" x14ac:dyDescent="0.2">
      <c r="AG140" s="680">
        <v>2049</v>
      </c>
      <c r="AH140" s="681">
        <f t="shared" si="20"/>
        <v>0.1953</v>
      </c>
      <c r="AI140" s="680">
        <v>0.18296000000000001</v>
      </c>
      <c r="AJ140" s="680">
        <v>0.25650000000000001</v>
      </c>
      <c r="AK140" s="680">
        <v>0.26812999999999998</v>
      </c>
      <c r="AL140" s="680">
        <v>0.24676999999999999</v>
      </c>
      <c r="AM140" s="680">
        <v>0.34721000000000002</v>
      </c>
      <c r="AN140" s="680">
        <v>0.2145</v>
      </c>
      <c r="AO140" s="680">
        <f t="shared" si="21"/>
        <v>0</v>
      </c>
      <c r="AP140" s="680">
        <v>1.15E-2</v>
      </c>
      <c r="AQ140" s="680">
        <v>1.15E-2</v>
      </c>
    </row>
    <row r="141" spans="33:43" x14ac:dyDescent="0.2">
      <c r="AG141" s="680">
        <v>2050</v>
      </c>
      <c r="AH141" s="681">
        <f t="shared" si="20"/>
        <v>0.1953</v>
      </c>
      <c r="AI141" s="680">
        <v>0.18296000000000001</v>
      </c>
      <c r="AJ141" s="680">
        <v>0.25650000000000001</v>
      </c>
      <c r="AK141" s="680">
        <v>0.26812999999999998</v>
      </c>
      <c r="AL141" s="680">
        <v>0.24676999999999999</v>
      </c>
      <c r="AM141" s="680">
        <v>0.34721000000000002</v>
      </c>
      <c r="AN141" s="680">
        <v>0.2145</v>
      </c>
      <c r="AO141" s="680">
        <f t="shared" si="21"/>
        <v>0</v>
      </c>
      <c r="AP141" s="680">
        <v>1.15E-2</v>
      </c>
      <c r="AQ141" s="680">
        <v>1.15E-2</v>
      </c>
    </row>
    <row r="142" spans="33:43" x14ac:dyDescent="0.2">
      <c r="AG142" s="680">
        <v>2051</v>
      </c>
      <c r="AH142" s="681">
        <f t="shared" si="20"/>
        <v>0.1953</v>
      </c>
      <c r="AI142" s="680">
        <v>0.18296000000000001</v>
      </c>
      <c r="AJ142" s="680">
        <v>0.25650000000000001</v>
      </c>
      <c r="AK142" s="680">
        <v>0.26812999999999998</v>
      </c>
      <c r="AL142" s="680">
        <v>0.24676999999999999</v>
      </c>
      <c r="AM142" s="680">
        <v>0.34721000000000002</v>
      </c>
      <c r="AN142" s="680">
        <v>0.2145</v>
      </c>
      <c r="AO142" s="680">
        <f t="shared" si="21"/>
        <v>0</v>
      </c>
      <c r="AP142" s="680">
        <v>1.15E-2</v>
      </c>
      <c r="AQ142" s="680">
        <v>1.15E-2</v>
      </c>
    </row>
    <row r="143" spans="33:43" x14ac:dyDescent="0.2">
      <c r="AG143" s="680">
        <v>2052</v>
      </c>
      <c r="AH143" s="681">
        <f t="shared" si="20"/>
        <v>0.1953</v>
      </c>
      <c r="AI143" s="680">
        <v>0.18296000000000001</v>
      </c>
      <c r="AJ143" s="680">
        <v>0.25650000000000001</v>
      </c>
      <c r="AK143" s="680">
        <v>0.26812999999999998</v>
      </c>
      <c r="AL143" s="680">
        <v>0.24676999999999999</v>
      </c>
      <c r="AM143" s="680">
        <v>0.34721000000000002</v>
      </c>
      <c r="AN143" s="680">
        <v>0.2145</v>
      </c>
      <c r="AO143" s="680">
        <f t="shared" si="21"/>
        <v>0</v>
      </c>
      <c r="AP143" s="680">
        <v>1.15E-2</v>
      </c>
      <c r="AQ143" s="680">
        <v>1.15E-2</v>
      </c>
    </row>
    <row r="144" spans="33:43" x14ac:dyDescent="0.2">
      <c r="AG144" s="680">
        <v>2053</v>
      </c>
      <c r="AH144" s="681">
        <f t="shared" si="20"/>
        <v>0.1953</v>
      </c>
      <c r="AI144" s="680">
        <v>0.18296000000000001</v>
      </c>
      <c r="AJ144" s="680">
        <v>0.25650000000000001</v>
      </c>
      <c r="AK144" s="680">
        <v>0.26812999999999998</v>
      </c>
      <c r="AL144" s="680">
        <v>0.24676999999999999</v>
      </c>
      <c r="AM144" s="680">
        <v>0.34721000000000002</v>
      </c>
      <c r="AN144" s="680">
        <v>0.2145</v>
      </c>
      <c r="AO144" s="680">
        <f t="shared" si="21"/>
        <v>0</v>
      </c>
      <c r="AP144" s="680">
        <v>1.15E-2</v>
      </c>
      <c r="AQ144" s="680">
        <v>1.15E-2</v>
      </c>
    </row>
    <row r="145" spans="33:43" x14ac:dyDescent="0.2">
      <c r="AG145" s="680">
        <v>2054</v>
      </c>
      <c r="AH145" s="681">
        <f t="shared" si="20"/>
        <v>0.1953</v>
      </c>
      <c r="AI145" s="680">
        <v>0.18296000000000001</v>
      </c>
      <c r="AJ145" s="680">
        <v>0.25650000000000001</v>
      </c>
      <c r="AK145" s="680">
        <v>0.26812999999999998</v>
      </c>
      <c r="AL145" s="680">
        <v>0.24676999999999999</v>
      </c>
      <c r="AM145" s="680">
        <v>0.34721000000000002</v>
      </c>
      <c r="AN145" s="680">
        <v>0.2145</v>
      </c>
      <c r="AO145" s="680">
        <f t="shared" si="21"/>
        <v>0</v>
      </c>
      <c r="AP145" s="680">
        <v>1.15E-2</v>
      </c>
      <c r="AQ145" s="680">
        <v>1.15E-2</v>
      </c>
    </row>
    <row r="146" spans="33:43" x14ac:dyDescent="0.2">
      <c r="AG146" s="680">
        <v>2055</v>
      </c>
      <c r="AH146" s="681">
        <f t="shared" si="20"/>
        <v>0.1953</v>
      </c>
      <c r="AI146" s="680">
        <v>0.18296000000000001</v>
      </c>
      <c r="AJ146" s="680">
        <v>0.25650000000000001</v>
      </c>
      <c r="AK146" s="680">
        <v>0.26812999999999998</v>
      </c>
      <c r="AL146" s="680">
        <v>0.24676999999999999</v>
      </c>
      <c r="AM146" s="680">
        <v>0.34721000000000002</v>
      </c>
      <c r="AN146" s="680">
        <v>0.2145</v>
      </c>
      <c r="AO146" s="680">
        <f t="shared" si="21"/>
        <v>0</v>
      </c>
      <c r="AP146" s="680">
        <v>1.15E-2</v>
      </c>
      <c r="AQ146" s="680">
        <v>1.15E-2</v>
      </c>
    </row>
    <row r="147" spans="33:43" x14ac:dyDescent="0.2">
      <c r="AG147" s="680">
        <v>2056</v>
      </c>
      <c r="AH147" s="681">
        <f t="shared" si="20"/>
        <v>0.1953</v>
      </c>
      <c r="AI147" s="680">
        <v>0.18296000000000001</v>
      </c>
      <c r="AJ147" s="680">
        <v>0.25650000000000001</v>
      </c>
      <c r="AK147" s="680">
        <v>0.26812999999999998</v>
      </c>
      <c r="AL147" s="680">
        <v>0.24676999999999999</v>
      </c>
      <c r="AM147" s="680">
        <v>0.34721000000000002</v>
      </c>
      <c r="AN147" s="680">
        <v>0.2145</v>
      </c>
      <c r="AO147" s="680">
        <f t="shared" si="21"/>
        <v>0</v>
      </c>
      <c r="AP147" s="680">
        <v>1.15E-2</v>
      </c>
      <c r="AQ147" s="680">
        <v>1.15E-2</v>
      </c>
    </row>
    <row r="148" spans="33:43" x14ac:dyDescent="0.2">
      <c r="AG148" s="680">
        <v>2057</v>
      </c>
      <c r="AH148" s="681">
        <f t="shared" si="20"/>
        <v>0.1953</v>
      </c>
      <c r="AI148" s="680">
        <v>0.18296000000000001</v>
      </c>
      <c r="AJ148" s="680">
        <v>0.25650000000000001</v>
      </c>
      <c r="AK148" s="680">
        <v>0.26812999999999998</v>
      </c>
      <c r="AL148" s="680">
        <v>0.24676999999999999</v>
      </c>
      <c r="AM148" s="680">
        <v>0.34721000000000002</v>
      </c>
      <c r="AN148" s="680">
        <v>0.2145</v>
      </c>
      <c r="AO148" s="680">
        <f t="shared" si="21"/>
        <v>0</v>
      </c>
      <c r="AP148" s="680">
        <v>1.15E-2</v>
      </c>
      <c r="AQ148" s="680">
        <v>1.15E-2</v>
      </c>
    </row>
    <row r="149" spans="33:43" x14ac:dyDescent="0.2">
      <c r="AG149" s="680">
        <v>2058</v>
      </c>
      <c r="AH149" s="681">
        <f t="shared" si="20"/>
        <v>0.1953</v>
      </c>
      <c r="AI149" s="680">
        <v>0.18296000000000001</v>
      </c>
      <c r="AJ149" s="680">
        <v>0.25650000000000001</v>
      </c>
      <c r="AK149" s="680">
        <v>0.26812999999999998</v>
      </c>
      <c r="AL149" s="680">
        <v>0.24676999999999999</v>
      </c>
      <c r="AM149" s="680">
        <v>0.34721000000000002</v>
      </c>
      <c r="AN149" s="680">
        <v>0.2145</v>
      </c>
      <c r="AO149" s="680">
        <f t="shared" si="21"/>
        <v>0</v>
      </c>
      <c r="AP149" s="680">
        <v>1.15E-2</v>
      </c>
      <c r="AQ149" s="680">
        <v>1.15E-2</v>
      </c>
    </row>
    <row r="150" spans="33:43" x14ac:dyDescent="0.2">
      <c r="AG150" s="680">
        <v>2059</v>
      </c>
      <c r="AH150" s="681">
        <f t="shared" si="20"/>
        <v>0.1953</v>
      </c>
      <c r="AI150" s="680">
        <v>0.18296000000000001</v>
      </c>
      <c r="AJ150" s="680">
        <v>0.25650000000000001</v>
      </c>
      <c r="AK150" s="680">
        <v>0.26812999999999998</v>
      </c>
      <c r="AL150" s="680">
        <v>0.24676999999999999</v>
      </c>
      <c r="AM150" s="680">
        <v>0.34721000000000002</v>
      </c>
      <c r="AN150" s="680">
        <v>0.2145</v>
      </c>
      <c r="AO150" s="680">
        <f t="shared" si="21"/>
        <v>0</v>
      </c>
      <c r="AP150" s="680">
        <v>1.15E-2</v>
      </c>
      <c r="AQ150" s="680">
        <v>1.15E-2</v>
      </c>
    </row>
    <row r="151" spans="33:43" x14ac:dyDescent="0.2">
      <c r="AG151" s="680">
        <v>2060</v>
      </c>
      <c r="AH151" s="681">
        <f t="shared" si="20"/>
        <v>0.1953</v>
      </c>
      <c r="AI151" s="680">
        <v>0.18296000000000001</v>
      </c>
      <c r="AJ151" s="680">
        <v>0.25650000000000001</v>
      </c>
      <c r="AK151" s="680">
        <v>0.26812999999999998</v>
      </c>
      <c r="AL151" s="680">
        <v>0.24676999999999999</v>
      </c>
      <c r="AM151" s="680">
        <v>0.34721000000000002</v>
      </c>
      <c r="AN151" s="680">
        <v>0.2145</v>
      </c>
      <c r="AO151" s="680">
        <f t="shared" si="21"/>
        <v>0</v>
      </c>
      <c r="AP151" s="680">
        <v>1.15E-2</v>
      </c>
      <c r="AQ151" s="680">
        <v>1.15E-2</v>
      </c>
    </row>
    <row r="152" spans="33:43" x14ac:dyDescent="0.2">
      <c r="AG152" s="680">
        <v>2061</v>
      </c>
      <c r="AH152" s="681">
        <f t="shared" si="20"/>
        <v>0.1953</v>
      </c>
      <c r="AI152" s="680">
        <v>0.18296000000000001</v>
      </c>
      <c r="AJ152" s="680">
        <v>0.25650000000000001</v>
      </c>
      <c r="AK152" s="680">
        <v>0.26812999999999998</v>
      </c>
      <c r="AL152" s="680">
        <v>0.24676999999999999</v>
      </c>
      <c r="AM152" s="680">
        <v>0.34721000000000002</v>
      </c>
      <c r="AN152" s="680">
        <v>0.2145</v>
      </c>
      <c r="AO152" s="680">
        <f t="shared" si="21"/>
        <v>0</v>
      </c>
      <c r="AP152" s="680">
        <v>1.15E-2</v>
      </c>
      <c r="AQ152" s="680">
        <v>1.15E-2</v>
      </c>
    </row>
    <row r="153" spans="33:43" x14ac:dyDescent="0.2">
      <c r="AG153" s="680">
        <v>2062</v>
      </c>
      <c r="AH153" s="681">
        <f t="shared" si="20"/>
        <v>0.1953</v>
      </c>
      <c r="AI153" s="680">
        <v>0.18296000000000001</v>
      </c>
      <c r="AJ153" s="680">
        <v>0.25650000000000001</v>
      </c>
      <c r="AK153" s="680">
        <v>0.26812999999999998</v>
      </c>
      <c r="AL153" s="680">
        <v>0.24676999999999999</v>
      </c>
      <c r="AM153" s="680">
        <v>0.34721000000000002</v>
      </c>
      <c r="AN153" s="680">
        <v>0.2145</v>
      </c>
      <c r="AO153" s="680">
        <f t="shared" si="21"/>
        <v>0</v>
      </c>
      <c r="AP153" s="680">
        <v>1.15E-2</v>
      </c>
      <c r="AQ153" s="680">
        <v>1.15E-2</v>
      </c>
    </row>
  </sheetData>
  <sheetProtection algorithmName="SHA-512" hashValue="jaxXXKZUXfVRKsSq0Y7VblZbEeuphcE+G0dXqWQ776fcMzdPD7Riij78oTh6LfZLYpr0ywwZstapGdghHSLG5Q==" saltValue="bN1/S88stbc4PZLssd1eEw==" spinCount="100000" sheet="1" formatRows="0"/>
  <dataConsolidate link="1"/>
  <mergeCells count="113">
    <mergeCell ref="I14:J14"/>
    <mergeCell ref="B82:V82"/>
    <mergeCell ref="B84:V84"/>
    <mergeCell ref="I28:J28"/>
    <mergeCell ref="I29:J29"/>
    <mergeCell ref="I30:J30"/>
    <mergeCell ref="A86:V86"/>
    <mergeCell ref="B83:V83"/>
    <mergeCell ref="G8:K8"/>
    <mergeCell ref="I47:J47"/>
    <mergeCell ref="I48:J48"/>
    <mergeCell ref="I49:J49"/>
    <mergeCell ref="I31:J31"/>
    <mergeCell ref="I32:J32"/>
    <mergeCell ref="I33:J33"/>
    <mergeCell ref="I34:J34"/>
    <mergeCell ref="I23:J23"/>
    <mergeCell ref="I37:J37"/>
    <mergeCell ref="I38:J38"/>
    <mergeCell ref="I39:J39"/>
    <mergeCell ref="I40:J40"/>
    <mergeCell ref="I12:J12"/>
    <mergeCell ref="I18:J18"/>
    <mergeCell ref="I16:J16"/>
    <mergeCell ref="D3:G3"/>
    <mergeCell ref="I13:J13"/>
    <mergeCell ref="B3:C3"/>
    <mergeCell ref="B10:V10"/>
    <mergeCell ref="U3:V7"/>
    <mergeCell ref="G9:K9"/>
    <mergeCell ref="L9:M9"/>
    <mergeCell ref="L8:M8"/>
    <mergeCell ref="I61:J61"/>
    <mergeCell ref="I19:J19"/>
    <mergeCell ref="I20:J20"/>
    <mergeCell ref="I17:J17"/>
    <mergeCell ref="I15:J15"/>
    <mergeCell ref="N6:O7"/>
    <mergeCell ref="D4:G4"/>
    <mergeCell ref="H6:I6"/>
    <mergeCell ref="I21:J21"/>
    <mergeCell ref="I22:J22"/>
    <mergeCell ref="I41:J41"/>
    <mergeCell ref="I24:J24"/>
    <mergeCell ref="B4:C4"/>
    <mergeCell ref="I11:J11"/>
    <mergeCell ref="I35:J35"/>
    <mergeCell ref="I36:J36"/>
    <mergeCell ref="I25:J25"/>
    <mergeCell ref="I26:J26"/>
    <mergeCell ref="I27:J27"/>
    <mergeCell ref="I50:J50"/>
    <mergeCell ref="I51:J51"/>
    <mergeCell ref="I42:J42"/>
    <mergeCell ref="I43:J43"/>
    <mergeCell ref="I44:J44"/>
    <mergeCell ref="I45:J45"/>
    <mergeCell ref="I46:J46"/>
    <mergeCell ref="K70:L70"/>
    <mergeCell ref="C71:D71"/>
    <mergeCell ref="E71:F71"/>
    <mergeCell ref="K71:L71"/>
    <mergeCell ref="B68:F68"/>
    <mergeCell ref="C69:D69"/>
    <mergeCell ref="E69:F69"/>
    <mergeCell ref="K69:L69"/>
    <mergeCell ref="I52:J52"/>
    <mergeCell ref="I53:J53"/>
    <mergeCell ref="I54:J54"/>
    <mergeCell ref="I60:J60"/>
    <mergeCell ref="I55:J55"/>
    <mergeCell ref="I56:J56"/>
    <mergeCell ref="I57:J57"/>
    <mergeCell ref="I58:J58"/>
    <mergeCell ref="I59:J59"/>
    <mergeCell ref="K74:L74"/>
    <mergeCell ref="C75:D75"/>
    <mergeCell ref="E75:F75"/>
    <mergeCell ref="K75:L75"/>
    <mergeCell ref="C72:D72"/>
    <mergeCell ref="E72:F72"/>
    <mergeCell ref="K72:L72"/>
    <mergeCell ref="C73:D73"/>
    <mergeCell ref="E73:F73"/>
    <mergeCell ref="K73:L73"/>
    <mergeCell ref="K78:L78"/>
    <mergeCell ref="C79:D79"/>
    <mergeCell ref="E79:F79"/>
    <mergeCell ref="K79:L79"/>
    <mergeCell ref="C76:D76"/>
    <mergeCell ref="E76:F76"/>
    <mergeCell ref="K76:L76"/>
    <mergeCell ref="C77:D77"/>
    <mergeCell ref="E77:F77"/>
    <mergeCell ref="K77:L77"/>
    <mergeCell ref="A80:B80"/>
    <mergeCell ref="G69:J69"/>
    <mergeCell ref="G70:J70"/>
    <mergeCell ref="G71:J71"/>
    <mergeCell ref="G72:J72"/>
    <mergeCell ref="G73:J73"/>
    <mergeCell ref="G74:J74"/>
    <mergeCell ref="G75:J75"/>
    <mergeCell ref="G76:J76"/>
    <mergeCell ref="G77:J77"/>
    <mergeCell ref="G78:J78"/>
    <mergeCell ref="G79:J79"/>
    <mergeCell ref="C78:D78"/>
    <mergeCell ref="E78:F78"/>
    <mergeCell ref="C74:D74"/>
    <mergeCell ref="E74:F74"/>
    <mergeCell ref="C70:D70"/>
    <mergeCell ref="E70:F70"/>
  </mergeCells>
  <conditionalFormatting sqref="E70:F70">
    <cfRule type="expression" dxfId="85" priority="3">
      <formula>$M70="Check work type"</formula>
    </cfRule>
    <cfRule type="expression" dxfId="84" priority="4">
      <formula>OR(   AND(C70="metering", ISNA(MATCH(E70, Metering, 0))),   AND(C70="monitoring", ISNA(MATCH(E70, Monitoring, 0))) )</formula>
    </cfRule>
  </conditionalFormatting>
  <conditionalFormatting sqref="E70:F79">
    <cfRule type="expression" dxfId="83" priority="1">
      <formula>OR(   AND($C70="metering", ISNA(MATCH($E70, Metering, 0))),   AND($C70="monitoring", ISNA(MATCH($E70, Monitoring, 0))) )</formula>
    </cfRule>
    <cfRule type="expression" dxfId="82" priority="2">
      <formula>$M70="Check work type"</formula>
    </cfRule>
  </conditionalFormatting>
  <conditionalFormatting sqref="I12:I61">
    <cfRule type="expression" dxfId="81" priority="8" stopIfTrue="1">
      <formula>$V12="Check Work Type"</formula>
    </cfRule>
  </conditionalFormatting>
  <conditionalFormatting sqref="K12:L61">
    <cfRule type="expression" dxfId="80" priority="96" stopIfTrue="1">
      <formula>$V12="Check Work Type"</formula>
    </cfRule>
  </conditionalFormatting>
  <conditionalFormatting sqref="L9">
    <cfRule type="containsText" dxfId="79" priority="44" operator="containsText" text="Complete Salix Funding Requested">
      <formula>NOT(ISERROR(SEARCH("Complete Salix Funding Requested",L9)))</formula>
    </cfRule>
    <cfRule type="cellIs" dxfId="78" priority="45" operator="equal">
      <formula>"Enter site life"</formula>
    </cfRule>
    <cfRule type="cellIs" dxfId="77" priority="46" operator="equal">
      <formula>"Enter Total Project Cost"</formula>
    </cfRule>
    <cfRule type="cellIs" dxfId="76" priority="47" operator="equal">
      <formula>"Enter % of cost"</formula>
    </cfRule>
  </conditionalFormatting>
  <conditionalFormatting sqref="L9:M9">
    <cfRule type="containsText" dxfId="75" priority="42" operator="containsText" text="Funding Exceeds Total Value">
      <formula>NOT(ISERROR(SEARCH("Funding Exceeds Total Value",L9)))</formula>
    </cfRule>
    <cfRule type="containsText" dxfId="74" priority="43" operator="containsText" text="Complete Total Value of Projects">
      <formula>NOT(ISERROR(SEARCH("Complete Total Value of Projects",L9)))</formula>
    </cfRule>
  </conditionalFormatting>
  <conditionalFormatting sqref="M11 P11">
    <cfRule type="expression" dxfId="73" priority="380" stopIfTrue="1">
      <formula>#REF!="M"</formula>
    </cfRule>
  </conditionalFormatting>
  <conditionalFormatting sqref="Q3">
    <cfRule type="expression" dxfId="72" priority="58">
      <formula>$D$4="Recycling Fund"</formula>
    </cfRule>
  </conditionalFormatting>
  <conditionalFormatting sqref="V12:V61">
    <cfRule type="beginsWith" dxfId="69" priority="126" operator="beginsWith" text="Check">
      <formula>LEFT(V12,LEN("Check"))="Check"</formula>
    </cfRule>
    <cfRule type="beginsWith" dxfId="68" priority="311" operator="beginsWith" text="Enter">
      <formula>LEFT(V12,LEN("Enter"))="Enter"</formula>
    </cfRule>
  </conditionalFormatting>
  <conditionalFormatting sqref="V65:V80">
    <cfRule type="beginsWith" dxfId="67" priority="115" operator="beginsWith" text="Complete">
      <formula>LEFT(V65,LEN("Complete"))="Complete"</formula>
    </cfRule>
    <cfRule type="beginsWith" dxfId="66" priority="116" operator="beginsWith" text="Check">
      <formula>LEFT(V65,LEN("Check"))="Check"</formula>
    </cfRule>
    <cfRule type="containsText" dxfId="65" priority="127" operator="containsText" text="Client additional only">
      <formula>NOT(ISERROR(SEARCH("Client additional only",V65)))</formula>
    </cfRule>
    <cfRule type="containsText" dxfId="64" priority="128" operator="containsText" text="Non-Compliant">
      <formula>NOT(ISERROR(SEARCH("Non-Compliant",V65)))</formula>
    </cfRule>
    <cfRule type="containsText" dxfId="63" priority="129" operator="containsText" text="Compliant with client additional">
      <formula>NOT(ISERROR(SEARCH("Compliant with client additional",V65)))</formula>
    </cfRule>
  </conditionalFormatting>
  <dataValidations xWindow="453" yWindow="461" count="19">
    <dataValidation type="list" allowBlank="1" showInputMessage="1" showErrorMessage="1" sqref="B81 D12:D61" xr:uid="{A445855C-A293-4AA5-89E3-C0EF8FA8C203}">
      <formula1>Energy_Types</formula1>
    </dataValidation>
    <dataValidation type="date" allowBlank="1" showInputMessage="1" showErrorMessage="1" sqref="C9" xr:uid="{5B9DBFE7-8CAC-4DBF-A421-78CD883E7BAF}">
      <formula1>45292</formula1>
      <formula2>46752</formula2>
    </dataValidation>
    <dataValidation type="decimal" allowBlank="1" showInputMessage="1" showErrorMessage="1" errorTitle="Please review" error="Please enter site life as a number only" sqref="F9" xr:uid="{FA5D2FAB-A92E-469D-BA24-6B37B9FA97CE}">
      <formula1>0.1</formula1>
      <formula2>100000</formula2>
    </dataValidation>
    <dataValidation type="decimal" allowBlank="1" showInputMessage="1" showErrorMessage="1" errorTitle="Invalid Value" error="Please enter a value between 1% and 100%" sqref="N9" xr:uid="{C89300F3-28E8-4D6B-9416-EDF58E59FBD9}">
      <formula1>0</formula1>
      <formula2>1</formula2>
    </dataValidation>
    <dataValidation type="date" allowBlank="1" showInputMessage="1" showErrorMessage="1" promptTitle="GUIDANCE NOTE" prompt="Please enter a realistic date for project completion." sqref="D9" xr:uid="{E0577A49-2BC8-41E5-9F0C-C098F35B8E7F}">
      <formula1>45292</formula1>
      <formula2>47848</formula2>
    </dataValidation>
    <dataValidation allowBlank="1" showInputMessage="1" showErrorMessage="1" errorTitle="Please review" error="Please enter site life as a number only" sqref="G9:K9" xr:uid="{F3416746-9C76-4B7D-8518-44025D645667}"/>
    <dataValidation type="list" allowBlank="1" showInputMessage="1" showErrorMessage="1" sqref="H12:H61" xr:uid="{E3D42309-2BB1-42F4-9E33-DE0DAC4DE315}">
      <formula1>Project_type</formula1>
    </dataValidation>
    <dataValidation type="decimal" operator="lessThan" allowBlank="1" showInputMessage="1" showErrorMessage="1" errorTitle="Invalid Entry" error="Please enter your energy price in the box." sqref="E12:E61" xr:uid="{54DF54DD-1546-4CB0-8392-5D1EAB8B4C60}">
      <formula1>999</formula1>
    </dataValidation>
    <dataValidation type="decimal" operator="greaterThanOrEqual" allowBlank="1" showInputMessage="1" showErrorMessage="1" error="Please enter a numerical value in kWh." promptTitle="GUIDANCE NOTE" prompt="Enter energy currently consumed by the existing plant/equipment concerned." sqref="K12:K61" xr:uid="{91BF7573-4FF7-4923-A310-1705F23D77C6}">
      <formula1>0</formula1>
    </dataValidation>
    <dataValidation type="decimal" operator="greaterThanOrEqual" allowBlank="1" showInputMessage="1" showErrorMessage="1" error="Please enter a numerical value in kWh." promptTitle="GUIDANCE NOTE" prompt="Enter estimated post-project energy consumption for the plant/equipment concerned." sqref="L12:L61" xr:uid="{1D4CCDC2-9966-4D7B-9969-E9B2CBBAE35F}">
      <formula1>0</formula1>
    </dataValidation>
    <dataValidation type="decimal" operator="lessThan" allowBlank="1" showInputMessage="1" showErrorMessage="1" errorTitle="Invalid Entry" error="Please enter your energy price in the box." promptTitle="GUIDANCE NOTE:" prompt="To calculate forecast energy cost see 'Guidance Notes' tab" sqref="F12:F61" xr:uid="{B8F7C740-9D81-4928-9AC7-38F3B108A6A4}">
      <formula1>999</formula1>
    </dataValidation>
    <dataValidation type="decimal" allowBlank="1" showInputMessage="1" showErrorMessage="1" errorTitle="Invalid Entry" error="Please enter value as a number" promptTitle="GUIDANCE NOTE" prompt="Please enter the total cost of this measure." sqref="O12:O61" xr:uid="{A340F93B-3F03-4DCE-B733-8953B3E6813B}">
      <formula1>0</formula1>
      <formula2>9999999999999990000</formula2>
    </dataValidation>
    <dataValidation type="decimal" operator="lessThan" allowBlank="1" showInputMessage="1" errorTitle="Invalid Entry" error="Please enter your energy price in the box." sqref="G12:G61" xr:uid="{B6989F90-F684-4C22-AE14-50B816DFF9C3}">
      <formula1>999</formula1>
    </dataValidation>
    <dataValidation type="list" allowBlank="1" showInputMessage="1" showErrorMessage="1" sqref="I12:I61" xr:uid="{3B5BEB2D-0C00-421C-9BFB-C326C3D234CE}">
      <formula1>INDIRECT($Z12)</formula1>
    </dataValidation>
    <dataValidation allowBlank="1" showInputMessage="1" showErrorMessage="1" promptTitle="RF Applicants" prompt="RF applications should enter the current p/kWh in this section." sqref="F11" xr:uid="{D385C64C-4155-4249-AFC5-C1B8839BED80}"/>
    <dataValidation type="list" allowBlank="1" showInputMessage="1" showErrorMessage="1" sqref="C70:D79" xr:uid="{5E2B2C56-FBB0-408B-ACA1-8D162C927EEB}">
      <formula1>Project_Type_2</formula1>
    </dataValidation>
    <dataValidation allowBlank="1" showInputMessage="1" showErrorMessage="1" promptTitle="Details of projects enabled" prompt="Please describe the decarbonisation measure that this technology will support." sqref="G70:G79" xr:uid="{84ABEADB-2856-497A-B585-D701F9337CA9}"/>
    <dataValidation allowBlank="1" showInputMessage="1" showErrorMessage="1" promptTitle="Project Value" prompt="Please enter the total cost of this measure to include equipment and installation costs." sqref="K70:L79" xr:uid="{40310266-F26A-4C98-B4E5-5137F47A7AEC}"/>
    <dataValidation type="list" allowBlank="1" showInputMessage="1" showErrorMessage="1" sqref="E70:F79" xr:uid="{5A60B0F4-CFF3-48C9-9BCA-59EBBFF93F51}">
      <formula1>INDIRECT(C70)</formula1>
    </dataValidation>
  </dataValidations>
  <pageMargins left="0.23622047244094491" right="0.23622047244094491" top="0.35433070866141736" bottom="0.35433070866141736" header="0.31496062992125984" footer="0.31496062992125984"/>
  <pageSetup paperSize="9" scale="40" fitToHeight="0" orientation="landscape" horizontalDpi="525" verticalDpi="525" r:id="rId1"/>
  <headerFooter>
    <oddFooter>&amp;C_x000D_&amp;1#&amp;"Calibri"&amp;10&amp;K000000 AtkinsRéalis - Baseline / Référence</oddFooter>
  </headerFooter>
  <customProperties>
    <customPr name="GUID" r:id="rId2"/>
  </customProperties>
  <drawing r:id="rId3"/>
  <extLst>
    <ext xmlns:x14="http://schemas.microsoft.com/office/spreadsheetml/2009/9/main" uri="{78C0D931-6437-407d-A8EE-F0AAD7539E65}">
      <x14:conditionalFormattings>
        <x14:conditionalFormatting xmlns:xm="http://schemas.microsoft.com/office/excel/2006/main">
          <x14:cfRule type="cellIs" priority="386" stopIfTrue="1" operator="greaterThan" id="{367CE04A-04FE-4261-B258-F8C50D58E349}">
            <xm:f>'Extra look-up'!$F$76</xm:f>
            <x14:dxf>
              <font>
                <color rgb="FFFF0000"/>
              </font>
              <fill>
                <patternFill>
                  <bgColor theme="5" tint="0.79998168889431442"/>
                </patternFill>
              </fill>
            </x14:dxf>
          </x14:cfRule>
          <xm:sqref>Q65:Q80</xm:sqref>
        </x14:conditionalFormatting>
        <x14:conditionalFormatting xmlns:xm="http://schemas.microsoft.com/office/excel/2006/main">
          <x14:cfRule type="cellIs" priority="391" stopIfTrue="1" operator="greaterThan" id="{AEB13788-B7CD-44E4-8F7A-C9D6A802DD28}">
            <xm:f>'Extra look-up'!$G$76</xm:f>
            <x14:dxf>
              <font>
                <color rgb="FFFF0000"/>
              </font>
              <fill>
                <patternFill>
                  <fgColor theme="0"/>
                  <bgColor theme="5" tint="0.79998168889431442"/>
                </patternFill>
              </fill>
            </x14:dxf>
          </x14:cfRule>
          <xm:sqref>U65:U80</xm:sqref>
        </x14:conditionalFormatting>
      </x14:conditionalFormattings>
    </ext>
    <ext xmlns:x14="http://schemas.microsoft.com/office/spreadsheetml/2009/9/main" uri="{CCE6A557-97BC-4b89-ADB6-D9C93CAAB3DF}">
      <x14:dataValidations xmlns:xm="http://schemas.microsoft.com/office/excel/2006/main" xWindow="453" yWindow="461" count="1">
        <x14:dataValidation type="list" allowBlank="1" showInputMessage="1" showErrorMessage="1" xr:uid="{ADEA02F4-F232-40EA-BBA9-0D6C26D2B81E}">
          <x14:formula1>
            <xm:f>'Extra look-up'!$D$80:$D$81</xm:f>
          </x14:formula1>
          <xm:sqref>D4:G4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562C7-FD81-4BAE-B22B-AC27136CFB35}">
  <sheetPr codeName="Sheet11">
    <tabColor rgb="FF2DAE76"/>
    <pageSetUpPr fitToPage="1"/>
  </sheetPr>
  <dimension ref="B2:S105"/>
  <sheetViews>
    <sheetView showGridLines="0" topLeftCell="A9" zoomScaleNormal="100" workbookViewId="0">
      <selection activeCell="D13" sqref="D13"/>
    </sheetView>
  </sheetViews>
  <sheetFormatPr defaultColWidth="9.28515625" defaultRowHeight="15.75" x14ac:dyDescent="0.2"/>
  <cols>
    <col min="1" max="2" width="3.42578125" style="597" customWidth="1"/>
    <col min="3" max="3" width="41" style="598" customWidth="1"/>
    <col min="4" max="4" width="34.42578125" style="597" bestFit="1" customWidth="1"/>
    <col min="5" max="9" width="20.42578125" style="597" customWidth="1"/>
    <col min="10" max="10" width="5.42578125" style="597" customWidth="1"/>
    <col min="11" max="29" width="9.28515625" style="597" customWidth="1"/>
    <col min="30" max="16384" width="9.28515625" style="597"/>
  </cols>
  <sheetData>
    <row r="2" spans="2:19" x14ac:dyDescent="0.2">
      <c r="B2" s="728"/>
      <c r="C2" s="600"/>
      <c r="D2" s="600"/>
      <c r="E2" s="600"/>
      <c r="F2" s="600"/>
      <c r="G2" s="600"/>
      <c r="H2" s="600"/>
      <c r="I2" s="600"/>
      <c r="J2" s="728"/>
      <c r="K2" s="729"/>
      <c r="L2" s="729"/>
      <c r="M2" s="729"/>
      <c r="N2" s="729"/>
      <c r="O2" s="729"/>
      <c r="P2" s="729"/>
      <c r="Q2" s="729"/>
      <c r="R2" s="729"/>
      <c r="S2" s="729"/>
    </row>
    <row r="3" spans="2:19" x14ac:dyDescent="0.2">
      <c r="B3" s="728"/>
      <c r="C3" s="870" t="s">
        <v>146</v>
      </c>
      <c r="D3" s="870"/>
      <c r="E3" s="870"/>
      <c r="F3" s="870"/>
      <c r="G3" s="870"/>
      <c r="H3" s="600"/>
      <c r="I3" s="600"/>
      <c r="J3" s="728"/>
      <c r="K3" s="729"/>
      <c r="L3" s="729"/>
      <c r="M3" s="729"/>
      <c r="N3" s="729"/>
      <c r="O3" s="729"/>
      <c r="P3" s="729"/>
      <c r="Q3" s="729"/>
      <c r="R3" s="729"/>
      <c r="S3" s="729"/>
    </row>
    <row r="4" spans="2:19" x14ac:dyDescent="0.2">
      <c r="B4" s="728"/>
      <c r="C4" s="870"/>
      <c r="D4" s="870"/>
      <c r="E4" s="870"/>
      <c r="F4" s="870"/>
      <c r="G4" s="870"/>
      <c r="H4" s="600"/>
      <c r="I4" s="600"/>
      <c r="J4" s="728"/>
      <c r="K4" s="729"/>
      <c r="L4" s="729"/>
      <c r="M4" s="729"/>
      <c r="N4" s="729"/>
      <c r="O4" s="729"/>
      <c r="P4" s="729"/>
      <c r="Q4" s="729"/>
      <c r="R4" s="729"/>
      <c r="S4" s="729"/>
    </row>
    <row r="5" spans="2:19" ht="5.65" customHeight="1" x14ac:dyDescent="0.2">
      <c r="B5" s="728"/>
      <c r="C5" s="688"/>
      <c r="D5" s="689"/>
      <c r="E5" s="689"/>
      <c r="F5" s="689"/>
      <c r="G5" s="689"/>
      <c r="H5" s="689"/>
      <c r="I5" s="601"/>
      <c r="J5" s="728"/>
      <c r="K5" s="729"/>
      <c r="L5" s="729"/>
      <c r="M5" s="729"/>
      <c r="N5" s="729"/>
      <c r="O5" s="729"/>
      <c r="P5" s="729"/>
      <c r="Q5" s="729"/>
      <c r="R5" s="729"/>
      <c r="S5" s="729"/>
    </row>
    <row r="6" spans="2:19" ht="16.149999999999999" customHeight="1" x14ac:dyDescent="0.2">
      <c r="B6" s="728"/>
      <c r="C6" s="1016"/>
      <c r="D6" s="1016"/>
      <c r="E6" s="1016"/>
      <c r="F6" s="1016"/>
      <c r="G6" s="1016"/>
      <c r="H6" s="1016"/>
      <c r="I6" s="1016"/>
      <c r="J6" s="728"/>
      <c r="K6" s="729"/>
      <c r="L6" s="729"/>
      <c r="M6" s="729"/>
      <c r="N6" s="729"/>
      <c r="O6" s="729"/>
      <c r="P6" s="729"/>
      <c r="Q6" s="729"/>
      <c r="R6" s="729"/>
      <c r="S6" s="729"/>
    </row>
    <row r="7" spans="2:19" ht="22.5" x14ac:dyDescent="0.2">
      <c r="B7" s="728"/>
      <c r="C7" s="639" t="s">
        <v>147</v>
      </c>
      <c r="D7" s="603"/>
      <c r="E7" s="603"/>
      <c r="F7" s="603"/>
      <c r="G7" s="603"/>
      <c r="H7" s="603"/>
      <c r="I7" s="603"/>
      <c r="J7" s="728"/>
      <c r="K7" s="729"/>
      <c r="L7" s="729"/>
      <c r="M7" s="729"/>
      <c r="N7" s="729"/>
      <c r="O7" s="729"/>
      <c r="P7" s="729"/>
      <c r="Q7" s="729"/>
      <c r="R7" s="729"/>
      <c r="S7" s="729"/>
    </row>
    <row r="8" spans="2:19" x14ac:dyDescent="0.2">
      <c r="B8" s="728"/>
      <c r="C8" s="604"/>
      <c r="D8" s="601"/>
      <c r="E8" s="601"/>
      <c r="F8" s="601"/>
      <c r="G8" s="601"/>
      <c r="H8" s="601"/>
      <c r="I8" s="601"/>
      <c r="J8" s="728"/>
      <c r="K8" s="729"/>
      <c r="L8" s="729"/>
      <c r="M8" s="729"/>
      <c r="N8" s="729"/>
      <c r="O8" s="729"/>
      <c r="P8" s="729"/>
      <c r="Q8" s="729"/>
      <c r="R8" s="729"/>
      <c r="S8" s="729"/>
    </row>
    <row r="9" spans="2:19" ht="19.5" x14ac:dyDescent="0.2">
      <c r="B9" s="728"/>
      <c r="C9" s="624" t="s">
        <v>148</v>
      </c>
      <c r="D9" s="1017"/>
      <c r="E9" s="1018"/>
      <c r="F9" s="1018"/>
      <c r="G9" s="1018"/>
      <c r="H9" s="1018"/>
      <c r="I9" s="1019"/>
      <c r="J9" s="728"/>
      <c r="K9" s="729"/>
      <c r="L9" s="729"/>
      <c r="M9" s="729"/>
      <c r="N9" s="729"/>
      <c r="O9" s="729"/>
      <c r="P9" s="729"/>
      <c r="Q9" s="729"/>
      <c r="R9" s="729"/>
      <c r="S9" s="729"/>
    </row>
    <row r="10" spans="2:19" x14ac:dyDescent="0.2">
      <c r="B10" s="728"/>
      <c r="C10" s="602"/>
      <c r="D10" s="601"/>
      <c r="E10" s="601"/>
      <c r="F10" s="601"/>
      <c r="G10" s="601"/>
      <c r="H10" s="601"/>
      <c r="I10" s="601"/>
      <c r="J10" s="728"/>
      <c r="K10" s="598"/>
      <c r="L10" s="598"/>
      <c r="M10" s="598"/>
      <c r="N10" s="598"/>
      <c r="O10" s="598"/>
      <c r="P10" s="598"/>
      <c r="Q10" s="598"/>
      <c r="R10" s="598"/>
      <c r="S10" s="598"/>
    </row>
    <row r="11" spans="2:19" ht="19.5" x14ac:dyDescent="0.2">
      <c r="B11" s="728"/>
      <c r="C11" s="624" t="s">
        <v>149</v>
      </c>
      <c r="D11" s="1020" t="str">
        <f>IF('Project Compliance Tool'!D3="","",'Project Compliance Tool'!D3)</f>
        <v/>
      </c>
      <c r="E11" s="1021"/>
      <c r="F11" s="1021"/>
      <c r="G11" s="1021"/>
      <c r="H11" s="1021"/>
      <c r="I11" s="1022"/>
      <c r="J11" s="728"/>
      <c r="K11" s="729"/>
      <c r="L11" s="729"/>
      <c r="M11" s="729"/>
      <c r="N11" s="729"/>
      <c r="O11" s="729"/>
      <c r="P11" s="729"/>
      <c r="Q11" s="729"/>
      <c r="R11" s="729"/>
      <c r="S11" s="729"/>
    </row>
    <row r="12" spans="2:19" x14ac:dyDescent="0.2">
      <c r="B12" s="728"/>
      <c r="C12" s="602"/>
      <c r="D12" s="601"/>
      <c r="E12" s="601"/>
      <c r="F12" s="601"/>
      <c r="G12" s="601"/>
      <c r="H12" s="601"/>
      <c r="I12" s="601"/>
      <c r="J12" s="728"/>
      <c r="K12" s="729"/>
      <c r="L12" s="729"/>
      <c r="M12" s="729"/>
      <c r="N12" s="729"/>
      <c r="O12" s="729"/>
      <c r="P12" s="729"/>
      <c r="Q12" s="729"/>
      <c r="R12" s="729"/>
      <c r="S12" s="729"/>
    </row>
    <row r="13" spans="2:19" ht="19.5" x14ac:dyDescent="0.25">
      <c r="B13" s="728"/>
      <c r="C13" s="624" t="s">
        <v>150</v>
      </c>
      <c r="D13" s="699"/>
      <c r="E13" s="601"/>
      <c r="F13" s="606"/>
      <c r="G13" s="601"/>
      <c r="H13" s="601"/>
      <c r="I13" s="601"/>
      <c r="J13" s="728"/>
      <c r="K13" s="729"/>
      <c r="L13" s="729"/>
      <c r="M13" s="729"/>
      <c r="N13" s="729"/>
      <c r="O13" s="729"/>
      <c r="P13" s="729"/>
      <c r="Q13" s="729"/>
      <c r="R13" s="729"/>
      <c r="S13" s="729"/>
    </row>
    <row r="14" spans="2:19" ht="19.5" x14ac:dyDescent="0.25">
      <c r="B14" s="728"/>
      <c r="C14" s="624"/>
      <c r="D14" s="605"/>
      <c r="E14" s="601"/>
      <c r="F14" s="606"/>
      <c r="G14" s="601"/>
      <c r="H14" s="601"/>
      <c r="I14" s="601"/>
      <c r="J14" s="728"/>
      <c r="K14" s="729"/>
      <c r="L14" s="729"/>
      <c r="M14" s="729"/>
      <c r="N14" s="729"/>
      <c r="O14" s="729"/>
      <c r="P14" s="729"/>
      <c r="Q14" s="729"/>
      <c r="R14" s="729"/>
      <c r="S14" s="729"/>
    </row>
    <row r="15" spans="2:19" ht="19.5" x14ac:dyDescent="0.25">
      <c r="B15" s="728"/>
      <c r="C15" s="624" t="s">
        <v>151</v>
      </c>
      <c r="D15" s="806"/>
      <c r="E15" s="601"/>
      <c r="F15" s="606"/>
      <c r="G15" s="601"/>
      <c r="H15" s="601"/>
      <c r="I15" s="601"/>
      <c r="J15" s="728"/>
      <c r="K15" s="729"/>
      <c r="L15" s="729"/>
      <c r="M15" s="729"/>
      <c r="N15" s="729"/>
      <c r="O15" s="729"/>
      <c r="P15" s="729"/>
      <c r="Q15" s="729"/>
      <c r="R15" s="729"/>
      <c r="S15" s="729"/>
    </row>
    <row r="16" spans="2:19" x14ac:dyDescent="0.2">
      <c r="B16" s="728"/>
      <c r="C16" s="602"/>
      <c r="D16" s="601"/>
      <c r="E16" s="601"/>
      <c r="F16" s="601"/>
      <c r="G16" s="987"/>
      <c r="H16" s="987"/>
      <c r="I16" s="601"/>
      <c r="J16" s="728"/>
      <c r="K16" s="729"/>
      <c r="L16" s="729"/>
      <c r="M16" s="729"/>
      <c r="N16" s="729"/>
      <c r="O16" s="729"/>
      <c r="P16" s="729"/>
      <c r="Q16" s="729"/>
      <c r="R16" s="729"/>
      <c r="S16" s="729"/>
    </row>
    <row r="17" spans="2:11" ht="18" x14ac:dyDescent="0.2">
      <c r="B17" s="728"/>
      <c r="C17" s="639" t="s">
        <v>152</v>
      </c>
      <c r="D17" s="601"/>
      <c r="E17" s="601"/>
      <c r="F17" s="607"/>
      <c r="G17" s="988" t="s">
        <v>153</v>
      </c>
      <c r="H17" s="988"/>
      <c r="I17" s="601"/>
      <c r="J17" s="728"/>
      <c r="K17" s="729"/>
    </row>
    <row r="18" spans="2:11" ht="15.75" customHeight="1" x14ac:dyDescent="0.2">
      <c r="B18" s="728"/>
      <c r="C18" s="625" t="s">
        <v>154</v>
      </c>
      <c r="D18" s="1015"/>
      <c r="E18" s="1015"/>
      <c r="F18" s="157"/>
      <c r="G18" s="984" t="s">
        <v>155</v>
      </c>
      <c r="H18" s="984"/>
      <c r="I18" s="690"/>
      <c r="J18" s="728"/>
      <c r="K18" s="729"/>
    </row>
    <row r="19" spans="2:11" x14ac:dyDescent="0.2">
      <c r="B19" s="728"/>
      <c r="C19" s="625" t="s">
        <v>156</v>
      </c>
      <c r="D19" s="1015"/>
      <c r="E19" s="1015"/>
      <c r="F19" s="601"/>
      <c r="G19" s="610"/>
      <c r="H19" s="611"/>
      <c r="I19" s="612"/>
      <c r="J19" s="728"/>
      <c r="K19" s="729"/>
    </row>
    <row r="20" spans="2:11" ht="15.75" customHeight="1" x14ac:dyDescent="0.2">
      <c r="B20" s="728"/>
      <c r="C20" s="625" t="s">
        <v>157</v>
      </c>
      <c r="D20" s="1023"/>
      <c r="E20" s="1023"/>
      <c r="F20" s="601"/>
      <c r="G20" s="984" t="s">
        <v>158</v>
      </c>
      <c r="H20" s="984"/>
      <c r="I20" s="690"/>
      <c r="J20" s="728"/>
      <c r="K20" s="729"/>
    </row>
    <row r="21" spans="2:11" x14ac:dyDescent="0.2">
      <c r="B21" s="728"/>
      <c r="C21" s="625" t="s">
        <v>159</v>
      </c>
      <c r="D21" s="1015"/>
      <c r="E21" s="1015"/>
      <c r="F21" s="601"/>
      <c r="G21" s="610"/>
      <c r="H21" s="613"/>
      <c r="I21" s="612"/>
      <c r="J21" s="728"/>
      <c r="K21" s="729"/>
    </row>
    <row r="22" spans="2:11" ht="15.75" customHeight="1" x14ac:dyDescent="0.2">
      <c r="B22" s="728"/>
      <c r="C22" s="625" t="s">
        <v>160</v>
      </c>
      <c r="D22" s="1011"/>
      <c r="E22" s="1011"/>
      <c r="F22" s="157"/>
      <c r="G22" s="984" t="s">
        <v>161</v>
      </c>
      <c r="H22" s="984"/>
      <c r="I22" s="690"/>
      <c r="J22" s="728"/>
      <c r="K22" s="729"/>
    </row>
    <row r="23" spans="2:11" x14ac:dyDescent="0.2">
      <c r="B23" s="728"/>
      <c r="C23" s="625" t="s">
        <v>162</v>
      </c>
      <c r="D23" s="1015"/>
      <c r="E23" s="1015"/>
      <c r="F23" s="601"/>
      <c r="G23" s="614"/>
      <c r="H23" s="613"/>
      <c r="I23" s="612"/>
      <c r="J23" s="730"/>
      <c r="K23" s="731"/>
    </row>
    <row r="24" spans="2:11" ht="15.75" customHeight="1" x14ac:dyDescent="0.2">
      <c r="B24" s="728"/>
      <c r="C24" s="625" t="s">
        <v>163</v>
      </c>
      <c r="D24" s="1011"/>
      <c r="E24" s="1011"/>
      <c r="F24" s="157"/>
      <c r="G24" s="984" t="s">
        <v>164</v>
      </c>
      <c r="H24" s="984"/>
      <c r="I24" s="690"/>
      <c r="J24" s="728"/>
      <c r="K24" s="729"/>
    </row>
    <row r="25" spans="2:11" x14ac:dyDescent="0.2">
      <c r="B25" s="728"/>
      <c r="C25" s="625" t="s">
        <v>165</v>
      </c>
      <c r="D25" s="1012"/>
      <c r="E25" s="1013"/>
      <c r="F25" s="615"/>
      <c r="G25" s="614"/>
      <c r="H25" s="616"/>
      <c r="I25" s="617"/>
      <c r="J25" s="728"/>
      <c r="K25" s="729"/>
    </row>
    <row r="26" spans="2:11" ht="15.75" customHeight="1" x14ac:dyDescent="0.2">
      <c r="B26" s="728"/>
      <c r="C26" s="608"/>
      <c r="D26" s="618"/>
      <c r="E26" s="618"/>
      <c r="F26" s="609"/>
      <c r="G26" s="984" t="s">
        <v>166</v>
      </c>
      <c r="H26" s="984"/>
      <c r="I26" s="690"/>
      <c r="J26" s="728"/>
      <c r="K26" s="729"/>
    </row>
    <row r="27" spans="2:11" ht="15.75" customHeight="1" x14ac:dyDescent="0.2">
      <c r="B27" s="728"/>
      <c r="C27" s="602"/>
      <c r="D27" s="618"/>
      <c r="E27" s="618"/>
      <c r="F27" s="609"/>
      <c r="G27" s="610"/>
      <c r="H27" s="610"/>
      <c r="I27" s="617"/>
      <c r="J27" s="728"/>
      <c r="K27" s="729"/>
    </row>
    <row r="28" spans="2:11" ht="15.75" customHeight="1" x14ac:dyDescent="0.2">
      <c r="B28" s="728"/>
      <c r="C28" s="602"/>
      <c r="D28" s="618"/>
      <c r="E28" s="618"/>
      <c r="F28" s="609"/>
      <c r="G28" s="984" t="s">
        <v>167</v>
      </c>
      <c r="H28" s="984"/>
      <c r="I28" s="691">
        <f>I18+I20+I22+I24+I26</f>
        <v>0</v>
      </c>
      <c r="J28" s="728"/>
      <c r="K28" s="729"/>
    </row>
    <row r="29" spans="2:11" ht="18" x14ac:dyDescent="0.2">
      <c r="B29" s="728"/>
      <c r="C29" s="639" t="s">
        <v>168</v>
      </c>
      <c r="D29" s="627"/>
      <c r="E29" s="627"/>
      <c r="F29" s="628"/>
      <c r="G29" s="626"/>
      <c r="H29" s="626"/>
      <c r="I29" s="628"/>
      <c r="J29" s="728"/>
      <c r="K29" s="729"/>
    </row>
    <row r="30" spans="2:11" ht="15.75" customHeight="1" x14ac:dyDescent="0.2">
      <c r="B30" s="728"/>
      <c r="C30" s="983" t="s">
        <v>169</v>
      </c>
      <c r="D30" s="983"/>
      <c r="E30" s="983"/>
      <c r="F30" s="983"/>
      <c r="G30" s="983"/>
      <c r="H30" s="983"/>
      <c r="I30" s="983"/>
      <c r="J30" s="728"/>
      <c r="K30" s="729"/>
    </row>
    <row r="31" spans="2:11" ht="15.75" customHeight="1" x14ac:dyDescent="0.2">
      <c r="B31" s="728"/>
      <c r="C31" s="985" t="s">
        <v>170</v>
      </c>
      <c r="D31" s="985"/>
      <c r="E31" s="985"/>
      <c r="F31" s="985"/>
      <c r="G31" s="985"/>
      <c r="H31" s="985"/>
      <c r="I31" s="985"/>
      <c r="J31" s="728"/>
      <c r="K31" s="729"/>
    </row>
    <row r="32" spans="2:11" ht="14.25" customHeight="1" x14ac:dyDescent="0.2">
      <c r="B32" s="728"/>
      <c r="C32" s="985"/>
      <c r="D32" s="985"/>
      <c r="E32" s="985"/>
      <c r="F32" s="985"/>
      <c r="G32" s="985"/>
      <c r="H32" s="985"/>
      <c r="I32" s="985"/>
      <c r="J32" s="728"/>
      <c r="K32" s="729"/>
    </row>
    <row r="33" spans="2:10" ht="115.5" customHeight="1" x14ac:dyDescent="0.2">
      <c r="B33" s="728"/>
      <c r="C33" s="980"/>
      <c r="D33" s="981"/>
      <c r="E33" s="981"/>
      <c r="F33" s="981"/>
      <c r="G33" s="981"/>
      <c r="H33" s="981"/>
      <c r="I33" s="982"/>
      <c r="J33" s="728"/>
    </row>
    <row r="34" spans="2:10" ht="7.5" customHeight="1" x14ac:dyDescent="0.2">
      <c r="B34" s="728"/>
      <c r="C34" s="602"/>
      <c r="D34" s="618"/>
      <c r="E34" s="618"/>
      <c r="F34" s="609"/>
      <c r="G34" s="610"/>
      <c r="H34" s="610"/>
      <c r="I34" s="617"/>
      <c r="J34" s="728"/>
    </row>
    <row r="35" spans="2:10" ht="18" x14ac:dyDescent="0.2">
      <c r="B35" s="728"/>
      <c r="C35" s="639" t="s">
        <v>171</v>
      </c>
      <c r="D35" s="627"/>
      <c r="E35" s="627"/>
      <c r="F35" s="629"/>
      <c r="G35" s="984"/>
      <c r="H35" s="984"/>
      <c r="I35" s="630"/>
      <c r="J35" s="728"/>
    </row>
    <row r="36" spans="2:10" x14ac:dyDescent="0.2">
      <c r="B36" s="728"/>
      <c r="C36" s="983" t="s">
        <v>172</v>
      </c>
      <c r="D36" s="983"/>
      <c r="E36" s="983"/>
      <c r="F36" s="631"/>
      <c r="G36" s="989"/>
      <c r="H36" s="989"/>
      <c r="I36" s="625"/>
      <c r="J36" s="728"/>
    </row>
    <row r="37" spans="2:10" ht="15.75" customHeight="1" x14ac:dyDescent="0.2">
      <c r="B37" s="728"/>
      <c r="C37" s="985" t="s">
        <v>173</v>
      </c>
      <c r="D37" s="985"/>
      <c r="E37" s="985"/>
      <c r="F37" s="985"/>
      <c r="G37" s="985"/>
      <c r="H37" s="985"/>
      <c r="I37" s="985"/>
      <c r="J37" s="728"/>
    </row>
    <row r="38" spans="2:10" ht="15.75" customHeight="1" x14ac:dyDescent="0.2">
      <c r="B38" s="728"/>
      <c r="C38" s="985"/>
      <c r="D38" s="985"/>
      <c r="E38" s="985"/>
      <c r="F38" s="985"/>
      <c r="G38" s="985"/>
      <c r="H38" s="985"/>
      <c r="I38" s="985"/>
      <c r="J38" s="728"/>
    </row>
    <row r="39" spans="2:10" ht="15.75" customHeight="1" x14ac:dyDescent="0.2">
      <c r="B39" s="728"/>
      <c r="C39" s="985"/>
      <c r="D39" s="985"/>
      <c r="E39" s="985"/>
      <c r="F39" s="985"/>
      <c r="G39" s="985"/>
      <c r="H39" s="985"/>
      <c r="I39" s="985"/>
      <c r="J39" s="728"/>
    </row>
    <row r="40" spans="2:10" ht="10.15" customHeight="1" x14ac:dyDescent="0.2">
      <c r="B40" s="728"/>
      <c r="C40" s="985"/>
      <c r="D40" s="985"/>
      <c r="E40" s="985"/>
      <c r="F40" s="985"/>
      <c r="G40" s="985"/>
      <c r="H40" s="985"/>
      <c r="I40" s="985"/>
      <c r="J40" s="728"/>
    </row>
    <row r="41" spans="2:10" ht="115.5" customHeight="1" x14ac:dyDescent="0.2">
      <c r="B41" s="728"/>
      <c r="C41" s="980"/>
      <c r="D41" s="981"/>
      <c r="E41" s="981"/>
      <c r="F41" s="981"/>
      <c r="G41" s="981"/>
      <c r="H41" s="981"/>
      <c r="I41" s="982"/>
      <c r="J41" s="728"/>
    </row>
    <row r="42" spans="2:10" ht="23.65" customHeight="1" x14ac:dyDescent="0.25">
      <c r="B42" s="728"/>
      <c r="C42" s="640" t="s">
        <v>174</v>
      </c>
      <c r="D42" s="633"/>
      <c r="E42" s="633"/>
      <c r="F42" s="633"/>
      <c r="G42" s="633"/>
      <c r="H42" s="633"/>
      <c r="I42" s="619"/>
      <c r="J42" s="728"/>
    </row>
    <row r="43" spans="2:10" ht="24.6" customHeight="1" x14ac:dyDescent="0.2">
      <c r="B43" s="728"/>
      <c r="C43" s="1014" t="s">
        <v>175</v>
      </c>
      <c r="D43" s="1014"/>
      <c r="E43" s="1014"/>
      <c r="F43" s="1014"/>
      <c r="G43" s="1014"/>
      <c r="H43" s="1014"/>
      <c r="I43" s="619"/>
      <c r="J43" s="728"/>
    </row>
    <row r="44" spans="2:10" ht="21.6" customHeight="1" x14ac:dyDescent="0.2">
      <c r="B44" s="728"/>
      <c r="C44" s="1014"/>
      <c r="D44" s="1014"/>
      <c r="E44" s="1014"/>
      <c r="F44" s="1014"/>
      <c r="G44" s="1014"/>
      <c r="H44" s="1014"/>
      <c r="I44" s="619"/>
      <c r="J44" s="728"/>
    </row>
    <row r="45" spans="2:10" ht="115.5" customHeight="1" x14ac:dyDescent="0.2">
      <c r="B45" s="728"/>
      <c r="C45" s="980"/>
      <c r="D45" s="981"/>
      <c r="E45" s="981"/>
      <c r="F45" s="981"/>
      <c r="G45" s="981"/>
      <c r="H45" s="981"/>
      <c r="I45" s="982"/>
      <c r="J45" s="728"/>
    </row>
    <row r="46" spans="2:10" ht="26.65" customHeight="1" x14ac:dyDescent="0.25">
      <c r="B46" s="728"/>
      <c r="C46" s="640" t="s">
        <v>176</v>
      </c>
      <c r="D46" s="633"/>
      <c r="E46" s="633"/>
      <c r="F46" s="633"/>
      <c r="G46" s="633"/>
      <c r="H46" s="633"/>
      <c r="I46" s="619"/>
      <c r="J46" s="728"/>
    </row>
    <row r="47" spans="2:10" ht="51.6" customHeight="1" x14ac:dyDescent="0.2">
      <c r="B47" s="728"/>
      <c r="C47" s="1014" t="s">
        <v>177</v>
      </c>
      <c r="D47" s="1014"/>
      <c r="E47" s="1014"/>
      <c r="F47" s="1014"/>
      <c r="G47" s="1014"/>
      <c r="H47" s="1014"/>
      <c r="I47" s="619"/>
      <c r="J47" s="728"/>
    </row>
    <row r="48" spans="2:10" ht="93" customHeight="1" x14ac:dyDescent="0.2">
      <c r="B48" s="728"/>
      <c r="C48" s="980"/>
      <c r="D48" s="981"/>
      <c r="E48" s="981"/>
      <c r="F48" s="981"/>
      <c r="G48" s="981"/>
      <c r="H48" s="981"/>
      <c r="I48" s="982"/>
      <c r="J48" s="728"/>
    </row>
    <row r="49" spans="2:10" ht="28.15" customHeight="1" x14ac:dyDescent="0.25">
      <c r="B49" s="728"/>
      <c r="C49" s="640" t="s">
        <v>178</v>
      </c>
      <c r="D49" s="624"/>
      <c r="E49" s="624"/>
      <c r="F49" s="624"/>
      <c r="G49" s="624"/>
      <c r="H49" s="624"/>
      <c r="I49" s="624"/>
      <c r="J49" s="728"/>
    </row>
    <row r="50" spans="2:10" ht="46.5" customHeight="1" x14ac:dyDescent="0.2">
      <c r="B50" s="728"/>
      <c r="C50" s="985" t="s">
        <v>179</v>
      </c>
      <c r="D50" s="985"/>
      <c r="E50" s="985"/>
      <c r="F50" s="985"/>
      <c r="G50" s="985"/>
      <c r="H50" s="985"/>
      <c r="I50" s="985"/>
      <c r="J50" s="728"/>
    </row>
    <row r="51" spans="2:10" ht="94.15" customHeight="1" x14ac:dyDescent="0.2">
      <c r="B51" s="728"/>
      <c r="C51" s="980"/>
      <c r="D51" s="981"/>
      <c r="E51" s="981"/>
      <c r="F51" s="981"/>
      <c r="G51" s="981"/>
      <c r="H51" s="981"/>
      <c r="I51" s="982"/>
      <c r="J51" s="728"/>
    </row>
    <row r="52" spans="2:10" ht="31.5" customHeight="1" x14ac:dyDescent="0.25">
      <c r="B52" s="728"/>
      <c r="C52" s="640" t="s">
        <v>180</v>
      </c>
      <c r="D52" s="754"/>
      <c r="E52" s="754"/>
      <c r="F52" s="754"/>
      <c r="G52" s="754"/>
      <c r="H52" s="754"/>
      <c r="I52" s="754"/>
      <c r="J52" s="728"/>
    </row>
    <row r="53" spans="2:10" ht="71.25" customHeight="1" x14ac:dyDescent="0.2">
      <c r="B53" s="728"/>
      <c r="C53" s="985" t="s">
        <v>181</v>
      </c>
      <c r="D53" s="985"/>
      <c r="E53" s="985"/>
      <c r="F53" s="985"/>
      <c r="G53" s="985"/>
      <c r="H53" s="985"/>
      <c r="I53" s="985"/>
      <c r="J53" s="728"/>
    </row>
    <row r="54" spans="2:10" ht="94.15" customHeight="1" x14ac:dyDescent="0.2">
      <c r="B54" s="728"/>
      <c r="C54" s="980"/>
      <c r="D54" s="981"/>
      <c r="E54" s="981"/>
      <c r="F54" s="981"/>
      <c r="G54" s="981"/>
      <c r="H54" s="981"/>
      <c r="I54" s="982"/>
      <c r="J54" s="728"/>
    </row>
    <row r="55" spans="2:10" ht="25.5" customHeight="1" x14ac:dyDescent="0.25">
      <c r="B55" s="728"/>
      <c r="C55" s="986" t="s">
        <v>182</v>
      </c>
      <c r="D55" s="986"/>
      <c r="E55" s="634"/>
      <c r="F55" s="634"/>
      <c r="G55" s="634"/>
      <c r="H55" s="624"/>
      <c r="I55" s="624"/>
      <c r="J55" s="728"/>
    </row>
    <row r="56" spans="2:10" ht="69" customHeight="1" x14ac:dyDescent="0.2">
      <c r="B56" s="728"/>
      <c r="C56" s="1004" t="s">
        <v>183</v>
      </c>
      <c r="D56" s="1004"/>
      <c r="E56" s="1004"/>
      <c r="F56" s="1004"/>
      <c r="G56" s="1004"/>
      <c r="H56" s="1004"/>
      <c r="I56" s="1004"/>
      <c r="J56" s="728"/>
    </row>
    <row r="57" spans="2:10" ht="88.15" customHeight="1" x14ac:dyDescent="0.2">
      <c r="B57" s="728"/>
      <c r="C57" s="977"/>
      <c r="D57" s="978"/>
      <c r="E57" s="978"/>
      <c r="F57" s="978"/>
      <c r="G57" s="978"/>
      <c r="H57" s="978"/>
      <c r="I57" s="979"/>
      <c r="J57" s="728"/>
    </row>
    <row r="58" spans="2:10" s="599" customFormat="1" ht="25.5" customHeight="1" x14ac:dyDescent="0.25">
      <c r="B58" s="732"/>
      <c r="C58" s="640" t="s">
        <v>184</v>
      </c>
      <c r="D58" s="635"/>
      <c r="E58" s="635"/>
      <c r="F58" s="635"/>
      <c r="G58" s="635"/>
      <c r="H58" s="635"/>
      <c r="I58" s="635"/>
      <c r="J58" s="732"/>
    </row>
    <row r="59" spans="2:10" ht="31.5" customHeight="1" x14ac:dyDescent="0.2">
      <c r="B59" s="728"/>
      <c r="C59" s="1004" t="s">
        <v>185</v>
      </c>
      <c r="D59" s="1004"/>
      <c r="E59" s="1004"/>
      <c r="F59" s="1004"/>
      <c r="G59" s="1004"/>
      <c r="H59" s="1004"/>
      <c r="I59" s="1004"/>
      <c r="J59" s="728"/>
    </row>
    <row r="60" spans="2:10" ht="85.15" customHeight="1" x14ac:dyDescent="0.2">
      <c r="B60" s="728"/>
      <c r="C60" s="980"/>
      <c r="D60" s="981"/>
      <c r="E60" s="981"/>
      <c r="F60" s="981"/>
      <c r="G60" s="981"/>
      <c r="H60" s="981"/>
      <c r="I60" s="982"/>
      <c r="J60" s="728"/>
    </row>
    <row r="61" spans="2:10" ht="28.5" customHeight="1" x14ac:dyDescent="0.25">
      <c r="B61" s="728"/>
      <c r="C61" s="640" t="s">
        <v>186</v>
      </c>
      <c r="D61" s="624"/>
      <c r="E61" s="624"/>
      <c r="F61" s="624"/>
      <c r="G61" s="624"/>
      <c r="H61" s="624"/>
      <c r="I61" s="624"/>
      <c r="J61" s="728"/>
    </row>
    <row r="62" spans="2:10" ht="92.65" customHeight="1" thickBot="1" x14ac:dyDescent="0.25">
      <c r="B62" s="728"/>
      <c r="C62" s="985" t="s">
        <v>187</v>
      </c>
      <c r="D62" s="985"/>
      <c r="E62" s="985"/>
      <c r="F62" s="985"/>
      <c r="G62" s="985"/>
      <c r="H62" s="985"/>
      <c r="I62" s="985"/>
      <c r="J62" s="728"/>
    </row>
    <row r="63" spans="2:10" ht="40.15" customHeight="1" thickBot="1" x14ac:dyDescent="0.25">
      <c r="B63" s="728"/>
      <c r="C63" s="643" t="s">
        <v>188</v>
      </c>
      <c r="D63" s="644" t="s">
        <v>189</v>
      </c>
      <c r="E63" s="1005" t="s">
        <v>190</v>
      </c>
      <c r="F63" s="1005"/>
      <c r="G63" s="1005"/>
      <c r="H63" s="1005"/>
      <c r="I63" s="1006"/>
      <c r="J63" s="728"/>
    </row>
    <row r="64" spans="2:10" ht="40.15" customHeight="1" x14ac:dyDescent="0.2">
      <c r="B64" s="728"/>
      <c r="C64" s="519"/>
      <c r="D64" s="520"/>
      <c r="E64" s="1009"/>
      <c r="F64" s="1009"/>
      <c r="G64" s="1009"/>
      <c r="H64" s="1009"/>
      <c r="I64" s="1010"/>
      <c r="J64" s="728"/>
    </row>
    <row r="65" spans="2:10" ht="40.15" customHeight="1" x14ac:dyDescent="0.2">
      <c r="B65" s="728"/>
      <c r="C65" s="521"/>
      <c r="D65" s="645"/>
      <c r="E65" s="1007"/>
      <c r="F65" s="1007"/>
      <c r="G65" s="1007"/>
      <c r="H65" s="1007"/>
      <c r="I65" s="1008"/>
      <c r="J65" s="728"/>
    </row>
    <row r="66" spans="2:10" ht="40.15" customHeight="1" x14ac:dyDescent="0.2">
      <c r="B66" s="728"/>
      <c r="C66" s="521"/>
      <c r="D66" s="645"/>
      <c r="E66" s="1007"/>
      <c r="F66" s="1007"/>
      <c r="G66" s="1007"/>
      <c r="H66" s="1007"/>
      <c r="I66" s="1008"/>
      <c r="J66" s="728"/>
    </row>
    <row r="67" spans="2:10" ht="40.15" customHeight="1" x14ac:dyDescent="0.2">
      <c r="B67" s="728"/>
      <c r="C67" s="521"/>
      <c r="D67" s="645"/>
      <c r="E67" s="1007"/>
      <c r="F67" s="1007"/>
      <c r="G67" s="1007"/>
      <c r="H67" s="1007"/>
      <c r="I67" s="1008"/>
      <c r="J67" s="728"/>
    </row>
    <row r="68" spans="2:10" ht="40.15" customHeight="1" x14ac:dyDescent="0.2">
      <c r="B68" s="728"/>
      <c r="C68" s="521"/>
      <c r="D68" s="645"/>
      <c r="E68" s="1007"/>
      <c r="F68" s="1007"/>
      <c r="G68" s="1007"/>
      <c r="H68" s="1007"/>
      <c r="I68" s="1008"/>
      <c r="J68" s="728"/>
    </row>
    <row r="69" spans="2:10" ht="40.15" customHeight="1" x14ac:dyDescent="0.2">
      <c r="B69" s="728"/>
      <c r="C69" s="521"/>
      <c r="D69" s="645"/>
      <c r="E69" s="1007"/>
      <c r="F69" s="1007"/>
      <c r="G69" s="1007"/>
      <c r="H69" s="1007"/>
      <c r="I69" s="1008"/>
      <c r="J69" s="728"/>
    </row>
    <row r="70" spans="2:10" ht="40.15" customHeight="1" x14ac:dyDescent="0.2">
      <c r="B70" s="728"/>
      <c r="C70" s="521"/>
      <c r="D70" s="645"/>
      <c r="E70" s="1007"/>
      <c r="F70" s="1007"/>
      <c r="G70" s="1007"/>
      <c r="H70" s="1007"/>
      <c r="I70" s="1008"/>
      <c r="J70" s="728"/>
    </row>
    <row r="71" spans="2:10" ht="39.6" customHeight="1" thickBot="1" x14ac:dyDescent="0.25">
      <c r="B71" s="728"/>
      <c r="C71" s="522"/>
      <c r="D71" s="646"/>
      <c r="E71" s="1002"/>
      <c r="F71" s="1002"/>
      <c r="G71" s="1002"/>
      <c r="H71" s="1002"/>
      <c r="I71" s="1003"/>
      <c r="J71" s="728"/>
    </row>
    <row r="72" spans="2:10" ht="29.1" customHeight="1" x14ac:dyDescent="0.2">
      <c r="B72" s="728"/>
      <c r="C72" s="632" t="s">
        <v>191</v>
      </c>
      <c r="D72" s="624"/>
      <c r="E72" s="624"/>
      <c r="F72" s="624"/>
      <c r="G72" s="624"/>
      <c r="H72" s="624"/>
      <c r="I72" s="624"/>
      <c r="J72" s="728"/>
    </row>
    <row r="73" spans="2:10" ht="60.6" customHeight="1" x14ac:dyDescent="0.2">
      <c r="B73" s="728"/>
      <c r="C73" s="985" t="s">
        <v>192</v>
      </c>
      <c r="D73" s="985"/>
      <c r="E73" s="985"/>
      <c r="F73" s="985"/>
      <c r="G73" s="985"/>
      <c r="H73" s="985"/>
      <c r="I73" s="985"/>
      <c r="J73" s="728"/>
    </row>
    <row r="74" spans="2:10" ht="112.5" customHeight="1" x14ac:dyDescent="0.2">
      <c r="B74" s="728"/>
      <c r="C74" s="991"/>
      <c r="D74" s="992"/>
      <c r="E74" s="992"/>
      <c r="F74" s="992"/>
      <c r="G74" s="992"/>
      <c r="H74" s="992"/>
      <c r="I74" s="993"/>
      <c r="J74" s="728"/>
    </row>
    <row r="75" spans="2:10" x14ac:dyDescent="0.2">
      <c r="B75" s="728"/>
      <c r="C75" s="602"/>
      <c r="D75" s="601"/>
      <c r="E75" s="601"/>
      <c r="F75" s="601"/>
      <c r="G75" s="601"/>
      <c r="H75" s="601"/>
      <c r="I75" s="601"/>
      <c r="J75" s="728"/>
    </row>
    <row r="76" spans="2:10" ht="16.5" thickBot="1" x14ac:dyDescent="0.25">
      <c r="B76" s="728"/>
      <c r="C76" s="623" t="s">
        <v>193</v>
      </c>
      <c r="D76" s="601"/>
      <c r="E76" s="601"/>
      <c r="F76" s="601"/>
      <c r="G76" s="601"/>
      <c r="H76" s="601"/>
      <c r="I76" s="601"/>
      <c r="J76" s="728"/>
    </row>
    <row r="77" spans="2:10" ht="26.25" thickBot="1" x14ac:dyDescent="0.25">
      <c r="B77" s="728"/>
      <c r="C77" s="641" t="s">
        <v>194</v>
      </c>
      <c r="D77" s="647" t="s">
        <v>195</v>
      </c>
      <c r="E77" s="648" t="s">
        <v>196</v>
      </c>
      <c r="F77" s="642" t="s">
        <v>197</v>
      </c>
      <c r="G77" s="647" t="s">
        <v>198</v>
      </c>
      <c r="H77" s="647" t="s">
        <v>199</v>
      </c>
      <c r="I77" s="601"/>
      <c r="J77" s="728"/>
    </row>
    <row r="78" spans="2:10" x14ac:dyDescent="0.2">
      <c r="B78" s="728"/>
      <c r="C78" s="994" t="s">
        <v>200</v>
      </c>
      <c r="D78" s="651" t="s">
        <v>201</v>
      </c>
      <c r="E78" s="154"/>
      <c r="F78" s="154"/>
      <c r="G78" s="155"/>
      <c r="H78" s="155"/>
      <c r="I78" s="601"/>
      <c r="J78" s="728"/>
    </row>
    <row r="79" spans="2:10" x14ac:dyDescent="0.2">
      <c r="B79" s="728"/>
      <c r="C79" s="995"/>
      <c r="D79" s="652" t="s">
        <v>202</v>
      </c>
      <c r="E79" s="156"/>
      <c r="F79" s="156"/>
      <c r="G79" s="155"/>
      <c r="H79" s="155"/>
      <c r="I79" s="601"/>
      <c r="J79" s="728"/>
    </row>
    <row r="80" spans="2:10" x14ac:dyDescent="0.2">
      <c r="B80" s="728"/>
      <c r="C80" s="996" t="s">
        <v>203</v>
      </c>
      <c r="D80" s="652" t="s">
        <v>204</v>
      </c>
      <c r="E80" s="154"/>
      <c r="F80" s="154"/>
      <c r="G80" s="155"/>
      <c r="H80" s="155"/>
      <c r="I80" s="601"/>
      <c r="J80" s="728"/>
    </row>
    <row r="81" spans="2:10" x14ac:dyDescent="0.2">
      <c r="B81" s="728"/>
      <c r="C81" s="994"/>
      <c r="D81" s="652" t="s">
        <v>205</v>
      </c>
      <c r="E81" s="156"/>
      <c r="F81" s="156"/>
      <c r="G81" s="155"/>
      <c r="H81" s="155"/>
      <c r="I81" s="601"/>
      <c r="J81" s="728"/>
    </row>
    <row r="82" spans="2:10" x14ac:dyDescent="0.2">
      <c r="B82" s="728"/>
      <c r="C82" s="994"/>
      <c r="D82" s="652" t="s">
        <v>206</v>
      </c>
      <c r="E82" s="154"/>
      <c r="F82" s="154"/>
      <c r="G82" s="155"/>
      <c r="H82" s="155"/>
      <c r="I82" s="601"/>
      <c r="J82" s="728"/>
    </row>
    <row r="83" spans="2:10" x14ac:dyDescent="0.2">
      <c r="B83" s="728"/>
      <c r="C83" s="995"/>
      <c r="D83" s="652" t="s">
        <v>207</v>
      </c>
      <c r="E83" s="156"/>
      <c r="F83" s="156"/>
      <c r="G83" s="155"/>
      <c r="H83" s="155"/>
      <c r="I83" s="601"/>
      <c r="J83" s="728"/>
    </row>
    <row r="84" spans="2:10" ht="22.5" customHeight="1" thickBot="1" x14ac:dyDescent="0.25">
      <c r="B84" s="728"/>
      <c r="C84" s="661" t="s">
        <v>208</v>
      </c>
      <c r="D84" s="662" t="s">
        <v>209</v>
      </c>
      <c r="E84" s="154"/>
      <c r="F84" s="154"/>
      <c r="G84" s="155"/>
      <c r="H84" s="155"/>
      <c r="I84" s="601"/>
      <c r="J84" s="728"/>
    </row>
    <row r="85" spans="2:10" ht="16.5" thickBot="1" x14ac:dyDescent="0.25">
      <c r="B85" s="728"/>
      <c r="C85" s="659"/>
      <c r="D85" s="660"/>
      <c r="E85" s="649"/>
      <c r="F85" s="649"/>
      <c r="G85" s="650"/>
      <c r="H85" s="650"/>
      <c r="I85" s="601"/>
      <c r="J85" s="728"/>
    </row>
    <row r="86" spans="2:10" x14ac:dyDescent="0.2">
      <c r="B86" s="728"/>
      <c r="C86" s="654" t="s">
        <v>210</v>
      </c>
      <c r="D86" s="655" t="s">
        <v>211</v>
      </c>
      <c r="E86" s="154"/>
      <c r="F86" s="154"/>
      <c r="G86" s="155"/>
      <c r="H86" s="601"/>
      <c r="I86" s="601"/>
      <c r="J86" s="728"/>
    </row>
    <row r="87" spans="2:10" x14ac:dyDescent="0.2">
      <c r="B87" s="728"/>
      <c r="C87" s="656" t="s">
        <v>212</v>
      </c>
      <c r="D87" s="652" t="s">
        <v>213</v>
      </c>
      <c r="E87" s="156"/>
      <c r="F87" s="156"/>
      <c r="G87" s="155"/>
      <c r="H87" s="601"/>
      <c r="I87" s="601"/>
      <c r="J87" s="728"/>
    </row>
    <row r="88" spans="2:10" x14ac:dyDescent="0.2">
      <c r="B88" s="728"/>
      <c r="C88" s="656" t="s">
        <v>214</v>
      </c>
      <c r="D88" s="653" t="s">
        <v>215</v>
      </c>
      <c r="E88" s="158"/>
      <c r="F88" s="158"/>
      <c r="G88" s="159"/>
      <c r="H88" s="601"/>
      <c r="I88" s="601"/>
      <c r="J88" s="728"/>
    </row>
    <row r="89" spans="2:10" x14ac:dyDescent="0.2">
      <c r="B89" s="728"/>
      <c r="C89" s="997" t="s">
        <v>216</v>
      </c>
      <c r="D89" s="657" t="s">
        <v>217</v>
      </c>
      <c r="E89" s="240"/>
      <c r="F89" s="241"/>
      <c r="G89" s="242"/>
      <c r="H89" s="601"/>
      <c r="I89" s="601"/>
      <c r="J89" s="728"/>
    </row>
    <row r="90" spans="2:10" x14ac:dyDescent="0.2">
      <c r="B90" s="728"/>
      <c r="C90" s="998"/>
      <c r="D90" s="657" t="s">
        <v>218</v>
      </c>
      <c r="E90" s="235"/>
      <c r="F90" s="160"/>
      <c r="G90" s="236"/>
      <c r="H90" s="601"/>
      <c r="I90" s="601"/>
      <c r="J90" s="728"/>
    </row>
    <row r="91" spans="2:10" x14ac:dyDescent="0.2">
      <c r="B91" s="728"/>
      <c r="C91" s="998"/>
      <c r="D91" s="657" t="s">
        <v>219</v>
      </c>
      <c r="E91" s="235"/>
      <c r="F91" s="160"/>
      <c r="G91" s="236"/>
      <c r="H91" s="601"/>
      <c r="I91" s="601"/>
      <c r="J91" s="728"/>
    </row>
    <row r="92" spans="2:10" x14ac:dyDescent="0.2">
      <c r="B92" s="728"/>
      <c r="C92" s="998"/>
      <c r="D92" s="657" t="s">
        <v>220</v>
      </c>
      <c r="E92" s="235"/>
      <c r="F92" s="160"/>
      <c r="G92" s="236"/>
      <c r="H92" s="601"/>
      <c r="I92" s="601"/>
      <c r="J92" s="728"/>
    </row>
    <row r="93" spans="2:10" ht="16.5" thickBot="1" x14ac:dyDescent="0.25">
      <c r="B93" s="728"/>
      <c r="C93" s="999"/>
      <c r="D93" s="658" t="s">
        <v>221</v>
      </c>
      <c r="E93" s="237"/>
      <c r="F93" s="238"/>
      <c r="G93" s="239"/>
      <c r="H93" s="601"/>
      <c r="I93" s="601"/>
      <c r="J93" s="728"/>
    </row>
    <row r="94" spans="2:10" ht="7.5" customHeight="1" x14ac:dyDescent="0.2">
      <c r="B94" s="728"/>
      <c r="C94" s="602"/>
      <c r="D94" s="601"/>
      <c r="E94" s="601"/>
      <c r="F94" s="601"/>
      <c r="G94" s="620">
        <f>SUM(G78:G93)</f>
        <v>0</v>
      </c>
      <c r="H94" s="601"/>
      <c r="I94" s="601"/>
      <c r="J94" s="728"/>
    </row>
    <row r="95" spans="2:10" ht="28.15" customHeight="1" x14ac:dyDescent="0.2">
      <c r="B95" s="728"/>
      <c r="C95" s="632" t="s">
        <v>222</v>
      </c>
      <c r="D95" s="624"/>
      <c r="E95" s="624"/>
      <c r="F95" s="624"/>
      <c r="G95" s="636"/>
      <c r="H95" s="624"/>
      <c r="I95" s="601"/>
      <c r="J95" s="728"/>
    </row>
    <row r="96" spans="2:10" ht="44.1" customHeight="1" x14ac:dyDescent="0.2">
      <c r="B96" s="728"/>
      <c r="C96" s="985" t="s">
        <v>223</v>
      </c>
      <c r="D96" s="985"/>
      <c r="E96" s="985"/>
      <c r="F96" s="985"/>
      <c r="G96" s="985"/>
      <c r="H96" s="985"/>
      <c r="I96" s="601"/>
      <c r="J96" s="728"/>
    </row>
    <row r="97" spans="2:10" ht="96" customHeight="1" x14ac:dyDescent="0.2">
      <c r="B97" s="728"/>
      <c r="C97" s="980"/>
      <c r="D97" s="981"/>
      <c r="E97" s="981"/>
      <c r="F97" s="981"/>
      <c r="G97" s="981"/>
      <c r="H97" s="981"/>
      <c r="I97" s="982"/>
      <c r="J97" s="728"/>
    </row>
    <row r="98" spans="2:10" x14ac:dyDescent="0.2">
      <c r="B98" s="728"/>
      <c r="C98" s="600"/>
      <c r="D98" s="600"/>
      <c r="E98" s="600"/>
      <c r="F98" s="600"/>
      <c r="G98" s="600"/>
      <c r="H98" s="600"/>
      <c r="I98" s="600"/>
      <c r="J98" s="728"/>
    </row>
    <row r="99" spans="2:10" ht="15.75" customHeight="1" x14ac:dyDescent="0.2">
      <c r="B99" s="728"/>
      <c r="C99" s="623" t="s">
        <v>224</v>
      </c>
      <c r="D99" s="624"/>
      <c r="E99" s="624"/>
      <c r="F99" s="624"/>
      <c r="G99" s="624"/>
      <c r="H99" s="624"/>
      <c r="I99" s="624"/>
      <c r="J99" s="728"/>
    </row>
    <row r="100" spans="2:10" ht="15.75" customHeight="1" x14ac:dyDescent="0.2">
      <c r="B100" s="728"/>
      <c r="C100" s="1000" t="s">
        <v>225</v>
      </c>
      <c r="D100" s="1000"/>
      <c r="E100" s="1000"/>
      <c r="F100" s="1000"/>
      <c r="G100" s="1000"/>
      <c r="H100" s="1000"/>
      <c r="I100" s="1000"/>
      <c r="J100" s="728"/>
    </row>
    <row r="101" spans="2:10" ht="12.6" customHeight="1" x14ac:dyDescent="0.2">
      <c r="B101" s="728"/>
      <c r="C101" s="637"/>
      <c r="D101" s="638"/>
      <c r="E101" s="638"/>
      <c r="F101" s="638"/>
      <c r="G101" s="638"/>
      <c r="H101" s="638"/>
      <c r="I101" s="638"/>
      <c r="J101" s="728"/>
    </row>
    <row r="102" spans="2:10" ht="29.1" customHeight="1" x14ac:dyDescent="0.2">
      <c r="B102" s="728"/>
      <c r="C102" s="1001" t="s">
        <v>226</v>
      </c>
      <c r="D102" s="1001"/>
      <c r="E102" s="1001"/>
      <c r="F102" s="1001"/>
      <c r="G102" s="1001"/>
      <c r="H102" s="1001"/>
      <c r="I102" s="1001"/>
      <c r="J102" s="728"/>
    </row>
    <row r="103" spans="2:10" x14ac:dyDescent="0.2">
      <c r="B103" s="728"/>
      <c r="C103" s="604"/>
      <c r="D103" s="608"/>
      <c r="E103" s="621"/>
      <c r="F103" s="161"/>
      <c r="G103" s="608"/>
      <c r="H103" s="990" t="str">
        <f ca="1">"© Salix "&amp;YEAR(NOW())</f>
        <v>© Salix 2026</v>
      </c>
      <c r="I103" s="990"/>
      <c r="J103" s="728"/>
    </row>
    <row r="104" spans="2:10" x14ac:dyDescent="0.2">
      <c r="B104" s="728"/>
      <c r="C104" s="663"/>
      <c r="D104" s="663"/>
      <c r="E104" s="663"/>
      <c r="F104" s="663"/>
      <c r="G104" s="663"/>
      <c r="H104" s="663"/>
      <c r="I104" s="663"/>
      <c r="J104" s="728"/>
    </row>
    <row r="105" spans="2:10" x14ac:dyDescent="0.2">
      <c r="B105" s="733"/>
      <c r="C105" s="622"/>
      <c r="D105" s="733"/>
      <c r="E105" s="733"/>
      <c r="F105" s="733"/>
      <c r="G105" s="733"/>
      <c r="H105" s="733"/>
      <c r="I105" s="733"/>
      <c r="J105" s="733"/>
    </row>
  </sheetData>
  <sheetProtection algorithmName="SHA-512" hashValue="Wv5T+7RMRAIQZPM379N+bNe41WIs9KGj++ley6FY/B8BqMw+uptRoQ66jpe8G6vjScGh+5OUExlEULhXKLiFAQ==" saltValue="aKdcdGTjukJcRKlWnYQ2Ew==" spinCount="100000" sheet="1" objects="1" scenarios="1" formatRows="0"/>
  <mergeCells count="61">
    <mergeCell ref="D23:E23"/>
    <mergeCell ref="C6:I6"/>
    <mergeCell ref="D9:I9"/>
    <mergeCell ref="D11:I11"/>
    <mergeCell ref="D18:E18"/>
    <mergeCell ref="D19:E19"/>
    <mergeCell ref="D20:E20"/>
    <mergeCell ref="G18:H18"/>
    <mergeCell ref="G20:H20"/>
    <mergeCell ref="D21:E21"/>
    <mergeCell ref="D22:E22"/>
    <mergeCell ref="C56:I56"/>
    <mergeCell ref="D24:E24"/>
    <mergeCell ref="D25:E25"/>
    <mergeCell ref="C43:H44"/>
    <mergeCell ref="C45:I45"/>
    <mergeCell ref="C47:H47"/>
    <mergeCell ref="C48:I48"/>
    <mergeCell ref="G28:H28"/>
    <mergeCell ref="C37:I40"/>
    <mergeCell ref="C41:I41"/>
    <mergeCell ref="C54:I54"/>
    <mergeCell ref="C53:I53"/>
    <mergeCell ref="E71:I71"/>
    <mergeCell ref="C59:I59"/>
    <mergeCell ref="C60:I60"/>
    <mergeCell ref="C62:I62"/>
    <mergeCell ref="E63:I63"/>
    <mergeCell ref="E65:I65"/>
    <mergeCell ref="E66:I66"/>
    <mergeCell ref="E67:I67"/>
    <mergeCell ref="E68:I68"/>
    <mergeCell ref="E64:I64"/>
    <mergeCell ref="E70:I70"/>
    <mergeCell ref="E69:I69"/>
    <mergeCell ref="H103:I103"/>
    <mergeCell ref="C73:I73"/>
    <mergeCell ref="C74:I74"/>
    <mergeCell ref="C78:C79"/>
    <mergeCell ref="C80:C83"/>
    <mergeCell ref="C89:C93"/>
    <mergeCell ref="C100:I100"/>
    <mergeCell ref="C96:H96"/>
    <mergeCell ref="C97:I97"/>
    <mergeCell ref="C102:I102"/>
    <mergeCell ref="C3:G4"/>
    <mergeCell ref="C57:I57"/>
    <mergeCell ref="C33:I33"/>
    <mergeCell ref="C30:I30"/>
    <mergeCell ref="G22:H22"/>
    <mergeCell ref="C31:I32"/>
    <mergeCell ref="C51:I51"/>
    <mergeCell ref="C55:D55"/>
    <mergeCell ref="G16:H16"/>
    <mergeCell ref="G17:H17"/>
    <mergeCell ref="G24:H24"/>
    <mergeCell ref="G26:H26"/>
    <mergeCell ref="G36:H36"/>
    <mergeCell ref="G35:H35"/>
    <mergeCell ref="C50:I50"/>
    <mergeCell ref="C36:E36"/>
  </mergeCells>
  <conditionalFormatting sqref="D64:D71">
    <cfRule type="containsText" dxfId="62" priority="1" operator="containsText" text="High">
      <formula>NOT(ISERROR(SEARCH("High",D64)))</formula>
    </cfRule>
    <cfRule type="containsText" dxfId="61" priority="2" operator="containsText" text="Minor">
      <formula>NOT(ISERROR(SEARCH("Minor",D64)))</formula>
    </cfRule>
    <cfRule type="containsText" dxfId="60" priority="3" operator="containsText" text="Moderate">
      <formula>NOT(ISERROR(SEARCH("Moderate",D64)))</formula>
    </cfRule>
    <cfRule type="containsText" dxfId="59" priority="4" operator="containsText" text="Critical">
      <formula>NOT(ISERROR(SEARCH("Critical",D64)))</formula>
    </cfRule>
  </conditionalFormatting>
  <dataValidations count="3">
    <dataValidation type="list" allowBlank="1" showInputMessage="1" showErrorMessage="1" sqref="D64:D71" xr:uid="{47B7C9C9-0FCA-4842-B71D-D6A75A0D2E07}">
      <formula1>"Minor,Moderate,High,Critical"</formula1>
    </dataValidation>
    <dataValidation allowBlank="1" showInputMessage="1" showErrorMessage="1" prompt="Please attach evidence and further breakdown of these costs." sqref="I18" xr:uid="{466D7E5E-989A-445B-AD45-A958420C6C3E}"/>
    <dataValidation type="list" allowBlank="1" showInputMessage="1" showErrorMessage="1" sqref="H78:H84" xr:uid="{E80FED71-3ECA-481F-B5A6-48CD01F22738}">
      <formula1>"Yes,No,N/A"</formula1>
    </dataValidation>
  </dataValidations>
  <pageMargins left="0.7" right="0.7" top="0.75" bottom="0.75" header="0.3" footer="0.3"/>
  <pageSetup paperSize="8" scale="75" fitToHeight="0" orientation="portrait" horizontalDpi="4294967294" r:id="rId1"/>
  <headerFooter>
    <oddFooter>&amp;C_x000D_&amp;1#&amp;"Calibri"&amp;10&amp;K000000 AtkinsRéalis - Baseline / Référence</oddFooter>
  </headerFooter>
  <colBreaks count="1" manualBreakCount="1">
    <brk id="9" min="1" max="48" man="1"/>
  </colBreaks>
  <customProperties>
    <customPr name="GU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AA227-7E06-4581-95A7-8DC5C9EB479A}">
  <sheetPr>
    <tabColor rgb="FF2DAE76"/>
  </sheetPr>
  <dimension ref="B1:AG96"/>
  <sheetViews>
    <sheetView tabSelected="1" zoomScale="80" zoomScaleNormal="80" workbookViewId="0">
      <selection activeCell="Q26" sqref="Q26"/>
    </sheetView>
  </sheetViews>
  <sheetFormatPr defaultColWidth="9.28515625" defaultRowHeight="14.25" x14ac:dyDescent="0.2"/>
  <cols>
    <col min="1" max="1" width="2.28515625" style="686" customWidth="1"/>
    <col min="2" max="2" width="6.28515625" style="686" customWidth="1"/>
    <col min="3" max="6" width="25.7109375" style="686" customWidth="1"/>
    <col min="7" max="7" width="28.28515625" style="686" customWidth="1"/>
    <col min="8" max="11" width="11.5703125" style="686" customWidth="1"/>
    <col min="12" max="12" width="12.7109375" style="686" customWidth="1"/>
    <col min="13" max="13" width="20.28515625" style="686" customWidth="1"/>
    <col min="14" max="14" width="27.7109375" style="686" customWidth="1"/>
    <col min="15" max="15" width="23.28515625" style="686" customWidth="1"/>
    <col min="16" max="16" width="27.28515625" style="686" customWidth="1"/>
    <col min="17" max="21" width="15.5703125" style="686" customWidth="1"/>
    <col min="22" max="22" width="15.5703125" style="811" customWidth="1"/>
    <col min="23" max="23" width="9.28515625" customWidth="1"/>
    <col min="24" max="24" width="12.28515625" style="811" customWidth="1"/>
    <col min="25" max="25" width="12.28515625" style="686" customWidth="1"/>
    <col min="26" max="26" width="14.7109375" style="686" customWidth="1"/>
    <col min="27" max="27" width="12.28515625" style="686" customWidth="1"/>
    <col min="28" max="28" width="27.5703125" style="686" customWidth="1"/>
    <col min="29" max="31" width="13.7109375" style="686" customWidth="1"/>
    <col min="32" max="32" width="14.42578125" style="686" customWidth="1"/>
    <col min="33" max="33" width="12.28515625" style="686" customWidth="1"/>
    <col min="34" max="34" width="9.28515625" style="686" customWidth="1"/>
    <col min="35" max="16384" width="9.28515625" style="686"/>
  </cols>
  <sheetData>
    <row r="1" spans="2:33" x14ac:dyDescent="0.2">
      <c r="V1" s="686"/>
      <c r="W1" s="686"/>
      <c r="X1" s="686"/>
    </row>
    <row r="2" spans="2:33" ht="6.75" customHeight="1" x14ac:dyDescent="0.2">
      <c r="B2" s="546"/>
      <c r="C2" s="546"/>
      <c r="D2" s="546"/>
      <c r="E2" s="546"/>
      <c r="F2" s="546"/>
      <c r="G2" s="546"/>
      <c r="H2" s="546"/>
      <c r="I2" s="546"/>
      <c r="J2" s="546"/>
      <c r="K2" s="546"/>
      <c r="L2" s="546"/>
      <c r="M2" s="546"/>
      <c r="N2" s="546"/>
      <c r="O2" s="546"/>
      <c r="P2" s="546"/>
      <c r="Q2" s="546"/>
      <c r="R2" s="546"/>
      <c r="S2" s="546"/>
      <c r="T2" s="546"/>
      <c r="U2" s="546"/>
      <c r="V2" s="546"/>
      <c r="W2" s="546"/>
      <c r="X2" s="546"/>
      <c r="Y2" s="546"/>
      <c r="Z2" s="546"/>
      <c r="AA2" s="546"/>
      <c r="AB2" s="546"/>
      <c r="AC2" s="546"/>
      <c r="AD2" s="546"/>
      <c r="AE2" s="546"/>
      <c r="AF2" s="546"/>
      <c r="AG2" s="546"/>
    </row>
    <row r="3" spans="2:33" s="687" customFormat="1" ht="34.5" customHeight="1" x14ac:dyDescent="0.2">
      <c r="B3" s="544"/>
      <c r="C3" s="870" t="s">
        <v>227</v>
      </c>
      <c r="D3" s="870"/>
      <c r="E3" s="870"/>
      <c r="F3" s="870"/>
      <c r="G3" s="870"/>
      <c r="H3" s="543"/>
      <c r="I3" s="543"/>
      <c r="J3" s="543"/>
      <c r="K3" s="543"/>
      <c r="L3" s="543"/>
      <c r="M3" s="543"/>
      <c r="N3" s="544"/>
      <c r="O3" s="544"/>
      <c r="P3" s="544"/>
      <c r="Q3" s="544"/>
      <c r="R3" s="544"/>
      <c r="S3" s="544"/>
      <c r="T3" s="544"/>
      <c r="U3" s="544"/>
      <c r="V3" s="544"/>
      <c r="W3" s="544"/>
      <c r="X3" s="544"/>
      <c r="Y3" s="544"/>
      <c r="Z3" s="544"/>
      <c r="AA3" s="544"/>
      <c r="AB3" s="544"/>
      <c r="AC3" s="544"/>
      <c r="AD3" s="544"/>
      <c r="AE3" s="544"/>
      <c r="AF3" s="544"/>
      <c r="AG3" s="544"/>
    </row>
    <row r="4" spans="2:33" ht="16.5" hidden="1" customHeight="1" x14ac:dyDescent="0.45">
      <c r="B4" s="546"/>
      <c r="C4" s="870"/>
      <c r="D4" s="870"/>
      <c r="E4" s="870"/>
      <c r="F4" s="870"/>
      <c r="G4" s="870"/>
      <c r="H4" s="545"/>
      <c r="I4" s="545"/>
      <c r="J4" s="545"/>
      <c r="K4" s="545"/>
      <c r="L4" s="545"/>
      <c r="M4" s="545"/>
      <c r="N4" s="545"/>
      <c r="O4" s="545"/>
      <c r="P4" s="545"/>
      <c r="Q4" s="545"/>
      <c r="R4" s="545"/>
      <c r="S4" s="545"/>
      <c r="T4" s="545"/>
      <c r="U4" s="545"/>
      <c r="V4" s="545"/>
      <c r="W4" s="545"/>
      <c r="X4" s="545"/>
      <c r="Y4" s="545"/>
      <c r="Z4" s="545"/>
      <c r="AA4" s="545"/>
      <c r="AB4" s="546"/>
      <c r="AC4" s="545"/>
      <c r="AD4" s="545"/>
      <c r="AE4" s="545"/>
      <c r="AF4" s="546"/>
      <c r="AG4" s="546"/>
    </row>
    <row r="5" spans="2:33" ht="7.5" customHeight="1" x14ac:dyDescent="0.45">
      <c r="B5" s="546"/>
      <c r="C5" s="596"/>
      <c r="D5" s="596"/>
      <c r="E5" s="596"/>
      <c r="F5" s="596"/>
      <c r="G5" s="596"/>
      <c r="H5" s="596"/>
      <c r="I5" s="596"/>
      <c r="J5" s="596"/>
      <c r="K5" s="596"/>
      <c r="L5" s="596"/>
      <c r="M5" s="596"/>
      <c r="N5" s="596"/>
      <c r="O5" s="596"/>
      <c r="P5" s="596"/>
      <c r="Q5" s="596"/>
      <c r="R5" s="596"/>
      <c r="S5" s="596"/>
      <c r="T5" s="596"/>
      <c r="U5" s="596"/>
      <c r="V5" s="596"/>
      <c r="W5" s="531"/>
      <c r="X5" s="531"/>
      <c r="Y5" s="531"/>
      <c r="Z5" s="596"/>
      <c r="AA5" s="596"/>
      <c r="AB5" s="596"/>
      <c r="AC5" s="545"/>
      <c r="AD5" s="545"/>
      <c r="AE5" s="545"/>
      <c r="AF5" s="546"/>
      <c r="AG5" s="546"/>
    </row>
    <row r="6" spans="2:33" ht="199.5" customHeight="1" x14ac:dyDescent="0.2">
      <c r="B6" s="546"/>
      <c r="C6" s="871" t="s">
        <v>228</v>
      </c>
      <c r="D6" s="871"/>
      <c r="E6" s="871"/>
      <c r="F6" s="871"/>
      <c r="G6" s="871"/>
      <c r="H6" s="871"/>
      <c r="I6" s="871"/>
      <c r="J6" s="871"/>
      <c r="K6" s="871"/>
      <c r="L6" s="871"/>
      <c r="M6" s="871"/>
      <c r="N6" s="871"/>
      <c r="O6" s="871"/>
      <c r="P6" s="871"/>
      <c r="Q6" s="546"/>
      <c r="R6" s="546"/>
      <c r="S6" s="546"/>
      <c r="T6" s="546"/>
      <c r="U6" s="546"/>
      <c r="V6" s="546"/>
      <c r="W6" s="546"/>
      <c r="X6" s="546"/>
      <c r="Y6" s="546"/>
      <c r="Z6" s="546"/>
      <c r="AA6" s="546"/>
      <c r="AB6" s="546"/>
      <c r="AC6" s="546"/>
      <c r="AD6" s="546"/>
      <c r="AE6" s="546"/>
      <c r="AF6" s="546"/>
      <c r="AG6" s="546"/>
    </row>
    <row r="7" spans="2:33" x14ac:dyDescent="0.2">
      <c r="B7" s="546"/>
      <c r="C7" s="871"/>
      <c r="D7" s="871"/>
      <c r="E7" s="871"/>
      <c r="F7" s="871"/>
      <c r="G7" s="871"/>
      <c r="H7" s="871"/>
      <c r="I7" s="871"/>
      <c r="J7" s="871"/>
      <c r="K7" s="871"/>
      <c r="L7" s="871"/>
      <c r="M7" s="871"/>
      <c r="N7" s="871"/>
      <c r="O7" s="871"/>
      <c r="P7" s="871"/>
      <c r="Q7" s="546"/>
      <c r="R7" s="546"/>
      <c r="S7" s="546"/>
      <c r="T7" s="546"/>
      <c r="U7" s="546"/>
      <c r="V7" s="546"/>
      <c r="W7" s="546"/>
      <c r="X7" s="546"/>
      <c r="Y7" s="546"/>
      <c r="Z7" s="546"/>
      <c r="AA7" s="546"/>
      <c r="AB7" s="546"/>
      <c r="AC7" s="546"/>
      <c r="AD7" s="546"/>
      <c r="AE7" s="546"/>
      <c r="AF7" s="546"/>
      <c r="AG7" s="546"/>
    </row>
    <row r="8" spans="2:33" ht="57" customHeight="1" x14ac:dyDescent="0.2">
      <c r="B8" s="546"/>
      <c r="C8" s="871"/>
      <c r="D8" s="871"/>
      <c r="E8" s="871"/>
      <c r="F8" s="871"/>
      <c r="G8" s="871"/>
      <c r="H8" s="871"/>
      <c r="I8" s="871"/>
      <c r="J8" s="871"/>
      <c r="K8" s="871"/>
      <c r="L8" s="871"/>
      <c r="M8" s="871"/>
      <c r="N8" s="871"/>
      <c r="O8" s="871"/>
      <c r="P8" s="871"/>
      <c r="Q8" s="546"/>
      <c r="R8" s="546"/>
      <c r="S8" s="546"/>
      <c r="T8" s="546"/>
      <c r="U8" s="546"/>
      <c r="V8" s="546"/>
      <c r="W8" s="546"/>
      <c r="X8" s="546"/>
      <c r="Y8" s="546"/>
      <c r="Z8" s="546"/>
      <c r="AA8" s="546"/>
      <c r="AB8" s="546"/>
      <c r="AC8" s="546"/>
      <c r="AD8" s="546"/>
      <c r="AE8" s="546"/>
      <c r="AF8" s="546"/>
      <c r="AG8" s="546"/>
    </row>
    <row r="9" spans="2:33" ht="24" customHeight="1" x14ac:dyDescent="0.2">
      <c r="B9" s="546"/>
      <c r="C9" s="693" t="s">
        <v>229</v>
      </c>
      <c r="D9" s="692"/>
      <c r="E9" s="692"/>
      <c r="F9" s="692"/>
      <c r="G9" s="692"/>
      <c r="H9" s="692"/>
      <c r="I9" s="692"/>
      <c r="J9" s="692"/>
      <c r="K9" s="692"/>
      <c r="L9" s="692"/>
      <c r="M9" s="692"/>
      <c r="N9" s="692"/>
      <c r="O9" s="692"/>
      <c r="P9" s="692"/>
      <c r="Q9" s="546"/>
      <c r="R9" s="546"/>
      <c r="S9" s="546"/>
      <c r="T9" s="546"/>
      <c r="U9" s="546"/>
      <c r="V9" s="546"/>
      <c r="W9" s="546"/>
      <c r="X9" s="546"/>
      <c r="Y9" s="546"/>
      <c r="Z9" s="546"/>
      <c r="AA9" s="546"/>
      <c r="AB9" s="546"/>
      <c r="AC9" s="546"/>
      <c r="AD9" s="546"/>
      <c r="AE9" s="546"/>
      <c r="AF9" s="546"/>
      <c r="AG9" s="546"/>
    </row>
    <row r="10" spans="2:33" ht="18" customHeight="1" x14ac:dyDescent="0.2">
      <c r="B10" s="546"/>
      <c r="C10" s="548"/>
      <c r="D10" s="549"/>
      <c r="E10" s="549"/>
      <c r="F10" s="549"/>
      <c r="G10" s="549"/>
      <c r="H10" s="549"/>
      <c r="I10" s="549"/>
      <c r="J10" s="549"/>
      <c r="K10" s="549"/>
      <c r="L10" s="549"/>
      <c r="M10" s="549"/>
      <c r="N10" s="549"/>
      <c r="O10" s="549"/>
      <c r="P10" s="549"/>
      <c r="Q10" s="546"/>
      <c r="R10" s="546"/>
      <c r="S10" s="546"/>
      <c r="T10" s="546"/>
      <c r="U10" s="546"/>
      <c r="V10" s="546"/>
      <c r="W10" s="546"/>
      <c r="X10" s="546"/>
      <c r="Y10" s="546"/>
      <c r="Z10" s="546"/>
      <c r="AA10" s="546"/>
      <c r="AB10" s="546"/>
      <c r="AC10" s="546"/>
      <c r="AD10" s="546"/>
      <c r="AE10" s="546"/>
      <c r="AF10" s="546"/>
      <c r="AG10" s="546"/>
    </row>
    <row r="11" spans="2:33" ht="18" customHeight="1" x14ac:dyDescent="0.2">
      <c r="B11" s="546"/>
      <c r="C11" s="706" t="s">
        <v>230</v>
      </c>
      <c r="D11" s="552"/>
      <c r="E11" s="552"/>
      <c r="F11" s="552"/>
      <c r="G11" s="559"/>
      <c r="H11" s="557"/>
      <c r="I11" s="557"/>
      <c r="J11" s="557"/>
      <c r="K11" s="559"/>
      <c r="L11" s="559"/>
      <c r="M11" s="559"/>
      <c r="N11" s="546"/>
      <c r="O11" s="560"/>
      <c r="P11" s="684" t="str">
        <f>'Project Compliance Tool'!$P$65</f>
        <v/>
      </c>
      <c r="Q11" s="551"/>
      <c r="R11" s="551"/>
      <c r="S11" s="551"/>
      <c r="T11" s="546"/>
      <c r="U11" s="546"/>
      <c r="V11" s="546"/>
      <c r="W11" s="546"/>
      <c r="X11" s="546"/>
      <c r="Y11" s="546"/>
      <c r="Z11" s="546"/>
      <c r="AA11" s="546"/>
      <c r="AB11" s="546"/>
      <c r="AC11" s="546"/>
      <c r="AD11" s="546"/>
      <c r="AE11" s="546"/>
      <c r="AF11" s="546"/>
      <c r="AG11" s="546"/>
    </row>
    <row r="12" spans="2:33" ht="18" customHeight="1" x14ac:dyDescent="0.2">
      <c r="B12" s="546"/>
      <c r="C12" s="706" t="s">
        <v>231</v>
      </c>
      <c r="D12" s="706"/>
      <c r="E12" s="704"/>
      <c r="F12" s="704"/>
      <c r="G12" s="704"/>
      <c r="H12" s="704"/>
      <c r="I12" s="704"/>
      <c r="J12" s="704"/>
      <c r="K12" s="704"/>
      <c r="L12" s="704"/>
      <c r="M12" s="704"/>
      <c r="N12" s="546"/>
      <c r="O12" s="704"/>
      <c r="P12" s="734" t="e">
        <f>ROUNDUP('Project Compliance Tool'!Q65,0)</f>
        <v>#VALUE!</v>
      </c>
      <c r="Q12" s="546"/>
      <c r="R12" s="546"/>
      <c r="S12" s="546"/>
      <c r="T12" s="546"/>
      <c r="U12" s="546"/>
      <c r="V12" s="546"/>
      <c r="W12" s="546"/>
      <c r="X12" s="546"/>
      <c r="Y12" s="546"/>
      <c r="Z12" s="546"/>
      <c r="AA12" s="546"/>
      <c r="AB12" s="546"/>
      <c r="AC12" s="546"/>
      <c r="AD12" s="546"/>
      <c r="AE12" s="546"/>
      <c r="AF12" s="546"/>
      <c r="AG12" s="546"/>
    </row>
    <row r="13" spans="2:33" ht="18" customHeight="1" x14ac:dyDescent="0.2">
      <c r="B13" s="546"/>
      <c r="C13" s="696"/>
      <c r="D13" s="549"/>
      <c r="E13" s="549"/>
      <c r="F13" s="549"/>
      <c r="G13" s="549"/>
      <c r="H13" s="549"/>
      <c r="I13" s="549"/>
      <c r="J13" s="549"/>
      <c r="K13" s="549"/>
      <c r="L13" s="549"/>
      <c r="M13" s="549"/>
      <c r="N13" s="546"/>
      <c r="O13" s="549"/>
      <c r="P13" s="549"/>
      <c r="Q13" s="546"/>
      <c r="R13" s="546"/>
      <c r="S13" s="546"/>
      <c r="T13" s="546"/>
      <c r="U13" s="546"/>
      <c r="V13" s="546"/>
      <c r="W13" s="546"/>
      <c r="X13" s="546"/>
      <c r="Y13" s="546"/>
      <c r="Z13" s="546"/>
      <c r="AA13" s="546"/>
      <c r="AB13" s="546"/>
      <c r="AC13" s="546"/>
      <c r="AD13" s="546"/>
      <c r="AE13" s="546"/>
      <c r="AF13" s="546"/>
      <c r="AG13" s="546"/>
    </row>
    <row r="14" spans="2:33" ht="18" customHeight="1" x14ac:dyDescent="0.2">
      <c r="B14" s="546"/>
      <c r="C14" s="593"/>
      <c r="D14" s="593"/>
      <c r="E14" s="593"/>
      <c r="F14" s="593"/>
      <c r="G14" s="593"/>
      <c r="H14" s="549"/>
      <c r="I14" s="549"/>
      <c r="J14" s="549"/>
      <c r="K14" s="549"/>
      <c r="L14" s="549"/>
      <c r="M14" s="549"/>
      <c r="N14" s="546"/>
      <c r="O14" s="549"/>
      <c r="P14" s="549"/>
      <c r="Q14" s="546"/>
      <c r="R14" s="546"/>
      <c r="S14" s="546"/>
      <c r="T14" s="546"/>
      <c r="U14" s="546"/>
      <c r="V14" s="546"/>
      <c r="W14" s="546"/>
      <c r="X14" s="546"/>
      <c r="Y14" s="546"/>
      <c r="Z14" s="546"/>
      <c r="AA14" s="546"/>
      <c r="AB14" s="546"/>
      <c r="AC14" s="546"/>
      <c r="AD14" s="546"/>
      <c r="AE14" s="546"/>
      <c r="AF14" s="546"/>
      <c r="AG14" s="546"/>
    </row>
    <row r="15" spans="2:33" ht="18" customHeight="1" x14ac:dyDescent="0.2">
      <c r="B15" s="546"/>
      <c r="C15" s="706" t="s">
        <v>232</v>
      </c>
      <c r="D15" s="706"/>
      <c r="E15" s="706"/>
      <c r="F15" s="706"/>
      <c r="G15" s="594"/>
      <c r="H15" s="550"/>
      <c r="I15" s="550"/>
      <c r="J15" s="550"/>
      <c r="K15" s="532"/>
      <c r="L15" s="532"/>
      <c r="M15" s="532"/>
      <c r="N15" s="546"/>
      <c r="O15" s="546"/>
      <c r="P15" s="712"/>
      <c r="Q15" s="813" t="e">
        <f>IF(Payback_Period_In_Years&gt;P12,"Please select a number of years below or equal to the technical payback period shown above.","")</f>
        <v>#VALUE!</v>
      </c>
      <c r="R15" s="710"/>
      <c r="S15" s="551"/>
      <c r="T15" s="546"/>
      <c r="U15" s="546"/>
      <c r="V15" s="546"/>
      <c r="W15" s="546"/>
      <c r="X15" s="546"/>
      <c r="Y15" s="546"/>
      <c r="Z15" s="546"/>
      <c r="AA15" s="546"/>
      <c r="AB15" s="546"/>
      <c r="AC15" s="546"/>
      <c r="AD15" s="546"/>
      <c r="AE15" s="546"/>
      <c r="AF15" s="546"/>
      <c r="AG15" s="546"/>
    </row>
    <row r="16" spans="2:33" ht="18" customHeight="1" x14ac:dyDescent="0.2">
      <c r="B16" s="546"/>
      <c r="C16" s="872" t="s">
        <v>233</v>
      </c>
      <c r="D16" s="872"/>
      <c r="E16" s="872"/>
      <c r="F16" s="872"/>
      <c r="G16" s="872"/>
      <c r="H16" s="872"/>
      <c r="I16" s="872"/>
      <c r="J16" s="872"/>
      <c r="K16" s="872"/>
      <c r="L16" s="872"/>
      <c r="M16" s="872"/>
      <c r="N16" s="872"/>
      <c r="O16" s="872"/>
      <c r="P16" s="533"/>
      <c r="Q16" s="551"/>
      <c r="R16" s="551"/>
      <c r="S16" s="551"/>
      <c r="T16" s="546"/>
      <c r="U16" s="546"/>
      <c r="V16" s="546"/>
      <c r="W16" s="546"/>
      <c r="X16" s="546"/>
      <c r="Y16" s="546"/>
      <c r="Z16" s="546"/>
      <c r="AA16" s="546"/>
      <c r="AB16" s="546"/>
      <c r="AC16" s="546"/>
      <c r="AD16" s="546"/>
      <c r="AE16" s="546"/>
      <c r="AF16" s="546"/>
      <c r="AG16" s="546"/>
    </row>
    <row r="17" spans="2:33" ht="18" customHeight="1" x14ac:dyDescent="0.2">
      <c r="B17" s="546"/>
      <c r="C17" s="872"/>
      <c r="D17" s="872"/>
      <c r="E17" s="872"/>
      <c r="F17" s="872"/>
      <c r="G17" s="872"/>
      <c r="H17" s="872"/>
      <c r="I17" s="872"/>
      <c r="J17" s="872"/>
      <c r="K17" s="872"/>
      <c r="L17" s="872"/>
      <c r="M17" s="872"/>
      <c r="N17" s="872"/>
      <c r="O17" s="872"/>
      <c r="P17" s="534"/>
      <c r="Q17" s="546"/>
      <c r="R17" s="546"/>
      <c r="S17" s="546"/>
      <c r="T17" s="546"/>
      <c r="U17" s="546"/>
      <c r="V17" s="546"/>
      <c r="W17" s="546"/>
      <c r="X17" s="546"/>
      <c r="Y17" s="546"/>
      <c r="Z17" s="546"/>
      <c r="AA17" s="546"/>
      <c r="AB17" s="546"/>
      <c r="AC17" s="546"/>
      <c r="AD17" s="546"/>
      <c r="AE17" s="546"/>
      <c r="AF17" s="546"/>
      <c r="AG17" s="546"/>
    </row>
    <row r="18" spans="2:33" ht="18" customHeight="1" x14ac:dyDescent="0.2">
      <c r="B18" s="546"/>
      <c r="C18" s="706" t="s">
        <v>234</v>
      </c>
      <c r="D18" s="706"/>
      <c r="E18" s="706"/>
      <c r="F18" s="706"/>
      <c r="G18" s="706"/>
      <c r="H18" s="550"/>
      <c r="I18" s="550"/>
      <c r="J18" s="550"/>
      <c r="K18" s="555"/>
      <c r="L18" s="555"/>
      <c r="M18" s="555"/>
      <c r="N18" s="546"/>
      <c r="O18" s="556"/>
      <c r="P18" s="684" t="str">
        <f>IFERROR(IF(Payback_Period_In_Years=1,Total_Funding_Requested,(-PMT(Interest_Rate,Payback_Period_In_Years,Total_Funding_Requested,0,0))),"Input Loan Payback Length in 1a.")</f>
        <v>Input Loan Payback Length in 1a.</v>
      </c>
      <c r="Q18" s="551"/>
      <c r="R18" s="809"/>
      <c r="S18" s="551"/>
      <c r="T18" s="546"/>
      <c r="U18" s="546"/>
      <c r="V18" s="546"/>
      <c r="W18" s="546"/>
      <c r="X18" s="546"/>
      <c r="Y18" s="546"/>
      <c r="Z18" s="546"/>
      <c r="AA18" s="546"/>
      <c r="AB18" s="546"/>
      <c r="AC18" s="546"/>
      <c r="AD18" s="546"/>
      <c r="AE18" s="546"/>
      <c r="AF18" s="546"/>
      <c r="AG18" s="546"/>
    </row>
    <row r="19" spans="2:33" ht="18" customHeight="1" x14ac:dyDescent="0.2">
      <c r="B19" s="546"/>
      <c r="C19" s="707" t="s">
        <v>235</v>
      </c>
      <c r="D19" s="707"/>
      <c r="E19" s="707"/>
      <c r="F19" s="707"/>
      <c r="G19" s="706"/>
      <c r="H19" s="550"/>
      <c r="I19" s="550"/>
      <c r="J19" s="550"/>
      <c r="K19" s="555"/>
      <c r="L19" s="555"/>
      <c r="M19" s="555"/>
      <c r="N19" s="546"/>
      <c r="O19" s="556"/>
      <c r="P19" s="557"/>
      <c r="Q19" s="551"/>
      <c r="R19" s="551"/>
      <c r="S19" s="551"/>
      <c r="T19" s="546"/>
      <c r="U19" s="546"/>
      <c r="V19" s="546"/>
      <c r="W19" s="546"/>
      <c r="X19" s="546"/>
      <c r="Y19" s="546"/>
      <c r="Z19" s="546"/>
      <c r="AA19" s="546"/>
      <c r="AB19" s="546"/>
      <c r="AC19" s="546"/>
      <c r="AD19" s="546"/>
      <c r="AE19" s="546"/>
      <c r="AF19" s="546"/>
      <c r="AG19" s="546"/>
    </row>
    <row r="20" spans="2:33" ht="18" customHeight="1" x14ac:dyDescent="0.25">
      <c r="B20" s="546"/>
      <c r="C20" s="552"/>
      <c r="D20" s="552"/>
      <c r="E20" s="552"/>
      <c r="F20" s="552"/>
      <c r="G20" s="553"/>
      <c r="H20" s="557"/>
      <c r="I20" s="557"/>
      <c r="J20" s="557"/>
      <c r="K20" s="558"/>
      <c r="L20" s="558"/>
      <c r="M20" s="558"/>
      <c r="N20" s="546"/>
      <c r="O20" s="534"/>
      <c r="P20" s="557"/>
      <c r="Q20" s="551"/>
      <c r="R20" s="551"/>
      <c r="S20" s="551"/>
      <c r="T20" s="546"/>
      <c r="U20" s="546"/>
      <c r="V20" s="546"/>
      <c r="W20" s="546"/>
      <c r="X20" s="546"/>
      <c r="Y20" s="546"/>
      <c r="Z20" s="546"/>
      <c r="AA20" s="546"/>
      <c r="AB20" s="546"/>
      <c r="AC20" s="546"/>
      <c r="AD20" s="546"/>
      <c r="AE20" s="546"/>
      <c r="AF20" s="546"/>
      <c r="AG20" s="546"/>
    </row>
    <row r="21" spans="2:33" ht="18" customHeight="1" x14ac:dyDescent="0.2">
      <c r="B21" s="685"/>
      <c r="C21" s="552"/>
      <c r="D21" s="552"/>
      <c r="E21" s="552"/>
      <c r="F21" s="552"/>
      <c r="G21" s="552"/>
      <c r="H21" s="557"/>
      <c r="I21" s="557"/>
      <c r="J21" s="557"/>
      <c r="K21" s="558"/>
      <c r="L21" s="558"/>
      <c r="M21" s="558"/>
      <c r="N21" s="546"/>
      <c r="O21" s="705"/>
      <c r="P21" s="551"/>
      <c r="Q21" s="551"/>
      <c r="R21" s="551"/>
      <c r="S21" s="551"/>
      <c r="T21" s="546"/>
      <c r="U21" s="546"/>
      <c r="V21" s="546"/>
      <c r="W21" s="546"/>
      <c r="X21" s="546"/>
      <c r="Y21" s="546"/>
      <c r="Z21" s="546"/>
      <c r="AA21" s="546"/>
      <c r="AB21" s="546"/>
      <c r="AC21" s="546"/>
      <c r="AD21" s="546"/>
      <c r="AE21" s="546"/>
      <c r="AF21" s="546"/>
      <c r="AG21" s="546"/>
    </row>
    <row r="22" spans="2:33" ht="18" customHeight="1" x14ac:dyDescent="0.2">
      <c r="B22" s="685"/>
      <c r="C22" s="706" t="s">
        <v>236</v>
      </c>
      <c r="D22" s="706"/>
      <c r="E22" s="706"/>
      <c r="F22" s="706"/>
      <c r="G22" s="706"/>
      <c r="H22" s="550"/>
      <c r="I22" s="550"/>
      <c r="J22" s="550"/>
      <c r="K22" s="550"/>
      <c r="L22" s="550"/>
      <c r="M22" s="550"/>
      <c r="N22" s="546"/>
      <c r="O22" s="537"/>
      <c r="P22" s="536"/>
      <c r="Q22" s="551"/>
      <c r="R22" s="551"/>
      <c r="S22" s="551"/>
      <c r="T22" s="546"/>
      <c r="U22" s="546"/>
      <c r="V22" s="546"/>
      <c r="W22" s="546"/>
      <c r="X22" s="546"/>
      <c r="Y22" s="546"/>
      <c r="Z22" s="546"/>
      <c r="AA22" s="546"/>
      <c r="AB22" s="546"/>
      <c r="AC22" s="546"/>
      <c r="AD22" s="546"/>
      <c r="AE22" s="546"/>
      <c r="AF22" s="546"/>
      <c r="AG22" s="546"/>
    </row>
    <row r="23" spans="2:33" ht="18" customHeight="1" x14ac:dyDescent="0.2">
      <c r="B23" s="685"/>
      <c r="C23" s="869" t="s">
        <v>237</v>
      </c>
      <c r="D23" s="869"/>
      <c r="E23" s="869"/>
      <c r="F23" s="869"/>
      <c r="G23" s="595"/>
      <c r="H23" s="550"/>
      <c r="I23" s="550"/>
      <c r="J23" s="550"/>
      <c r="K23" s="550"/>
      <c r="L23" s="550"/>
      <c r="M23" s="550"/>
      <c r="N23" s="546"/>
      <c r="O23" s="535"/>
      <c r="P23" s="873" t="str">
        <f>IF(P15="","Please Input Loan Payback Length in 1a.",IF(P22="","Please confirm whether you anticipate to make Early Loan Repayments in 1b.",IF(P22="Yes","Please enter Early Repayments in Section 3.","Please see the indicative Loan Amortisation schedule in Section 3 below for your information.")))</f>
        <v>Please Input Loan Payback Length in 1a.</v>
      </c>
      <c r="Q23" s="551"/>
      <c r="R23" s="551"/>
      <c r="S23" s="551"/>
      <c r="T23" s="546"/>
      <c r="U23" s="546"/>
      <c r="V23" s="546"/>
      <c r="W23" s="546"/>
      <c r="X23" s="546"/>
      <c r="Y23" s="546"/>
      <c r="Z23" s="546"/>
      <c r="AA23" s="546"/>
      <c r="AB23" s="546"/>
      <c r="AC23" s="546"/>
      <c r="AD23" s="546"/>
      <c r="AE23" s="546"/>
      <c r="AF23" s="546"/>
      <c r="AG23" s="546"/>
    </row>
    <row r="24" spans="2:33" ht="18" customHeight="1" x14ac:dyDescent="0.2">
      <c r="B24" s="685"/>
      <c r="C24" s="869"/>
      <c r="D24" s="869"/>
      <c r="E24" s="869"/>
      <c r="F24" s="869"/>
      <c r="G24" s="552"/>
      <c r="H24" s="557"/>
      <c r="I24" s="557"/>
      <c r="J24" s="557"/>
      <c r="K24" s="557"/>
      <c r="L24" s="557"/>
      <c r="M24" s="557"/>
      <c r="N24" s="546"/>
      <c r="O24" s="535"/>
      <c r="P24" s="874"/>
      <c r="Q24" s="551"/>
      <c r="R24" s="551"/>
      <c r="S24" s="551"/>
      <c r="T24" s="546"/>
      <c r="U24" s="546"/>
      <c r="V24" s="546"/>
      <c r="W24" s="546"/>
      <c r="X24" s="546"/>
      <c r="Y24" s="546"/>
      <c r="Z24" s="546"/>
      <c r="AA24" s="546"/>
      <c r="AB24" s="546"/>
      <c r="AC24" s="546"/>
      <c r="AD24" s="546"/>
      <c r="AE24" s="546"/>
      <c r="AF24" s="546"/>
      <c r="AG24" s="546"/>
    </row>
    <row r="25" spans="2:33" ht="18" customHeight="1" x14ac:dyDescent="0.2">
      <c r="B25" s="685"/>
      <c r="C25" s="552"/>
      <c r="D25" s="552"/>
      <c r="E25" s="552"/>
      <c r="F25" s="552"/>
      <c r="G25" s="552"/>
      <c r="H25" s="557"/>
      <c r="I25" s="557"/>
      <c r="J25" s="557"/>
      <c r="K25" s="557"/>
      <c r="L25" s="557"/>
      <c r="M25" s="557"/>
      <c r="N25" s="546"/>
      <c r="O25" s="535"/>
      <c r="P25" s="874"/>
      <c r="Q25" s="551"/>
      <c r="R25" s="551"/>
      <c r="S25" s="551"/>
      <c r="T25" s="546"/>
      <c r="U25" s="546"/>
      <c r="V25" s="546"/>
      <c r="W25" s="546"/>
      <c r="X25" s="546"/>
      <c r="Y25" s="546"/>
      <c r="Z25" s="546"/>
      <c r="AA25" s="546"/>
      <c r="AB25" s="546"/>
      <c r="AC25" s="546"/>
      <c r="AD25" s="546"/>
      <c r="AE25" s="546"/>
      <c r="AF25" s="546"/>
      <c r="AG25" s="546"/>
    </row>
    <row r="26" spans="2:33" ht="18" customHeight="1" x14ac:dyDescent="0.2">
      <c r="B26" s="685"/>
      <c r="C26" s="552"/>
      <c r="D26" s="552"/>
      <c r="E26" s="552"/>
      <c r="F26" s="552"/>
      <c r="G26" s="552"/>
      <c r="H26" s="557"/>
      <c r="I26" s="557"/>
      <c r="J26" s="557"/>
      <c r="K26" s="557"/>
      <c r="L26" s="557"/>
      <c r="M26" s="557"/>
      <c r="N26" s="546"/>
      <c r="O26" s="535"/>
      <c r="P26" s="875"/>
      <c r="Q26" s="551"/>
      <c r="R26" s="551"/>
      <c r="S26" s="551"/>
      <c r="T26" s="546"/>
      <c r="U26" s="546"/>
      <c r="V26" s="546"/>
      <c r="W26" s="546"/>
      <c r="X26" s="546"/>
      <c r="Y26" s="546"/>
      <c r="Z26" s="546"/>
      <c r="AA26" s="546"/>
      <c r="AB26" s="546"/>
      <c r="AC26" s="546"/>
      <c r="AD26" s="546"/>
      <c r="AE26" s="546"/>
      <c r="AF26" s="546"/>
      <c r="AG26" s="546"/>
    </row>
    <row r="27" spans="2:33" ht="18" customHeight="1" x14ac:dyDescent="0.2">
      <c r="B27" s="685"/>
      <c r="C27" s="552"/>
      <c r="D27" s="552"/>
      <c r="E27" s="552"/>
      <c r="F27" s="552"/>
      <c r="G27" s="552"/>
      <c r="H27" s="557"/>
      <c r="I27" s="557"/>
      <c r="J27" s="557"/>
      <c r="K27" s="557"/>
      <c r="L27" s="557"/>
      <c r="M27" s="557"/>
      <c r="N27" s="546"/>
      <c r="O27" s="535"/>
      <c r="P27" s="701"/>
      <c r="Q27" s="551"/>
      <c r="R27" s="551"/>
      <c r="S27" s="551"/>
      <c r="T27" s="546"/>
      <c r="U27" s="546"/>
      <c r="V27" s="546"/>
      <c r="W27" s="546"/>
      <c r="X27" s="546"/>
      <c r="Y27" s="546"/>
      <c r="Z27" s="546"/>
      <c r="AA27" s="546"/>
      <c r="AB27" s="546"/>
      <c r="AC27" s="546"/>
      <c r="AD27" s="546"/>
      <c r="AE27" s="546"/>
      <c r="AF27" s="546"/>
      <c r="AG27" s="546"/>
    </row>
    <row r="28" spans="2:33" ht="18" customHeight="1" x14ac:dyDescent="0.2">
      <c r="B28" s="685"/>
      <c r="C28" s="868" t="s">
        <v>238</v>
      </c>
      <c r="D28" s="868"/>
      <c r="E28" s="868"/>
      <c r="F28" s="868"/>
      <c r="G28" s="595"/>
      <c r="H28" s="557"/>
      <c r="I28" s="557"/>
      <c r="J28" s="557"/>
      <c r="K28" s="557"/>
      <c r="L28" s="557"/>
      <c r="M28" s="557"/>
      <c r="N28" s="546"/>
      <c r="O28" s="535"/>
      <c r="P28" s="536"/>
      <c r="Q28" s="551"/>
      <c r="R28" s="551"/>
      <c r="S28" s="551"/>
      <c r="T28" s="546"/>
      <c r="U28" s="546"/>
      <c r="V28" s="546"/>
      <c r="W28" s="546"/>
      <c r="X28" s="546"/>
      <c r="Y28" s="546"/>
      <c r="Z28" s="546"/>
      <c r="AA28" s="546"/>
      <c r="AB28" s="546"/>
      <c r="AC28" s="546"/>
      <c r="AD28" s="546"/>
      <c r="AE28" s="546"/>
      <c r="AF28" s="546"/>
      <c r="AG28" s="546"/>
    </row>
    <row r="29" spans="2:33" ht="18" x14ac:dyDescent="0.2">
      <c r="B29" s="685"/>
      <c r="C29" s="868" t="s">
        <v>239</v>
      </c>
      <c r="D29" s="868"/>
      <c r="E29" s="868"/>
      <c r="F29" s="868"/>
      <c r="G29" s="868"/>
      <c r="H29" s="557"/>
      <c r="I29" s="557"/>
      <c r="J29" s="557"/>
      <c r="K29" s="557"/>
      <c r="L29" s="557"/>
      <c r="M29" s="557"/>
      <c r="N29" s="546"/>
      <c r="O29" s="535"/>
      <c r="P29" s="701"/>
      <c r="Q29" s="551"/>
      <c r="R29" s="551"/>
      <c r="S29" s="551"/>
      <c r="T29" s="546"/>
      <c r="U29" s="546"/>
      <c r="V29" s="546"/>
      <c r="W29" s="546"/>
      <c r="X29" s="546"/>
      <c r="Y29" s="546"/>
      <c r="Z29" s="546"/>
      <c r="AA29" s="546"/>
      <c r="AB29" s="546"/>
      <c r="AC29" s="546"/>
      <c r="AD29" s="546"/>
      <c r="AE29" s="546"/>
      <c r="AF29" s="546"/>
      <c r="AG29" s="546"/>
    </row>
    <row r="30" spans="2:33" ht="25.15" customHeight="1" x14ac:dyDescent="0.2">
      <c r="B30" s="685"/>
      <c r="C30" s="552"/>
      <c r="D30" s="552"/>
      <c r="E30" s="557"/>
      <c r="F30" s="546"/>
      <c r="G30" s="546"/>
      <c r="H30" s="557"/>
      <c r="I30" s="546"/>
      <c r="J30" s="546"/>
      <c r="K30" s="546"/>
      <c r="L30" s="546"/>
      <c r="M30" s="546"/>
      <c r="N30" s="708" t="s">
        <v>240</v>
      </c>
      <c r="O30" s="708" t="s">
        <v>241</v>
      </c>
      <c r="P30" s="708" t="s">
        <v>242</v>
      </c>
      <c r="Q30" s="551"/>
      <c r="R30" s="551"/>
      <c r="S30" s="551"/>
      <c r="T30" s="546"/>
      <c r="U30" s="546"/>
      <c r="V30" s="546"/>
      <c r="W30" s="546"/>
      <c r="X30" s="546"/>
      <c r="Y30" s="546"/>
      <c r="Z30" s="546"/>
      <c r="AA30" s="546"/>
      <c r="AB30" s="546"/>
      <c r="AC30" s="546"/>
      <c r="AD30" s="546"/>
      <c r="AE30" s="546"/>
      <c r="AF30" s="546"/>
      <c r="AG30" s="546"/>
    </row>
    <row r="31" spans="2:33" ht="25.15" customHeight="1" x14ac:dyDescent="0.2">
      <c r="B31" s="685"/>
      <c r="C31" s="552"/>
      <c r="D31" s="552"/>
      <c r="E31" s="546"/>
      <c r="F31" s="546"/>
      <c r="G31" s="709" t="s">
        <v>243</v>
      </c>
      <c r="H31" s="557"/>
      <c r="I31" s="546"/>
      <c r="J31" s="546"/>
      <c r="K31" s="546"/>
      <c r="L31" s="546"/>
      <c r="M31" s="546"/>
      <c r="N31" s="711" t="s">
        <v>244</v>
      </c>
      <c r="O31" s="814"/>
      <c r="P31" s="851"/>
      <c r="Q31" s="813" t="str">
        <f>IF(OR(Drawdown_1_Date="N/A",Drawdown_1_Date=""),"",IF(Drawdown_1_Date&gt;Project_Completion_Date,"Please select a date earlier than the project completion date.",""))</f>
        <v/>
      </c>
      <c r="R31" s="551"/>
      <c r="S31" s="551"/>
      <c r="T31" s="546"/>
      <c r="U31" s="546"/>
      <c r="V31" s="546"/>
      <c r="W31" s="546"/>
      <c r="X31" s="546"/>
      <c r="Y31" s="546"/>
      <c r="Z31" s="546"/>
      <c r="AA31" s="546"/>
      <c r="AB31" s="546"/>
      <c r="AC31" s="546"/>
      <c r="AD31" s="546"/>
      <c r="AE31" s="546"/>
      <c r="AF31" s="546"/>
      <c r="AG31" s="546"/>
    </row>
    <row r="32" spans="2:33" ht="25.15" customHeight="1" x14ac:dyDescent="0.2">
      <c r="B32" s="685"/>
      <c r="C32" s="552"/>
      <c r="D32" s="552"/>
      <c r="E32" s="546"/>
      <c r="F32" s="546"/>
      <c r="G32" s="709" t="s">
        <v>245</v>
      </c>
      <c r="H32" s="557"/>
      <c r="I32" s="546"/>
      <c r="J32" s="546"/>
      <c r="K32" s="546"/>
      <c r="L32" s="546"/>
      <c r="M32" s="546"/>
      <c r="N32" s="536"/>
      <c r="O32" s="814"/>
      <c r="P32" s="702"/>
      <c r="Q32" s="813" t="str">
        <f>IF(OR(Drawdown_2_Date="N/A",Drawdown_2_Date=""),"",IF(YEAR(Drawdown_1_Date)&gt;=YEAR(Drawdown_2_Date),"Please select a date later than the year of the first drawdown.",IF(Drawdown_2_Date&gt;Project_Completion_Date,"Please select a date earlier than the project completion date.","")))</f>
        <v/>
      </c>
      <c r="R32" s="551"/>
      <c r="S32" s="551"/>
      <c r="T32" s="546"/>
      <c r="U32" s="546"/>
      <c r="V32" s="546"/>
      <c r="W32" s="546"/>
      <c r="X32" s="546"/>
      <c r="Y32" s="546"/>
      <c r="Z32" s="546"/>
      <c r="AA32" s="546"/>
      <c r="AB32" s="546"/>
      <c r="AC32" s="546"/>
      <c r="AD32" s="546"/>
      <c r="AE32" s="546"/>
      <c r="AF32" s="546"/>
      <c r="AG32" s="546"/>
    </row>
    <row r="33" spans="2:33" ht="25.15" customHeight="1" x14ac:dyDescent="0.2">
      <c r="B33" s="685"/>
      <c r="C33" s="552"/>
      <c r="D33" s="552"/>
      <c r="E33" s="546"/>
      <c r="F33" s="546"/>
      <c r="G33" s="709" t="s">
        <v>246</v>
      </c>
      <c r="H33" s="557"/>
      <c r="I33" s="546"/>
      <c r="J33" s="546"/>
      <c r="K33" s="546"/>
      <c r="L33" s="546"/>
      <c r="M33" s="546"/>
      <c r="N33" s="536"/>
      <c r="O33" s="814"/>
      <c r="P33" s="702"/>
      <c r="Q33" s="813" t="str">
        <f>IF(OR(Drawdown_3_Date="N/A",Drawdown_3_Date=""),"",IF(YEAR(Drawdown_2_Date)&gt;=YEAR(Drawdown_3_Date),"Please select a date later than the year of the second drawdown.",IF(Drawdown_3_Date&gt;Project_Completion_Date,"Please select a date earlier than the project completion date.","")))</f>
        <v/>
      </c>
      <c r="R33" s="551"/>
      <c r="S33" s="551"/>
      <c r="T33" s="546"/>
      <c r="U33" s="546"/>
      <c r="V33" s="546"/>
      <c r="W33" s="546"/>
      <c r="X33" s="546"/>
      <c r="Y33" s="546"/>
      <c r="Z33" s="546"/>
      <c r="AA33" s="546"/>
      <c r="AB33" s="546"/>
      <c r="AC33" s="546"/>
      <c r="AD33" s="546"/>
      <c r="AE33" s="546"/>
      <c r="AF33" s="546"/>
      <c r="AG33" s="546"/>
    </row>
    <row r="34" spans="2:33" ht="25.15" customHeight="1" x14ac:dyDescent="0.2">
      <c r="B34" s="685"/>
      <c r="C34" s="552"/>
      <c r="D34" s="552"/>
      <c r="E34" s="552"/>
      <c r="F34" s="552"/>
      <c r="G34" s="552"/>
      <c r="H34" s="557"/>
      <c r="I34" s="557"/>
      <c r="J34" s="557"/>
      <c r="K34" s="557"/>
      <c r="L34" s="557"/>
      <c r="M34" s="557"/>
      <c r="N34" s="546"/>
      <c r="O34" s="535"/>
      <c r="P34" s="703">
        <f>Total_Funding_Requested</f>
        <v>0</v>
      </c>
      <c r="Q34" s="710" t="str">
        <f>IFERROR(IF(AND(P34&lt;&gt;SUM(P31:P33),P28="No"),"Please input draw down amounts that add up to the total loan requested value",""),"")</f>
        <v/>
      </c>
      <c r="R34" s="710"/>
      <c r="S34" s="551"/>
      <c r="T34" s="546"/>
      <c r="U34" s="546"/>
      <c r="V34" s="546"/>
      <c r="W34" s="546"/>
      <c r="X34" s="546"/>
      <c r="Y34" s="546"/>
      <c r="Z34" s="546"/>
      <c r="AA34" s="546"/>
      <c r="AB34" s="546"/>
      <c r="AC34" s="546"/>
      <c r="AD34" s="546"/>
      <c r="AE34" s="546"/>
      <c r="AF34" s="546"/>
      <c r="AG34" s="546"/>
    </row>
    <row r="35" spans="2:33" ht="18" customHeight="1" x14ac:dyDescent="0.2">
      <c r="B35" s="685"/>
      <c r="C35" s="868" t="s">
        <v>247</v>
      </c>
      <c r="D35" s="868"/>
      <c r="E35" s="868"/>
      <c r="F35" s="868"/>
      <c r="G35" s="868"/>
      <c r="H35" s="550"/>
      <c r="I35" s="550"/>
      <c r="J35" s="550"/>
      <c r="K35" s="550"/>
      <c r="L35" s="550"/>
      <c r="M35" s="550"/>
      <c r="N35" s="561"/>
      <c r="O35" s="535"/>
      <c r="P35" s="535"/>
      <c r="Q35" s="551"/>
      <c r="R35" s="551"/>
      <c r="S35" s="551"/>
      <c r="T35" s="546"/>
      <c r="U35" s="546"/>
      <c r="V35" s="546"/>
      <c r="W35" s="546"/>
      <c r="X35" s="546"/>
      <c r="Y35" s="546"/>
      <c r="Z35" s="546"/>
      <c r="AA35" s="546"/>
      <c r="AB35" s="546"/>
      <c r="AC35" s="546"/>
      <c r="AD35" s="546"/>
      <c r="AE35" s="546"/>
      <c r="AF35" s="546"/>
      <c r="AG35" s="546"/>
    </row>
    <row r="36" spans="2:33" ht="14.25" customHeight="1" x14ac:dyDescent="0.2">
      <c r="B36" s="546"/>
      <c r="C36" s="861" t="s">
        <v>248</v>
      </c>
      <c r="D36" s="861"/>
      <c r="E36" s="861"/>
      <c r="F36" s="861"/>
      <c r="G36" s="861"/>
      <c r="H36" s="861"/>
      <c r="I36" s="861"/>
      <c r="J36" s="861"/>
      <c r="K36" s="861"/>
      <c r="L36" s="861"/>
      <c r="M36" s="861"/>
      <c r="N36" s="861"/>
      <c r="O36" s="562"/>
      <c r="P36" s="562"/>
      <c r="Q36" s="546"/>
      <c r="R36" s="546"/>
      <c r="S36" s="546"/>
      <c r="T36" s="546"/>
      <c r="U36" s="546"/>
      <c r="V36" s="546"/>
      <c r="W36" s="546"/>
      <c r="X36" s="546"/>
      <c r="Y36" s="546"/>
      <c r="Z36" s="546"/>
      <c r="AA36" s="546"/>
      <c r="AB36" s="546"/>
      <c r="AC36" s="546"/>
      <c r="AD36" s="546"/>
      <c r="AE36" s="546"/>
      <c r="AF36" s="546"/>
      <c r="AG36" s="546"/>
    </row>
    <row r="37" spans="2:33" ht="60.75" customHeight="1" x14ac:dyDescent="0.2">
      <c r="B37" s="546"/>
      <c r="C37" s="861"/>
      <c r="D37" s="861"/>
      <c r="E37" s="861"/>
      <c r="F37" s="861"/>
      <c r="G37" s="861"/>
      <c r="H37" s="861"/>
      <c r="I37" s="861"/>
      <c r="J37" s="861"/>
      <c r="K37" s="861"/>
      <c r="L37" s="861"/>
      <c r="M37" s="861"/>
      <c r="N37" s="861"/>
      <c r="O37" s="562"/>
      <c r="P37" s="562"/>
      <c r="Q37" s="546"/>
      <c r="R37" s="546"/>
      <c r="S37" s="546"/>
      <c r="T37" s="546"/>
      <c r="U37" s="546"/>
      <c r="V37" s="546"/>
      <c r="W37" s="546"/>
      <c r="X37" s="546"/>
      <c r="Y37" s="546"/>
      <c r="Z37" s="546"/>
      <c r="AA37" s="546"/>
      <c r="AB37" s="546"/>
      <c r="AC37" s="546"/>
      <c r="AD37" s="546"/>
      <c r="AE37" s="546"/>
      <c r="AF37" s="546"/>
      <c r="AG37" s="546"/>
    </row>
    <row r="38" spans="2:33" ht="15" customHeight="1" x14ac:dyDescent="0.2">
      <c r="B38" s="546"/>
      <c r="C38" s="563"/>
      <c r="D38" s="563"/>
      <c r="E38" s="563"/>
      <c r="F38" s="563"/>
      <c r="G38" s="563"/>
      <c r="H38" s="564"/>
      <c r="I38" s="564"/>
      <c r="J38" s="564"/>
      <c r="K38" s="564"/>
      <c r="L38" s="564"/>
      <c r="M38" s="564"/>
      <c r="N38" s="564"/>
      <c r="O38" s="554"/>
      <c r="P38" s="554"/>
      <c r="Q38" s="546"/>
      <c r="R38" s="546"/>
      <c r="S38" s="546"/>
      <c r="T38" s="546"/>
      <c r="U38" s="546"/>
      <c r="V38" s="546"/>
      <c r="W38" s="546"/>
      <c r="X38" s="546"/>
      <c r="Y38" s="546"/>
      <c r="Z38" s="546"/>
      <c r="AA38" s="546"/>
      <c r="AB38" s="546"/>
      <c r="AC38" s="546"/>
      <c r="AD38" s="546"/>
      <c r="AE38" s="546"/>
      <c r="AF38" s="546"/>
      <c r="AG38" s="546"/>
    </row>
    <row r="39" spans="2:33" x14ac:dyDescent="0.2">
      <c r="B39" s="547"/>
      <c r="C39" s="862"/>
      <c r="D39" s="862"/>
      <c r="E39" s="862"/>
      <c r="F39" s="862"/>
      <c r="G39" s="862"/>
      <c r="H39" s="862"/>
      <c r="I39" s="862"/>
      <c r="J39" s="862"/>
      <c r="K39" s="862"/>
      <c r="L39" s="862"/>
      <c r="M39" s="862"/>
      <c r="N39" s="863"/>
      <c r="O39" s="567"/>
      <c r="P39" s="565"/>
      <c r="Q39" s="566"/>
      <c r="R39" s="566"/>
      <c r="S39" s="566"/>
      <c r="T39" s="566"/>
      <c r="U39" s="566"/>
      <c r="V39" s="546"/>
      <c r="W39" s="546"/>
      <c r="X39" s="546"/>
      <c r="Y39" s="546"/>
      <c r="Z39" s="546"/>
      <c r="AA39" s="546"/>
      <c r="AB39" s="546"/>
      <c r="AC39" s="566"/>
      <c r="AD39" s="566"/>
      <c r="AE39" s="566"/>
      <c r="AF39" s="546"/>
      <c r="AG39" s="546"/>
    </row>
    <row r="40" spans="2:33" x14ac:dyDescent="0.2">
      <c r="B40" s="547"/>
      <c r="C40" s="864"/>
      <c r="D40" s="864"/>
      <c r="E40" s="864"/>
      <c r="F40" s="864"/>
      <c r="G40" s="864"/>
      <c r="H40" s="864"/>
      <c r="I40" s="864"/>
      <c r="J40" s="864"/>
      <c r="K40" s="864"/>
      <c r="L40" s="864"/>
      <c r="M40" s="864"/>
      <c r="N40" s="865"/>
      <c r="O40" s="567"/>
      <c r="P40" s="565"/>
      <c r="Q40" s="566"/>
      <c r="R40" s="566"/>
      <c r="S40" s="566"/>
      <c r="T40" s="566"/>
      <c r="U40" s="566"/>
      <c r="V40" s="546"/>
      <c r="W40" s="546"/>
      <c r="X40" s="546"/>
      <c r="Y40" s="546"/>
      <c r="Z40" s="546"/>
      <c r="AA40" s="546"/>
      <c r="AB40" s="546"/>
      <c r="AC40" s="566"/>
      <c r="AD40" s="566"/>
      <c r="AE40" s="566"/>
      <c r="AF40" s="546"/>
      <c r="AG40" s="546"/>
    </row>
    <row r="41" spans="2:33" x14ac:dyDescent="0.2">
      <c r="B41" s="547"/>
      <c r="C41" s="864"/>
      <c r="D41" s="864"/>
      <c r="E41" s="864"/>
      <c r="F41" s="864"/>
      <c r="G41" s="864"/>
      <c r="H41" s="864"/>
      <c r="I41" s="864"/>
      <c r="J41" s="864"/>
      <c r="K41" s="864"/>
      <c r="L41" s="864"/>
      <c r="M41" s="864"/>
      <c r="N41" s="865"/>
      <c r="O41" s="567"/>
      <c r="P41" s="565"/>
      <c r="Q41" s="566"/>
      <c r="R41" s="566"/>
      <c r="S41" s="566"/>
      <c r="T41" s="566"/>
      <c r="U41" s="566"/>
      <c r="V41" s="546"/>
      <c r="W41" s="546"/>
      <c r="X41" s="546"/>
      <c r="Y41" s="546"/>
      <c r="Z41" s="546"/>
      <c r="AA41" s="546"/>
      <c r="AB41" s="546"/>
      <c r="AC41" s="566"/>
      <c r="AD41" s="566"/>
      <c r="AE41" s="566"/>
      <c r="AF41" s="546"/>
      <c r="AG41" s="546"/>
    </row>
    <row r="42" spans="2:33" x14ac:dyDescent="0.2">
      <c r="B42" s="547"/>
      <c r="C42" s="864"/>
      <c r="D42" s="864"/>
      <c r="E42" s="864"/>
      <c r="F42" s="864"/>
      <c r="G42" s="864"/>
      <c r="H42" s="864"/>
      <c r="I42" s="864"/>
      <c r="J42" s="864"/>
      <c r="K42" s="864"/>
      <c r="L42" s="864"/>
      <c r="M42" s="864"/>
      <c r="N42" s="865"/>
      <c r="O42" s="567"/>
      <c r="P42" s="546"/>
      <c r="Q42" s="546"/>
      <c r="R42" s="546"/>
      <c r="S42" s="566"/>
      <c r="T42" s="566"/>
      <c r="U42" s="566"/>
      <c r="V42" s="546"/>
      <c r="W42" s="546"/>
      <c r="X42" s="546"/>
      <c r="Y42" s="546"/>
      <c r="Z42" s="546"/>
      <c r="AA42" s="546"/>
      <c r="AB42" s="546"/>
      <c r="AC42" s="566"/>
      <c r="AD42" s="566"/>
      <c r="AE42" s="566"/>
      <c r="AF42" s="546"/>
      <c r="AG42" s="546"/>
    </row>
    <row r="43" spans="2:33" ht="27" customHeight="1" x14ac:dyDescent="0.2">
      <c r="B43" s="547"/>
      <c r="C43" s="866"/>
      <c r="D43" s="866"/>
      <c r="E43" s="866"/>
      <c r="F43" s="866"/>
      <c r="G43" s="866"/>
      <c r="H43" s="866"/>
      <c r="I43" s="866"/>
      <c r="J43" s="866"/>
      <c r="K43" s="866"/>
      <c r="L43" s="866"/>
      <c r="M43" s="866"/>
      <c r="N43" s="867"/>
      <c r="O43" s="567"/>
      <c r="P43" s="546"/>
      <c r="Q43" s="546"/>
      <c r="R43" s="546"/>
      <c r="S43" s="566"/>
      <c r="T43" s="566"/>
      <c r="U43" s="566"/>
      <c r="V43" s="546"/>
      <c r="W43" s="546"/>
      <c r="X43" s="546"/>
      <c r="Y43" s="546"/>
      <c r="Z43" s="546"/>
      <c r="AA43" s="546"/>
      <c r="AB43" s="546"/>
      <c r="AC43" s="566"/>
      <c r="AD43" s="566"/>
      <c r="AE43" s="566"/>
      <c r="AF43" s="546"/>
      <c r="AG43" s="546"/>
    </row>
    <row r="44" spans="2:33" ht="25.5" customHeight="1" x14ac:dyDescent="0.2">
      <c r="B44" s="546"/>
      <c r="C44" s="563"/>
      <c r="D44" s="563"/>
      <c r="E44" s="563"/>
      <c r="F44" s="563"/>
      <c r="G44" s="563"/>
      <c r="H44" s="564"/>
      <c r="I44" s="564"/>
      <c r="J44" s="564"/>
      <c r="K44" s="564"/>
      <c r="L44" s="564"/>
      <c r="M44" s="564"/>
      <c r="N44" s="568"/>
      <c r="O44" s="569"/>
      <c r="P44" s="546"/>
      <c r="Q44" s="546"/>
      <c r="R44" s="546"/>
      <c r="S44" s="566"/>
      <c r="T44" s="566"/>
      <c r="U44" s="566"/>
      <c r="V44" s="546"/>
      <c r="W44" s="546"/>
      <c r="X44" s="546"/>
      <c r="Y44" s="546"/>
      <c r="Z44" s="546"/>
      <c r="AA44" s="546"/>
      <c r="AB44" s="546"/>
      <c r="AC44" s="566"/>
      <c r="AD44" s="566"/>
      <c r="AE44" s="566"/>
      <c r="AF44" s="546"/>
      <c r="AG44" s="546"/>
    </row>
    <row r="45" spans="2:33" ht="20.65" customHeight="1" x14ac:dyDescent="0.2">
      <c r="B45" s="546"/>
      <c r="C45" s="854" t="s">
        <v>249</v>
      </c>
      <c r="D45" s="854"/>
      <c r="E45" s="854"/>
      <c r="F45" s="854"/>
      <c r="G45" s="854"/>
      <c r="H45" s="854"/>
      <c r="I45" s="854"/>
      <c r="J45" s="854"/>
      <c r="K45" s="854"/>
      <c r="L45" s="854"/>
      <c r="M45" s="854"/>
      <c r="N45" s="854"/>
      <c r="O45" s="854"/>
      <c r="P45" s="854"/>
      <c r="Q45" s="570"/>
      <c r="R45" s="570"/>
      <c r="S45" s="566"/>
      <c r="T45" s="810"/>
      <c r="U45" s="810"/>
      <c r="V45" s="571"/>
      <c r="W45" s="571"/>
      <c r="X45" s="571"/>
      <c r="Y45" s="571"/>
      <c r="Z45" s="571"/>
      <c r="AA45" s="571"/>
      <c r="AB45" s="571"/>
      <c r="AC45" s="810"/>
      <c r="AD45" s="810"/>
      <c r="AE45" s="805"/>
      <c r="AF45" s="546"/>
      <c r="AG45" s="546"/>
    </row>
    <row r="46" spans="2:33" ht="15" customHeight="1" x14ac:dyDescent="0.2">
      <c r="B46" s="546"/>
      <c r="C46" s="563"/>
      <c r="D46" s="563"/>
      <c r="E46" s="563"/>
      <c r="F46" s="563"/>
      <c r="G46" s="563"/>
      <c r="H46" s="564"/>
      <c r="I46" s="564"/>
      <c r="J46" s="564"/>
      <c r="K46" s="572"/>
      <c r="L46" s="572"/>
      <c r="M46" s="572"/>
      <c r="N46" s="546"/>
      <c r="O46" s="546"/>
      <c r="P46" s="546"/>
      <c r="Q46" s="546"/>
      <c r="R46" s="546"/>
      <c r="S46" s="566"/>
      <c r="T46" s="573"/>
      <c r="U46" s="573"/>
      <c r="V46" s="571"/>
      <c r="W46" s="571"/>
      <c r="X46" s="571"/>
      <c r="Y46" s="571"/>
      <c r="Z46" s="571"/>
      <c r="AA46" s="571"/>
      <c r="AB46" s="571"/>
      <c r="AC46" s="573"/>
      <c r="AD46" s="574"/>
      <c r="AE46" s="574"/>
      <c r="AF46" s="546"/>
      <c r="AG46" s="546"/>
    </row>
    <row r="47" spans="2:33" ht="20.100000000000001" customHeight="1" x14ac:dyDescent="0.2">
      <c r="B47" s="546"/>
      <c r="C47" s="855" t="s">
        <v>250</v>
      </c>
      <c r="D47" s="856"/>
      <c r="E47" s="563"/>
      <c r="F47" s="857" t="s">
        <v>251</v>
      </c>
      <c r="G47" s="858"/>
      <c r="H47" s="564"/>
      <c r="I47" s="564"/>
      <c r="J47" s="572"/>
      <c r="K47" s="572"/>
      <c r="L47" s="572"/>
      <c r="M47" s="572"/>
      <c r="N47" s="546"/>
      <c r="O47" s="546"/>
      <c r="P47" s="546"/>
      <c r="Q47" s="546"/>
      <c r="R47" s="546"/>
      <c r="S47" s="575"/>
      <c r="T47" s="697"/>
      <c r="U47" s="697"/>
      <c r="V47" s="571"/>
      <c r="W47" s="571"/>
      <c r="X47" s="571"/>
      <c r="Y47" s="571"/>
      <c r="Z47" s="571"/>
      <c r="AA47" s="571"/>
      <c r="AB47" s="571"/>
      <c r="AC47" s="697"/>
      <c r="AD47" s="574"/>
      <c r="AE47" s="574"/>
      <c r="AF47" s="546"/>
      <c r="AG47" s="546"/>
    </row>
    <row r="48" spans="2:33" ht="25.15" customHeight="1" x14ac:dyDescent="0.2">
      <c r="B48" s="546"/>
      <c r="C48" s="821" t="s">
        <v>252</v>
      </c>
      <c r="D48" s="825" t="str">
        <f>IF('Project Compliance Tool'!$O$65="","",'Project Compliance Tool'!$O$65)</f>
        <v/>
      </c>
      <c r="E48" s="563"/>
      <c r="F48" s="822" t="s">
        <v>253</v>
      </c>
      <c r="G48" s="830">
        <f>SUM(TLoan[Total Interest Payment])</f>
        <v>0</v>
      </c>
      <c r="H48" s="564"/>
      <c r="I48" s="564"/>
      <c r="J48" s="572"/>
      <c r="K48" s="572"/>
      <c r="L48" s="572"/>
      <c r="M48" s="572"/>
      <c r="N48" s="546"/>
      <c r="O48" s="546"/>
      <c r="P48" s="546"/>
      <c r="Q48" s="546"/>
      <c r="R48" s="546"/>
      <c r="S48" s="576"/>
      <c r="T48" s="698"/>
      <c r="U48" s="698"/>
      <c r="V48" s="571"/>
      <c r="W48" s="571"/>
      <c r="X48" s="571"/>
      <c r="Y48" s="571"/>
      <c r="Z48" s="571"/>
      <c r="AA48" s="571"/>
      <c r="AB48" s="571"/>
      <c r="AC48" s="698"/>
      <c r="AD48" s="574"/>
      <c r="AE48" s="574"/>
      <c r="AF48" s="546"/>
      <c r="AG48" s="546"/>
    </row>
    <row r="49" spans="2:33" ht="25.15" customHeight="1" x14ac:dyDescent="0.2">
      <c r="B49" s="546"/>
      <c r="C49" s="822" t="s">
        <v>254</v>
      </c>
      <c r="D49" s="826">
        <f>Total_Funding_Requested</f>
        <v>0</v>
      </c>
      <c r="E49" s="563"/>
      <c r="F49" s="580"/>
      <c r="G49" s="700"/>
      <c r="H49" s="564"/>
      <c r="I49" s="719"/>
      <c r="J49" s="572"/>
      <c r="K49" s="572"/>
      <c r="L49" s="572"/>
      <c r="M49" s="572"/>
      <c r="N49" s="546"/>
      <c r="O49" s="546"/>
      <c r="P49" s="546"/>
      <c r="Q49" s="546"/>
      <c r="R49" s="546"/>
      <c r="S49" s="577"/>
      <c r="T49" s="578"/>
      <c r="U49" s="578"/>
      <c r="V49" s="571"/>
      <c r="W49" s="571"/>
      <c r="X49" s="571"/>
      <c r="Y49" s="571"/>
      <c r="Z49" s="571"/>
      <c r="AA49" s="571"/>
      <c r="AB49" s="571"/>
      <c r="AC49" s="578"/>
      <c r="AD49" s="560"/>
      <c r="AE49" s="560"/>
      <c r="AF49" s="546"/>
      <c r="AG49" s="546"/>
    </row>
    <row r="50" spans="2:33" ht="25.15" customHeight="1" x14ac:dyDescent="0.2">
      <c r="B50" s="546"/>
      <c r="C50" s="822" t="s">
        <v>255</v>
      </c>
      <c r="D50" s="827">
        <v>2.4500000000000001E-2</v>
      </c>
      <c r="E50" s="563"/>
      <c r="F50" s="580"/>
      <c r="G50" s="700"/>
      <c r="H50" s="579"/>
      <c r="I50" s="720"/>
      <c r="J50" s="572"/>
      <c r="K50" s="572"/>
      <c r="L50" s="572"/>
      <c r="M50" s="572"/>
      <c r="N50" s="546"/>
      <c r="O50" s="546"/>
      <c r="P50" s="546"/>
      <c r="Q50" s="546"/>
      <c r="R50" s="546"/>
      <c r="S50" s="577"/>
      <c r="T50" s="578"/>
      <c r="U50" s="578"/>
      <c r="V50" s="571"/>
      <c r="W50" s="571"/>
      <c r="X50" s="571"/>
      <c r="Y50" s="571"/>
      <c r="Z50" s="571"/>
      <c r="AA50" s="571"/>
      <c r="AB50" s="571"/>
      <c r="AC50" s="578"/>
      <c r="AD50" s="560"/>
      <c r="AE50" s="560"/>
      <c r="AF50" s="546"/>
      <c r="AG50" s="546"/>
    </row>
    <row r="51" spans="2:33" ht="25.15" customHeight="1" x14ac:dyDescent="0.2">
      <c r="B51" s="546"/>
      <c r="C51" s="822" t="s">
        <v>256</v>
      </c>
      <c r="D51" s="828" t="str">
        <f>IF(Drawdown_1_Date&gt;0,Drawdown_1_Date,"")</f>
        <v/>
      </c>
      <c r="E51" s="563"/>
      <c r="F51" s="859" t="s">
        <v>257</v>
      </c>
      <c r="G51" s="859"/>
      <c r="H51" s="564"/>
      <c r="I51" s="564"/>
      <c r="J51" s="572"/>
      <c r="K51" s="572"/>
      <c r="L51" s="572"/>
      <c r="M51" s="572"/>
      <c r="N51" s="546"/>
      <c r="O51" s="546"/>
      <c r="P51" s="546"/>
      <c r="Q51" s="546"/>
      <c r="R51" s="546"/>
      <c r="S51" s="577"/>
      <c r="T51" s="578"/>
      <c r="U51" s="578"/>
      <c r="V51" s="571"/>
      <c r="W51" s="571"/>
      <c r="X51" s="571"/>
      <c r="Y51" s="571"/>
      <c r="Z51" s="571"/>
      <c r="AA51" s="571"/>
      <c r="AB51" s="571"/>
      <c r="AC51" s="578"/>
      <c r="AD51" s="560"/>
      <c r="AE51" s="560"/>
      <c r="AF51" s="546"/>
      <c r="AG51" s="546"/>
    </row>
    <row r="52" spans="2:33" ht="25.15" customHeight="1" x14ac:dyDescent="0.2">
      <c r="B52" s="546"/>
      <c r="C52" s="823" t="s">
        <v>258</v>
      </c>
      <c r="D52" s="828" t="str">
        <f>IF(Drawdown_2_Date&gt;0,Drawdown_2_Date,"")</f>
        <v/>
      </c>
      <c r="E52" s="563"/>
      <c r="F52" s="821" t="s">
        <v>259</v>
      </c>
      <c r="G52" s="831" t="str">
        <f>IF(P22="","Input selection to 1b",P22)</f>
        <v>Input selection to 1b</v>
      </c>
      <c r="H52" s="564"/>
      <c r="I52" s="564"/>
      <c r="J52" s="572"/>
      <c r="K52" s="572"/>
      <c r="L52" s="572"/>
      <c r="M52" s="572"/>
      <c r="N52" s="546"/>
      <c r="O52" s="546"/>
      <c r="P52" s="546"/>
      <c r="Q52" s="546"/>
      <c r="R52" s="546"/>
      <c r="S52" s="577"/>
      <c r="T52" s="578"/>
      <c r="U52" s="578"/>
      <c r="V52" s="571"/>
      <c r="W52" s="571"/>
      <c r="X52" s="571"/>
      <c r="Y52" s="571"/>
      <c r="Z52" s="571"/>
      <c r="AA52" s="571"/>
      <c r="AB52" s="571"/>
      <c r="AC52" s="578"/>
      <c r="AD52" s="560"/>
      <c r="AE52" s="560"/>
      <c r="AF52" s="546"/>
      <c r="AG52" s="546"/>
    </row>
    <row r="53" spans="2:33" ht="25.15" customHeight="1" x14ac:dyDescent="0.2">
      <c r="B53" s="546"/>
      <c r="C53" s="823" t="s">
        <v>260</v>
      </c>
      <c r="D53" s="828" t="str">
        <f>IF(Drawdown_3_Date&gt;0,Drawdown_3_Date,"")</f>
        <v/>
      </c>
      <c r="E53" s="563"/>
      <c r="F53" s="822" t="s">
        <v>261</v>
      </c>
      <c r="G53" s="832">
        <f>SUM(TLoan[Early Capital Repayment])</f>
        <v>0</v>
      </c>
      <c r="H53" s="564"/>
      <c r="I53" s="564"/>
      <c r="J53" s="572"/>
      <c r="K53" s="572"/>
      <c r="L53" s="572"/>
      <c r="M53" s="572"/>
      <c r="N53" s="546"/>
      <c r="O53" s="546"/>
      <c r="P53" s="546"/>
      <c r="Q53" s="546"/>
      <c r="R53" s="546"/>
      <c r="S53" s="577"/>
      <c r="T53" s="578"/>
      <c r="U53" s="578"/>
      <c r="V53" s="571"/>
      <c r="W53" s="571"/>
      <c r="X53" s="571"/>
      <c r="Y53" s="571"/>
      <c r="Z53" s="571"/>
      <c r="AA53" s="571"/>
      <c r="AB53" s="571"/>
      <c r="AC53" s="578"/>
      <c r="AD53" s="560"/>
      <c r="AE53" s="560"/>
      <c r="AF53" s="546"/>
      <c r="AG53" s="546"/>
    </row>
    <row r="54" spans="2:33" ht="25.15" customHeight="1" x14ac:dyDescent="0.2">
      <c r="B54" s="546"/>
      <c r="C54" s="823" t="s">
        <v>262</v>
      </c>
      <c r="D54" s="829">
        <f>Project_Completion_Date</f>
        <v>0</v>
      </c>
      <c r="E54" s="563"/>
      <c r="F54" s="822" t="s">
        <v>263</v>
      </c>
      <c r="G54" s="833">
        <f>SUM(TLoan[Total Capital Repayment])</f>
        <v>0</v>
      </c>
      <c r="H54" s="564"/>
      <c r="I54" s="564"/>
      <c r="J54" s="572"/>
      <c r="K54" s="572"/>
      <c r="L54" s="572"/>
      <c r="M54" s="572"/>
      <c r="N54" s="546"/>
      <c r="O54" s="546"/>
      <c r="P54" s="546"/>
      <c r="Q54" s="546"/>
      <c r="R54" s="546"/>
      <c r="S54" s="577"/>
      <c r="T54" s="578"/>
      <c r="U54" s="812"/>
      <c r="V54" s="571"/>
      <c r="W54" s="571"/>
      <c r="X54" s="571"/>
      <c r="Y54" s="571"/>
      <c r="Z54" s="571"/>
      <c r="AA54" s="571"/>
      <c r="AB54" s="571"/>
      <c r="AC54" s="578"/>
      <c r="AD54" s="560"/>
      <c r="AE54" s="560"/>
      <c r="AF54" s="546"/>
      <c r="AG54" s="546"/>
    </row>
    <row r="55" spans="2:33" ht="20.100000000000001" customHeight="1" x14ac:dyDescent="0.2">
      <c r="B55" s="546"/>
      <c r="C55" s="538" t="s">
        <v>263</v>
      </c>
      <c r="D55" s="539"/>
      <c r="E55" s="563"/>
      <c r="F55" s="573"/>
      <c r="G55" s="582"/>
      <c r="H55" s="564"/>
      <c r="I55" s="564"/>
      <c r="J55" s="572"/>
      <c r="K55" s="572"/>
      <c r="L55" s="572"/>
      <c r="M55" s="572"/>
      <c r="N55" s="546"/>
      <c r="O55" s="546"/>
      <c r="P55" s="546"/>
      <c r="Q55" s="546"/>
      <c r="R55" s="546"/>
      <c r="S55" s="577"/>
      <c r="T55" s="578"/>
      <c r="U55" s="578"/>
      <c r="V55" s="571"/>
      <c r="W55" s="571"/>
      <c r="X55" s="571"/>
      <c r="Y55" s="571"/>
      <c r="Z55" s="571"/>
      <c r="AA55" s="571"/>
      <c r="AB55" s="571"/>
      <c r="AC55" s="578"/>
      <c r="AD55" s="560"/>
      <c r="AE55" s="560"/>
      <c r="AF55" s="546"/>
      <c r="AG55" s="546"/>
    </row>
    <row r="56" spans="2:33" ht="25.15" hidden="1" customHeight="1" x14ac:dyDescent="0.2">
      <c r="B56" s="546"/>
      <c r="C56" s="563"/>
      <c r="D56" s="563"/>
      <c r="E56" s="563"/>
      <c r="F56" s="563"/>
      <c r="G56" s="563"/>
      <c r="H56" s="564"/>
      <c r="I56" s="564"/>
      <c r="J56" s="572"/>
      <c r="K56" s="572"/>
      <c r="L56" s="572"/>
      <c r="M56" s="572"/>
      <c r="N56" s="546"/>
      <c r="O56" s="546"/>
      <c r="P56" s="546"/>
      <c r="Q56" s="546"/>
      <c r="R56" s="546"/>
      <c r="S56" s="577"/>
      <c r="T56" s="578"/>
      <c r="U56" s="578"/>
      <c r="V56" s="571"/>
      <c r="W56" s="571"/>
      <c r="X56" s="571"/>
      <c r="Y56" s="571"/>
      <c r="Z56" s="571"/>
      <c r="AA56" s="571"/>
      <c r="AB56" s="571"/>
      <c r="AC56" s="578"/>
      <c r="AD56" s="560"/>
      <c r="AE56" s="560"/>
      <c r="AF56" s="546"/>
      <c r="AG56" s="546"/>
    </row>
    <row r="57" spans="2:33" ht="25.15" hidden="1" customHeight="1" x14ac:dyDescent="0.2">
      <c r="B57" s="546"/>
      <c r="C57" s="563"/>
      <c r="D57" s="563"/>
      <c r="E57" s="563"/>
      <c r="F57" s="573"/>
      <c r="G57" s="582"/>
      <c r="H57" s="564"/>
      <c r="I57" s="564"/>
      <c r="J57" s="572"/>
      <c r="K57" s="572"/>
      <c r="L57" s="572"/>
      <c r="M57" s="572"/>
      <c r="N57" s="546"/>
      <c r="O57" s="546"/>
      <c r="P57" s="546"/>
      <c r="Q57" s="546"/>
      <c r="R57" s="546"/>
      <c r="S57" s="577"/>
      <c r="T57" s="578"/>
      <c r="U57" s="578"/>
      <c r="V57" s="571"/>
      <c r="W57" s="571"/>
      <c r="X57" s="571"/>
      <c r="Y57" s="571"/>
      <c r="Z57" s="571"/>
      <c r="AA57" s="571"/>
      <c r="AB57" s="571"/>
      <c r="AC57" s="578"/>
      <c r="AD57" s="560"/>
      <c r="AE57" s="560"/>
      <c r="AF57" s="546"/>
      <c r="AG57" s="546"/>
    </row>
    <row r="58" spans="2:33" ht="25.15" hidden="1" customHeight="1" x14ac:dyDescent="0.2">
      <c r="B58" s="546"/>
      <c r="C58" s="563"/>
      <c r="D58" s="563"/>
      <c r="E58" s="581"/>
      <c r="F58" s="563"/>
      <c r="G58" s="563"/>
      <c r="H58" s="568"/>
      <c r="I58" s="564"/>
      <c r="J58" s="572"/>
      <c r="K58" s="572"/>
      <c r="L58" s="572"/>
      <c r="M58" s="572"/>
      <c r="N58" s="546"/>
      <c r="O58" s="546"/>
      <c r="P58" s="546"/>
      <c r="Q58" s="546"/>
      <c r="R58" s="546"/>
      <c r="S58" s="577"/>
      <c r="T58" s="578"/>
      <c r="U58" s="578"/>
      <c r="V58" s="571"/>
      <c r="W58" s="571"/>
      <c r="X58" s="571"/>
      <c r="Y58" s="571"/>
      <c r="Z58" s="571"/>
      <c r="AA58" s="571"/>
      <c r="AB58" s="571"/>
      <c r="AC58" s="578"/>
      <c r="AD58" s="560"/>
      <c r="AE58" s="560"/>
      <c r="AF58" s="546"/>
      <c r="AG58" s="546"/>
    </row>
    <row r="59" spans="2:33" ht="15" hidden="1" customHeight="1" x14ac:dyDescent="0.2">
      <c r="B59" s="546"/>
      <c r="C59" s="563"/>
      <c r="D59" s="563"/>
      <c r="E59" s="563"/>
      <c r="F59" s="573"/>
      <c r="G59" s="582"/>
      <c r="H59" s="564"/>
      <c r="I59" s="564"/>
      <c r="J59" s="572"/>
      <c r="K59" s="572"/>
      <c r="L59" s="572"/>
      <c r="M59" s="572"/>
      <c r="N59" s="546"/>
      <c r="O59" s="546"/>
      <c r="P59" s="546"/>
      <c r="Q59" s="685"/>
      <c r="R59" s="685"/>
      <c r="S59" s="577"/>
      <c r="T59" s="578"/>
      <c r="U59" s="578"/>
      <c r="V59" s="571"/>
      <c r="W59" s="571"/>
      <c r="X59" s="571"/>
      <c r="Y59" s="571"/>
      <c r="Z59" s="571"/>
      <c r="AA59" s="571"/>
      <c r="AB59" s="571"/>
      <c r="AC59" s="578"/>
      <c r="AD59" s="560"/>
      <c r="AE59" s="560"/>
      <c r="AF59" s="546"/>
      <c r="AG59" s="546"/>
    </row>
    <row r="60" spans="2:33" hidden="1" x14ac:dyDescent="0.2">
      <c r="B60" s="546"/>
      <c r="C60" s="563"/>
      <c r="D60" s="563"/>
      <c r="E60" s="563"/>
      <c r="F60" s="563"/>
      <c r="G60" s="563"/>
      <c r="H60" s="564"/>
      <c r="I60" s="564"/>
      <c r="J60" s="572"/>
      <c r="K60" s="572"/>
      <c r="L60" s="572"/>
      <c r="M60" s="572"/>
      <c r="N60" s="717"/>
      <c r="O60" s="714"/>
      <c r="P60" s="694"/>
      <c r="Q60" s="695"/>
      <c r="R60" s="695"/>
      <c r="S60" s="577"/>
      <c r="T60" s="578"/>
      <c r="U60" s="578"/>
      <c r="V60" s="571"/>
      <c r="W60" s="571"/>
      <c r="X60" s="571"/>
      <c r="Y60" s="571"/>
      <c r="Z60" s="571"/>
      <c r="AA60" s="571"/>
      <c r="AB60" s="571"/>
      <c r="AC60" s="578"/>
      <c r="AD60" s="560"/>
      <c r="AE60" s="560"/>
      <c r="AF60" s="546"/>
      <c r="AG60" s="546"/>
    </row>
    <row r="61" spans="2:33" hidden="1" x14ac:dyDescent="0.2">
      <c r="B61" s="546"/>
      <c r="C61" s="563"/>
      <c r="D61" s="563"/>
      <c r="E61" s="563"/>
      <c r="F61" s="563"/>
      <c r="G61" s="563"/>
      <c r="H61" s="564"/>
      <c r="I61" s="564"/>
      <c r="J61" s="572"/>
      <c r="K61" s="572"/>
      <c r="L61" s="572"/>
      <c r="M61" s="572"/>
      <c r="N61" s="717"/>
      <c r="O61" s="713"/>
      <c r="P61" s="694"/>
      <c r="Q61" s="695"/>
      <c r="R61" s="695"/>
      <c r="S61" s="577"/>
      <c r="T61" s="578"/>
      <c r="U61" s="578"/>
      <c r="V61" s="571"/>
      <c r="W61" s="571"/>
      <c r="X61" s="571"/>
      <c r="Y61" s="571"/>
      <c r="Z61" s="571"/>
      <c r="AA61" s="571"/>
      <c r="AB61" s="571"/>
      <c r="AC61" s="578"/>
      <c r="AD61" s="560"/>
      <c r="AE61" s="560"/>
      <c r="AF61" s="546"/>
      <c r="AG61" s="546"/>
    </row>
    <row r="62" spans="2:33" hidden="1" x14ac:dyDescent="0.2">
      <c r="B62" s="546"/>
      <c r="C62" s="584"/>
      <c r="D62" s="584"/>
      <c r="E62" s="584"/>
      <c r="F62" s="584"/>
      <c r="G62" s="584"/>
      <c r="H62" s="568"/>
      <c r="I62" s="568"/>
      <c r="J62" s="572"/>
      <c r="K62" s="572"/>
      <c r="L62" s="572"/>
      <c r="M62" s="572"/>
      <c r="N62" s="717"/>
      <c r="O62" s="694"/>
      <c r="P62" s="694"/>
      <c r="Q62" s="695"/>
      <c r="R62" s="695"/>
      <c r="S62" s="577"/>
      <c r="T62" s="578"/>
      <c r="U62" s="578"/>
      <c r="V62" s="571"/>
      <c r="W62" s="571"/>
      <c r="X62" s="571"/>
      <c r="Y62" s="571"/>
      <c r="Z62" s="571"/>
      <c r="AA62" s="571"/>
      <c r="AB62" s="571"/>
      <c r="AC62" s="578"/>
      <c r="AD62" s="560"/>
      <c r="AE62" s="560"/>
      <c r="AF62" s="546"/>
      <c r="AG62" s="546"/>
    </row>
    <row r="63" spans="2:33" hidden="1" x14ac:dyDescent="0.2">
      <c r="B63" s="546"/>
      <c r="C63" s="584"/>
      <c r="D63" s="584"/>
      <c r="E63" s="584"/>
      <c r="F63" s="584"/>
      <c r="G63" s="584"/>
      <c r="H63" s="568"/>
      <c r="I63" s="568"/>
      <c r="J63" s="572"/>
      <c r="K63" s="572"/>
      <c r="L63" s="572"/>
      <c r="M63" s="572"/>
      <c r="N63" s="572"/>
      <c r="O63" s="694"/>
      <c r="P63" s="694"/>
      <c r="Q63" s="695"/>
      <c r="R63" s="695"/>
      <c r="S63" s="577"/>
      <c r="T63" s="578"/>
      <c r="U63" s="578"/>
      <c r="V63" s="571"/>
      <c r="W63" s="571"/>
      <c r="X63" s="571"/>
      <c r="Y63" s="571"/>
      <c r="Z63" s="571"/>
      <c r="AA63" s="571"/>
      <c r="AB63" s="571"/>
      <c r="AC63" s="578"/>
      <c r="AD63" s="560"/>
      <c r="AE63" s="560"/>
      <c r="AF63" s="546"/>
      <c r="AG63" s="546"/>
    </row>
    <row r="64" spans="2:33" hidden="1" x14ac:dyDescent="0.2">
      <c r="B64" s="546"/>
      <c r="C64" s="860"/>
      <c r="D64" s="860"/>
      <c r="E64" s="860"/>
      <c r="F64" s="530"/>
      <c r="G64" s="585"/>
      <c r="H64" s="585"/>
      <c r="I64" s="585"/>
      <c r="J64" s="583"/>
      <c r="K64" s="586"/>
      <c r="L64" s="586"/>
      <c r="M64" s="586"/>
      <c r="N64" s="586"/>
      <c r="O64" s="716"/>
      <c r="P64" s="715"/>
      <c r="Q64" s="695"/>
      <c r="R64" s="695"/>
      <c r="S64" s="577"/>
      <c r="T64" s="578"/>
      <c r="U64" s="578"/>
      <c r="V64" s="571"/>
      <c r="W64" s="571"/>
      <c r="X64" s="571"/>
      <c r="Y64" s="571"/>
      <c r="Z64" s="571"/>
      <c r="AA64" s="571"/>
      <c r="AB64" s="571"/>
      <c r="AC64" s="578"/>
      <c r="AD64" s="560"/>
      <c r="AE64" s="560"/>
      <c r="AF64" s="546"/>
      <c r="AG64" s="546"/>
    </row>
    <row r="65" spans="2:33" x14ac:dyDescent="0.2">
      <c r="B65" s="546"/>
      <c r="C65" s="587"/>
      <c r="D65" s="587"/>
      <c r="E65" s="560"/>
      <c r="F65" s="560"/>
      <c r="G65" s="585"/>
      <c r="H65" s="585"/>
      <c r="I65" s="585"/>
      <c r="J65" s="583"/>
      <c r="K65" s="588"/>
      <c r="L65" s="588"/>
      <c r="M65" s="588"/>
      <c r="N65" s="588"/>
      <c r="O65" s="540"/>
      <c r="P65" s="540"/>
      <c r="Q65" s="718"/>
      <c r="R65" s="718"/>
      <c r="S65" s="590"/>
      <c r="T65" s="578"/>
      <c r="U65" s="578"/>
      <c r="V65" s="571"/>
      <c r="W65" s="571"/>
      <c r="X65" s="571"/>
      <c r="Y65" s="571"/>
      <c r="Z65" s="571"/>
      <c r="AA65" s="571"/>
      <c r="AB65" s="571"/>
      <c r="AC65" s="578"/>
      <c r="AD65" s="591"/>
      <c r="AE65" s="591"/>
      <c r="AF65" s="546"/>
      <c r="AG65" s="546"/>
    </row>
    <row r="66" spans="2:33" ht="24" x14ac:dyDescent="0.2">
      <c r="B66" s="546"/>
      <c r="C66" s="587"/>
      <c r="D66" s="587"/>
      <c r="E66" s="560"/>
      <c r="F66" s="560"/>
      <c r="G66" s="585"/>
      <c r="H66" s="585"/>
      <c r="I66" s="585"/>
      <c r="J66" s="583"/>
      <c r="K66" s="588"/>
      <c r="L66" s="588"/>
      <c r="M66" s="588"/>
      <c r="N66" s="588"/>
      <c r="O66" s="541"/>
      <c r="P66" s="542">
        <f>MONTH(D54)</f>
        <v>1</v>
      </c>
      <c r="Q66" s="589" t="s">
        <v>264</v>
      </c>
      <c r="R66" s="589"/>
      <c r="S66" s="589"/>
      <c r="T66" s="573"/>
      <c r="U66" s="573"/>
      <c r="V66" s="571"/>
      <c r="W66" s="571"/>
      <c r="X66" s="571"/>
      <c r="Y66" s="571"/>
      <c r="Z66" s="571"/>
      <c r="AA66" s="571"/>
      <c r="AB66" s="571"/>
      <c r="AC66" s="573"/>
      <c r="AD66" s="592"/>
      <c r="AE66" s="592"/>
      <c r="AF66" s="546"/>
      <c r="AG66" s="546"/>
    </row>
    <row r="67" spans="2:33" ht="22.15" customHeight="1" x14ac:dyDescent="0.2">
      <c r="B67" s="546"/>
      <c r="C67" s="854" t="s">
        <v>265</v>
      </c>
      <c r="D67" s="854"/>
      <c r="E67" s="854" t="str">
        <f>IF(P15=1,"Please skip this Section 3 if the loan is being repaid in one year (1a).","")</f>
        <v/>
      </c>
      <c r="F67" s="854"/>
      <c r="G67" s="854"/>
      <c r="H67" s="854"/>
      <c r="I67" s="854"/>
      <c r="J67" s="854"/>
      <c r="K67" s="854"/>
      <c r="L67" s="854"/>
      <c r="M67" s="854"/>
      <c r="N67" s="854"/>
      <c r="O67" s="854"/>
      <c r="P67" s="693"/>
      <c r="Q67" s="589"/>
      <c r="R67" s="589"/>
      <c r="S67" s="589"/>
      <c r="T67" s="573"/>
      <c r="U67" s="573"/>
      <c r="V67" s="571"/>
      <c r="W67" s="571"/>
      <c r="X67" s="571"/>
      <c r="Y67" s="571"/>
      <c r="Z67" s="571"/>
      <c r="AA67" s="571"/>
      <c r="AB67" s="571"/>
      <c r="AC67" s="573"/>
      <c r="AD67" s="592"/>
      <c r="AE67" s="592"/>
      <c r="AF67" s="546"/>
      <c r="AG67" s="546"/>
    </row>
    <row r="68" spans="2:33" x14ac:dyDescent="0.2">
      <c r="B68" s="546"/>
      <c r="C68" s="587"/>
      <c r="D68" s="587"/>
      <c r="E68" s="560"/>
      <c r="F68" s="560"/>
      <c r="G68" s="585"/>
      <c r="H68" s="585"/>
      <c r="I68" s="585"/>
      <c r="J68" s="583"/>
      <c r="K68" s="588"/>
      <c r="L68" s="588"/>
      <c r="M68" s="588"/>
      <c r="N68" s="588"/>
      <c r="O68" s="541"/>
      <c r="P68" s="542"/>
      <c r="Q68" s="589"/>
      <c r="R68" s="589"/>
      <c r="S68" s="589"/>
      <c r="T68" s="573"/>
      <c r="U68" s="573"/>
      <c r="V68" s="571"/>
      <c r="W68" s="571"/>
      <c r="X68" s="571"/>
      <c r="Y68" s="571"/>
      <c r="Z68" s="571"/>
      <c r="AA68" s="571"/>
      <c r="AB68" s="571"/>
      <c r="AC68" s="573"/>
      <c r="AD68" s="592"/>
      <c r="AE68" s="592"/>
      <c r="AF68" s="546"/>
      <c r="AG68" s="546"/>
    </row>
    <row r="69" spans="2:33" ht="49.5" customHeight="1" x14ac:dyDescent="0.2">
      <c r="B69" s="546"/>
      <c r="C69" s="816" t="s">
        <v>266</v>
      </c>
      <c r="D69" s="817" t="s">
        <v>267</v>
      </c>
      <c r="E69" s="817" t="s">
        <v>268</v>
      </c>
      <c r="F69" s="817" t="s">
        <v>269</v>
      </c>
      <c r="G69" s="817" t="s">
        <v>270</v>
      </c>
      <c r="H69" s="817" t="s">
        <v>271</v>
      </c>
      <c r="I69" s="817" t="s">
        <v>272</v>
      </c>
      <c r="J69" s="817" t="s">
        <v>273</v>
      </c>
      <c r="K69" s="817" t="s">
        <v>274</v>
      </c>
      <c r="L69" s="817" t="s">
        <v>275</v>
      </c>
      <c r="M69" s="817" t="s">
        <v>276</v>
      </c>
      <c r="N69" s="815" t="s">
        <v>277</v>
      </c>
      <c r="O69" s="815" t="s">
        <v>278</v>
      </c>
      <c r="P69" s="815" t="s">
        <v>279</v>
      </c>
      <c r="Q69" s="815" t="s">
        <v>280</v>
      </c>
      <c r="R69" s="815" t="s">
        <v>281</v>
      </c>
      <c r="S69" s="815" t="s">
        <v>282</v>
      </c>
      <c r="T69" s="815" t="s">
        <v>283</v>
      </c>
      <c r="U69" s="815" t="s">
        <v>284</v>
      </c>
      <c r="V69" s="815" t="s">
        <v>285</v>
      </c>
      <c r="W69" s="818" t="s">
        <v>286</v>
      </c>
      <c r="X69" s="815" t="s">
        <v>287</v>
      </c>
      <c r="Y69" s="818" t="s">
        <v>288</v>
      </c>
      <c r="Z69" s="819" t="s">
        <v>289</v>
      </c>
      <c r="AA69" s="819" t="s">
        <v>290</v>
      </c>
      <c r="AB69" s="820" t="s">
        <v>291</v>
      </c>
      <c r="AC69" s="815" t="s">
        <v>292</v>
      </c>
      <c r="AD69" s="815" t="s">
        <v>293</v>
      </c>
      <c r="AE69" s="815" t="s">
        <v>294</v>
      </c>
      <c r="AF69" s="546"/>
      <c r="AG69" s="546"/>
    </row>
    <row r="70" spans="2:33" x14ac:dyDescent="0.2">
      <c r="B70" s="546"/>
      <c r="C70" s="834">
        <f>Submission_Date</f>
        <v>0</v>
      </c>
      <c r="D70" s="835">
        <f>IF(TLoan[[#This Row],[Start of Year]]&lt;DATE(YEAR(TLoan[[#This Row],[Start of Year]]),2,28),DATE(YEAR(TLoan[[#This Row],[Start of Year]]),2,28),DATE(YEAR(TLoan[[#This Row],[Start of Year]])+1,2,28))</f>
        <v>59</v>
      </c>
      <c r="E70" s="836" t="str">
        <f>IFERROR(IF(TLoan[[#This Row],[PFY]]=Project_Completion_Financial_Year,"1",IF(TLoan[[#This Row],[PFY]]&gt;Project_Completion_Financial_Year,IF(TLoan[[#This Row],[PFY]]&lt;=Final_Payment_Year,E69+1,"N/A"),"N/A")),"")</f>
        <v>1</v>
      </c>
      <c r="F70" s="837" t="str">
        <f>IFERROR(IF(TLoan[[#This Row],[PFY]]=Drawdown_1_Financial_Year,"1",IF(TLoan[[#This Row],[PFY]]&gt;Drawdown_1_Financial_Year,IF(TLoan[[#This Row],[PFY]]&lt;=Final_Payment_Year,F69+1,"N/A"),"N/A")),"")</f>
        <v>1</v>
      </c>
      <c r="G70" s="838" t="str">
        <f>TLoan[[#This Row],[PFY]]&amp;"-"&amp;TLoan[[#This Row],[PFY]]+1</f>
        <v>1899-1900</v>
      </c>
      <c r="H70" s="838">
        <f>IF( YEAR(TLoan[[#This Row],[Start of Year]]) = YEAR(TLoan[[#This Row],[End of Year]]), YEAR(TLoan[[#This Row],[Start of Year]])-1, YEAR(TLoan[[#This Row],[Start of Year]]))</f>
        <v>1899</v>
      </c>
      <c r="I70" s="839">
        <f>IF(Drawdown_1_Financial_Year = TLoan[[#This Row],[PFY]], Drawdown_1, 0)</f>
        <v>0</v>
      </c>
      <c r="J70" s="839">
        <f>IF(Drawdown_2_Financial_Year = TLoan[[#This Row],[PFY]], Drawdown_2, 0)</f>
        <v>0</v>
      </c>
      <c r="K70" s="839">
        <f>IF(Drawdown_3_Financial_Year = TLoan[[#This Row],[PFY]], Drawdown_3, 0)</f>
        <v>0</v>
      </c>
      <c r="L70" s="839">
        <f t="shared" ref="L70:L93" si="0">IF(ISNUMBER(V69),V69,0)</f>
        <v>0</v>
      </c>
      <c r="M70" s="839">
        <f>IF(AND(TLoan[[#This Row],[PFY]]&gt;=Project_Completion_Financial_Year,TLoan[[#This Row],[PFY]]&lt;Project_Completion_Financial_Year+Payback_Period_In_Years),Minimum_Required_Repayment,0)</f>
        <v>0</v>
      </c>
      <c r="N70" s="840">
        <f>TLoan[[#This Row],[Drawdown 1 Capital Amount]]+TLoan[[#This Row],[Drawdown 2 Capital Amount]]+TLoan[[#This Row],[Drawdown 3 Capital Amount]]+IF(ISNUMBER(V69),V69,0)</f>
        <v>0</v>
      </c>
      <c r="O70" s="841">
        <f>TLoan[[#This Row],[Total Repayment Per Annum]]-TLoan[[#This Row],[Early Capital Repayment]]</f>
        <v>0</v>
      </c>
      <c r="P70"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0" s="840">
        <f>TLoan[[#This Row],[Capital Balance at FY Start]]*Interest_Rate</f>
        <v>0</v>
      </c>
      <c r="R70" s="840">
        <f>TLoan[[#This Row],[Drawdowns First Year Interest Payments]]+TLoan[[#This Row],[Interest Payment]]</f>
        <v>0</v>
      </c>
      <c r="S70"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0" s="842"/>
      <c r="U70" s="843">
        <f>TLoan[[#This Row],[Capital Repayment]]+TLoan[[#This Row],[Early Capital Repayment]]</f>
        <v>0</v>
      </c>
      <c r="V70" s="839">
        <f>TLoan[[#This Row],[Capital Balance at FY Start]]+TLoan[[#This Row],[Drawdown 1 Capital Amount]]+TLoan[[#This Row],[Drawdown 2 Capital Amount]]+TLoan[[#This Row],[Drawdown 3 Capital Amount]]-TLoan[[#This Row],[Total Capital Repayment]]</f>
        <v>0</v>
      </c>
      <c r="W70" s="844"/>
      <c r="X70" s="845">
        <f>IF(TLoan[[#This Row],[Total Capital Repayment]]&gt;0,1,0)</f>
        <v>0</v>
      </c>
      <c r="Y70" s="845"/>
      <c r="Z70" s="846"/>
      <c r="AA70" s="846"/>
      <c r="AB70" s="847" t="str">
        <f>IF(TLoan[[#This Row],[PFY]]&gt;Final_Payment_Year,"Capital Repayments Finished","Capital Repayments Incomplete")</f>
        <v>Capital Repayments Incomplete</v>
      </c>
      <c r="AC70" s="848">
        <f>IF(TLoan[[#This Row],[PFY]]&gt;Final_Payment_Year,0,TLoan[[#This Row],[Total Interest Payment]]+TLoan[[#This Row],[Total Capital Repayment]])</f>
        <v>0</v>
      </c>
      <c r="AD70" s="849">
        <f>IF(TLoan[[#This Row],[PFY]]&gt;Final_Payment_Year,0,TLoan[[#This Row],[Total Capital Repayment]])</f>
        <v>0</v>
      </c>
      <c r="AE70" s="849">
        <f>IF(TLoan[[#This Row],[PFY]]&gt;Final_Payment_Year,0,TLoan[[#This Row],[Total Interest Payment]])</f>
        <v>0</v>
      </c>
      <c r="AF70" s="546"/>
      <c r="AG70" s="546"/>
    </row>
    <row r="71" spans="2:33" x14ac:dyDescent="0.2">
      <c r="B71" s="546"/>
      <c r="C71" s="834">
        <f t="shared" ref="C71:C93" si="1">D70</f>
        <v>59</v>
      </c>
      <c r="D71" s="835">
        <f>DATE(YEAR(D70)+1,2,28)</f>
        <v>425</v>
      </c>
      <c r="E71" s="836">
        <f>IFERROR(IF(TLoan[[#This Row],[PFY]]=Project_Completion_Financial_Year,"1",IF(TLoan[[#This Row],[PFY]]&gt;Project_Completion_Financial_Year,IF(TLoan[[#This Row],[PFY]]&lt;=Final_Payment_Year,E70+1,"N/A"),"N/A")),"")</f>
        <v>2</v>
      </c>
      <c r="F71" s="837">
        <f>IFERROR(IF(TLoan[[#This Row],[PFY]]=Drawdown_1_Financial_Year,"1",IF(TLoan[[#This Row],[PFY]]&gt;Drawdown_1_Financial_Year,IF(TLoan[[#This Row],[PFY]]&lt;=Final_Payment_Year,F70+1,"N/A"),"N/A")),"")</f>
        <v>2</v>
      </c>
      <c r="G71" s="850" t="str">
        <f>TLoan[[#This Row],[PFY]]&amp;"-"&amp;TLoan[[#This Row],[PFY]]+1</f>
        <v>1900-1901</v>
      </c>
      <c r="H71" s="838">
        <f>IF( YEAR(TLoan[[#This Row],[Start of Year]]) = YEAR(TLoan[[#This Row],[End of Year]]), YEAR(TLoan[[#This Row],[Start of Year]])-1, YEAR(TLoan[[#This Row],[Start of Year]]))</f>
        <v>1900</v>
      </c>
      <c r="I71" s="839">
        <f>IF(Drawdown_1_Financial_Year = TLoan[[#This Row],[PFY]], Drawdown_1, 0)</f>
        <v>0</v>
      </c>
      <c r="J71" s="839">
        <f>IF(Drawdown_2_Financial_Year = TLoan[[#This Row],[PFY]], Drawdown_2, 0)</f>
        <v>0</v>
      </c>
      <c r="K71" s="839">
        <f>IF(Drawdown_3_Financial_Year = TLoan[[#This Row],[PFY]], Drawdown_3, 0)</f>
        <v>0</v>
      </c>
      <c r="L71" s="839">
        <f t="shared" si="0"/>
        <v>0</v>
      </c>
      <c r="M71" s="839">
        <f>IF(AND(TLoan[[#This Row],[PFY]]&gt;=Project_Completion_Financial_Year,TLoan[[#This Row],[PFY]]&lt;Project_Completion_Financial_Year+Payback_Period_In_Years),Minimum_Required_Repayment,0)</f>
        <v>0</v>
      </c>
      <c r="N71" s="840">
        <f>TLoan[[#This Row],[Drawdown 1 Capital Amount]]+TLoan[[#This Row],[Drawdown 2 Capital Amount]]+TLoan[[#This Row],[Drawdown 3 Capital Amount]]+IF(ISNUMBER(V70),V70,0)</f>
        <v>0</v>
      </c>
      <c r="O71" s="841">
        <f>TLoan[[#This Row],[Total Repayment Per Annum]]-TLoan[[#This Row],[Early Capital Repayment]]</f>
        <v>0</v>
      </c>
      <c r="P71"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1" s="840">
        <f>TLoan[[#This Row],[Capital Balance at FY Start]]*Interest_Rate</f>
        <v>0</v>
      </c>
      <c r="R71" s="840">
        <f>TLoan[[#This Row],[Drawdowns First Year Interest Payments]]+TLoan[[#This Row],[Interest Payment]]</f>
        <v>0</v>
      </c>
      <c r="S71"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1" s="842"/>
      <c r="U71" s="843">
        <f>TLoan[[#This Row],[Capital Repayment]]+TLoan[[#This Row],[Early Capital Repayment]]</f>
        <v>0</v>
      </c>
      <c r="V71" s="839">
        <f>TLoan[[#This Row],[Capital Balance at FY Start]]+TLoan[[#This Row],[Drawdown 1 Capital Amount]]+TLoan[[#This Row],[Drawdown 2 Capital Amount]]+TLoan[[#This Row],[Drawdown 3 Capital Amount]]-TLoan[[#This Row],[Total Capital Repayment]]</f>
        <v>0</v>
      </c>
      <c r="W71" s="844"/>
      <c r="X71" s="845">
        <f>IF(TLoan[[#This Row],[Total Capital Repayment]]&gt;0,1,0)</f>
        <v>0</v>
      </c>
      <c r="Y71" s="845"/>
      <c r="Z71" s="846"/>
      <c r="AA71" s="846"/>
      <c r="AB71" s="847" t="str">
        <f>IF(TLoan[[#This Row],[PFY]]&gt;Final_Payment_Year,"Capital Repayments Finished","Capital Repayments Incomplete")</f>
        <v>Capital Repayments Incomplete</v>
      </c>
      <c r="AC71" s="848">
        <f>IF(TLoan[[#This Row],[PFY]]&gt;Final_Payment_Year,0,TLoan[[#This Row],[Total Interest Payment]]+TLoan[[#This Row],[Total Capital Repayment]])</f>
        <v>0</v>
      </c>
      <c r="AD71" s="849">
        <f>IF(TLoan[[#This Row],[PFY]]&gt;Final_Payment_Year,0,AD70+TLoan[[#This Row],[Total Capital Repayment]])</f>
        <v>0</v>
      </c>
      <c r="AE71" s="849">
        <f>IF(TLoan[[#This Row],[PFY]]&gt;Final_Payment_Year,0,AE70+TLoan[[#This Row],[Total Interest Payment]])</f>
        <v>0</v>
      </c>
      <c r="AF71" s="546"/>
      <c r="AG71" s="546"/>
    </row>
    <row r="72" spans="2:33" x14ac:dyDescent="0.2">
      <c r="B72" s="546"/>
      <c r="C72" s="834">
        <f t="shared" si="1"/>
        <v>425</v>
      </c>
      <c r="D72" s="835">
        <f t="shared" ref="D72:D93" si="2">DATE(YEAR(D71)+1,2,28)</f>
        <v>790</v>
      </c>
      <c r="E72" s="836">
        <f>IFERROR(IF(TLoan[[#This Row],[PFY]]=Project_Completion_Financial_Year,"1",IF(TLoan[[#This Row],[PFY]]&gt;Project_Completion_Financial_Year,IF(TLoan[[#This Row],[PFY]]&lt;=Final_Payment_Year,E71+1,"N/A"),"N/A")),"")</f>
        <v>3</v>
      </c>
      <c r="F72" s="837">
        <f>IFERROR(IF(TLoan[[#This Row],[PFY]]=Drawdown_1_Financial_Year,"1",IF(TLoan[[#This Row],[PFY]]&gt;Drawdown_1_Financial_Year,IF(TLoan[[#This Row],[PFY]]&lt;=Final_Payment_Year,F71+1,"N/A"),"N/A")),"")</f>
        <v>3</v>
      </c>
      <c r="G72" s="838" t="str">
        <f>TLoan[[#This Row],[PFY]]&amp;"-"&amp;TLoan[[#This Row],[PFY]]+1</f>
        <v>1901-1902</v>
      </c>
      <c r="H72" s="838">
        <f>IF( YEAR(TLoan[[#This Row],[Start of Year]]) = YEAR(TLoan[[#This Row],[End of Year]]), YEAR(TLoan[[#This Row],[Start of Year]])-1, YEAR(TLoan[[#This Row],[Start of Year]]))</f>
        <v>1901</v>
      </c>
      <c r="I72" s="839">
        <f>IF(Drawdown_1_Financial_Year = TLoan[[#This Row],[PFY]], Drawdown_1, 0)</f>
        <v>0</v>
      </c>
      <c r="J72" s="839">
        <f>IF(Drawdown_2_Financial_Year = TLoan[[#This Row],[PFY]], Drawdown_2, 0)</f>
        <v>0</v>
      </c>
      <c r="K72" s="839">
        <f>IF(Drawdown_3_Financial_Year = TLoan[[#This Row],[PFY]], Drawdown_3, 0)</f>
        <v>0</v>
      </c>
      <c r="L72" s="839">
        <f t="shared" si="0"/>
        <v>0</v>
      </c>
      <c r="M72" s="839">
        <f>IF(AND(TLoan[[#This Row],[PFY]]&gt;=Project_Completion_Financial_Year,TLoan[[#This Row],[PFY]]&lt;Project_Completion_Financial_Year+Payback_Period_In_Years),Minimum_Required_Repayment,0)</f>
        <v>0</v>
      </c>
      <c r="N72" s="840">
        <f>TLoan[[#This Row],[Drawdown 1 Capital Amount]]+TLoan[[#This Row],[Drawdown 2 Capital Amount]]+TLoan[[#This Row],[Drawdown 3 Capital Amount]]+IF(ISNUMBER(V71),V71,0)</f>
        <v>0</v>
      </c>
      <c r="O72" s="841">
        <f>TLoan[[#This Row],[Total Repayment Per Annum]]-TLoan[[#This Row],[Early Capital Repayment]]</f>
        <v>0</v>
      </c>
      <c r="P72"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2" s="840">
        <f>TLoan[[#This Row],[Capital Balance at FY Start]]*Interest_Rate</f>
        <v>0</v>
      </c>
      <c r="R72" s="840">
        <f>TLoan[[#This Row],[Drawdowns First Year Interest Payments]]+TLoan[[#This Row],[Interest Payment]]</f>
        <v>0</v>
      </c>
      <c r="S72"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2" s="842"/>
      <c r="U72" s="843">
        <f>TLoan[[#This Row],[Capital Repayment]]+TLoan[[#This Row],[Early Capital Repayment]]</f>
        <v>0</v>
      </c>
      <c r="V72" s="839">
        <f>TLoan[[#This Row],[Capital Balance at FY Start]]+TLoan[[#This Row],[Drawdown 1 Capital Amount]]+TLoan[[#This Row],[Drawdown 2 Capital Amount]]+TLoan[[#This Row],[Drawdown 3 Capital Amount]]-TLoan[[#This Row],[Total Capital Repayment]]</f>
        <v>0</v>
      </c>
      <c r="W72" s="844"/>
      <c r="X72" s="845">
        <f>IF(TLoan[[#This Row],[Total Capital Repayment]]&gt;0,1,0)</f>
        <v>0</v>
      </c>
      <c r="Y72" s="845"/>
      <c r="Z72" s="846"/>
      <c r="AA72" s="846"/>
      <c r="AB72" s="847" t="str">
        <f>IF(TLoan[[#This Row],[PFY]]&gt;Final_Payment_Year,"Capital Repayments Finished","Capital Repayments Incomplete")</f>
        <v>Capital Repayments Incomplete</v>
      </c>
      <c r="AC72" s="848">
        <f>IF(TLoan[[#This Row],[PFY]]&gt;Final_Payment_Year,0,TLoan[[#This Row],[Total Interest Payment]]+TLoan[[#This Row],[Total Capital Repayment]])</f>
        <v>0</v>
      </c>
      <c r="AD72" s="849">
        <f>IF(TLoan[[#This Row],[PFY]]&gt;Final_Payment_Year,0,AD71+TLoan[[#This Row],[Total Capital Repayment]])</f>
        <v>0</v>
      </c>
      <c r="AE72" s="849">
        <f>IF(TLoan[[#This Row],[PFY]]&gt;Final_Payment_Year,0,AE71+TLoan[[#This Row],[Total Interest Payment]])</f>
        <v>0</v>
      </c>
      <c r="AF72" s="546"/>
      <c r="AG72" s="546"/>
    </row>
    <row r="73" spans="2:33" x14ac:dyDescent="0.2">
      <c r="B73" s="546"/>
      <c r="C73" s="834">
        <f t="shared" si="1"/>
        <v>790</v>
      </c>
      <c r="D73" s="835">
        <f t="shared" si="2"/>
        <v>1155</v>
      </c>
      <c r="E73" s="836">
        <f>IFERROR(IF(TLoan[[#This Row],[PFY]]=Project_Completion_Financial_Year,"1",IF(TLoan[[#This Row],[PFY]]&gt;Project_Completion_Financial_Year,IF(TLoan[[#This Row],[PFY]]&lt;=Final_Payment_Year,E72+1,"N/A"),"N/A")),"")</f>
        <v>4</v>
      </c>
      <c r="F73" s="837">
        <f>IFERROR(IF(TLoan[[#This Row],[PFY]]=Drawdown_1_Financial_Year,"1",IF(TLoan[[#This Row],[PFY]]&gt;Drawdown_1_Financial_Year,IF(TLoan[[#This Row],[PFY]]&lt;=Final_Payment_Year,F72+1,"N/A"),"N/A")),"")</f>
        <v>4</v>
      </c>
      <c r="G73" s="850" t="str">
        <f>TLoan[[#This Row],[PFY]]&amp;"-"&amp;TLoan[[#This Row],[PFY]]+1</f>
        <v>1902-1903</v>
      </c>
      <c r="H73" s="838">
        <f>IF( YEAR(TLoan[[#This Row],[Start of Year]]) = YEAR(TLoan[[#This Row],[End of Year]]), YEAR(TLoan[[#This Row],[Start of Year]])-1, YEAR(TLoan[[#This Row],[Start of Year]]))</f>
        <v>1902</v>
      </c>
      <c r="I73" s="839">
        <f>IF(Drawdown_1_Financial_Year = TLoan[[#This Row],[PFY]], Drawdown_1, 0)</f>
        <v>0</v>
      </c>
      <c r="J73" s="839">
        <f>IF(Drawdown_2_Financial_Year = TLoan[[#This Row],[PFY]], Drawdown_2, 0)</f>
        <v>0</v>
      </c>
      <c r="K73" s="839">
        <f>IF(Drawdown_3_Financial_Year = TLoan[[#This Row],[PFY]], Drawdown_3, 0)</f>
        <v>0</v>
      </c>
      <c r="L73" s="839">
        <f t="shared" si="0"/>
        <v>0</v>
      </c>
      <c r="M73" s="839">
        <f>IF(AND(TLoan[[#This Row],[PFY]]&gt;=Project_Completion_Financial_Year,TLoan[[#This Row],[PFY]]&lt;Project_Completion_Financial_Year+Payback_Period_In_Years),Minimum_Required_Repayment,0)</f>
        <v>0</v>
      </c>
      <c r="N73" s="840">
        <f>TLoan[[#This Row],[Drawdown 1 Capital Amount]]+TLoan[[#This Row],[Drawdown 2 Capital Amount]]+TLoan[[#This Row],[Drawdown 3 Capital Amount]]+IF(ISNUMBER(V72),V72,0)</f>
        <v>0</v>
      </c>
      <c r="O73" s="841">
        <f>TLoan[[#This Row],[Total Repayment Per Annum]]-TLoan[[#This Row],[Early Capital Repayment]]</f>
        <v>0</v>
      </c>
      <c r="P73"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3" s="840">
        <f>TLoan[[#This Row],[Capital Balance at FY Start]]*Interest_Rate</f>
        <v>0</v>
      </c>
      <c r="R73" s="840">
        <f>TLoan[[#This Row],[Drawdowns First Year Interest Payments]]+TLoan[[#This Row],[Interest Payment]]</f>
        <v>0</v>
      </c>
      <c r="S73"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3" s="842"/>
      <c r="U73" s="843">
        <f>TLoan[[#This Row],[Capital Repayment]]+TLoan[[#This Row],[Early Capital Repayment]]</f>
        <v>0</v>
      </c>
      <c r="V73" s="839">
        <f>TLoan[[#This Row],[Capital Balance at FY Start]]+TLoan[[#This Row],[Drawdown 1 Capital Amount]]+TLoan[[#This Row],[Drawdown 2 Capital Amount]]+TLoan[[#This Row],[Drawdown 3 Capital Amount]]-TLoan[[#This Row],[Total Capital Repayment]]</f>
        <v>0</v>
      </c>
      <c r="W73" s="844"/>
      <c r="X73" s="845">
        <f>IF(TLoan[[#This Row],[Total Capital Repayment]]&gt;0,1,0)</f>
        <v>0</v>
      </c>
      <c r="Y73" s="845"/>
      <c r="Z73" s="846"/>
      <c r="AA73" s="846"/>
      <c r="AB73" s="847" t="str">
        <f>IF(TLoan[[#This Row],[PFY]]&gt;Final_Payment_Year,"Capital Repayments Finished","Capital Repayments Incomplete")</f>
        <v>Capital Repayments Incomplete</v>
      </c>
      <c r="AC73" s="848">
        <f>IF(TLoan[[#This Row],[PFY]]&gt;Final_Payment_Year,0,TLoan[[#This Row],[Total Interest Payment]]+TLoan[[#This Row],[Total Capital Repayment]])</f>
        <v>0</v>
      </c>
      <c r="AD73" s="849">
        <f>IF(TLoan[[#This Row],[PFY]]&gt;Final_Payment_Year,0,AD72+TLoan[[#This Row],[Total Capital Repayment]])</f>
        <v>0</v>
      </c>
      <c r="AE73" s="849">
        <f>IF(TLoan[[#This Row],[PFY]]&gt;Final_Payment_Year,0,AE72+TLoan[[#This Row],[Total Interest Payment]])</f>
        <v>0</v>
      </c>
      <c r="AF73" s="546"/>
      <c r="AG73" s="546"/>
    </row>
    <row r="74" spans="2:33" x14ac:dyDescent="0.2">
      <c r="B74" s="546"/>
      <c r="C74" s="834">
        <f t="shared" si="1"/>
        <v>1155</v>
      </c>
      <c r="D74" s="835">
        <f t="shared" si="2"/>
        <v>1520</v>
      </c>
      <c r="E74" s="836">
        <f>IFERROR(IF(TLoan[[#This Row],[PFY]]=Project_Completion_Financial_Year,"1",IF(TLoan[[#This Row],[PFY]]&gt;Project_Completion_Financial_Year,IF(TLoan[[#This Row],[PFY]]&lt;=Final_Payment_Year,E73+1,"N/A"),"N/A")),"")</f>
        <v>5</v>
      </c>
      <c r="F74" s="837">
        <f>IFERROR(IF(TLoan[[#This Row],[PFY]]=Drawdown_1_Financial_Year,"1",IF(TLoan[[#This Row],[PFY]]&gt;Drawdown_1_Financial_Year,IF(TLoan[[#This Row],[PFY]]&lt;=Final_Payment_Year,F73+1,"N/A"),"N/A")),"")</f>
        <v>5</v>
      </c>
      <c r="G74" s="838" t="str">
        <f>TLoan[[#This Row],[PFY]]&amp;"-"&amp;TLoan[[#This Row],[PFY]]+1</f>
        <v>1903-1904</v>
      </c>
      <c r="H74" s="838">
        <f>IF( YEAR(TLoan[[#This Row],[Start of Year]]) = YEAR(TLoan[[#This Row],[End of Year]]), YEAR(TLoan[[#This Row],[Start of Year]])-1, YEAR(TLoan[[#This Row],[Start of Year]]))</f>
        <v>1903</v>
      </c>
      <c r="I74" s="839">
        <f>IF(Drawdown_1_Financial_Year = TLoan[[#This Row],[PFY]], Drawdown_1, 0)</f>
        <v>0</v>
      </c>
      <c r="J74" s="839">
        <f>IF(Drawdown_2_Financial_Year = TLoan[[#This Row],[PFY]], Drawdown_2, 0)</f>
        <v>0</v>
      </c>
      <c r="K74" s="839">
        <f>IF(Drawdown_3_Financial_Year = TLoan[[#This Row],[PFY]], Drawdown_3, 0)</f>
        <v>0</v>
      </c>
      <c r="L74" s="839">
        <f t="shared" si="0"/>
        <v>0</v>
      </c>
      <c r="M74" s="839">
        <f>IF(AND(TLoan[[#This Row],[PFY]]&gt;=Project_Completion_Financial_Year,TLoan[[#This Row],[PFY]]&lt;Project_Completion_Financial_Year+Payback_Period_In_Years),Minimum_Required_Repayment,0)</f>
        <v>0</v>
      </c>
      <c r="N74" s="840">
        <f>TLoan[[#This Row],[Drawdown 1 Capital Amount]]+TLoan[[#This Row],[Drawdown 2 Capital Amount]]+TLoan[[#This Row],[Drawdown 3 Capital Amount]]+IF(ISNUMBER(V73),V73,0)</f>
        <v>0</v>
      </c>
      <c r="O74" s="841">
        <f>TLoan[[#This Row],[Total Repayment Per Annum]]-TLoan[[#This Row],[Early Capital Repayment]]</f>
        <v>0</v>
      </c>
      <c r="P74"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4" s="840">
        <f>TLoan[[#This Row],[Capital Balance at FY Start]]*Interest_Rate</f>
        <v>0</v>
      </c>
      <c r="R74" s="840">
        <f>TLoan[[#This Row],[Drawdowns First Year Interest Payments]]+TLoan[[#This Row],[Interest Payment]]</f>
        <v>0</v>
      </c>
      <c r="S74"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4" s="842"/>
      <c r="U74" s="843">
        <f>TLoan[[#This Row],[Capital Repayment]]+TLoan[[#This Row],[Early Capital Repayment]]</f>
        <v>0</v>
      </c>
      <c r="V74" s="839">
        <f>TLoan[[#This Row],[Capital Balance at FY Start]]+TLoan[[#This Row],[Drawdown 1 Capital Amount]]+TLoan[[#This Row],[Drawdown 2 Capital Amount]]+TLoan[[#This Row],[Drawdown 3 Capital Amount]]-TLoan[[#This Row],[Total Capital Repayment]]</f>
        <v>0</v>
      </c>
      <c r="W74" s="844"/>
      <c r="X74" s="845">
        <f>IF(TLoan[[#This Row],[Total Capital Repayment]]&gt;0,1,0)</f>
        <v>0</v>
      </c>
      <c r="Y74" s="845"/>
      <c r="Z74" s="846"/>
      <c r="AA74" s="846"/>
      <c r="AB74" s="847" t="str">
        <f>IF(TLoan[[#This Row],[PFY]]&gt;Final_Payment_Year,"Capital Repayments Finished","Capital Repayments Incomplete")</f>
        <v>Capital Repayments Incomplete</v>
      </c>
      <c r="AC74" s="848">
        <f>IF(TLoan[[#This Row],[PFY]]&gt;Final_Payment_Year,0,TLoan[[#This Row],[Total Interest Payment]]+TLoan[[#This Row],[Total Capital Repayment]])</f>
        <v>0</v>
      </c>
      <c r="AD74" s="849">
        <f>IF(TLoan[[#This Row],[PFY]]&gt;Final_Payment_Year,0,AD73+TLoan[[#This Row],[Total Capital Repayment]])</f>
        <v>0</v>
      </c>
      <c r="AE74" s="849">
        <f>IF(TLoan[[#This Row],[PFY]]&gt;Final_Payment_Year,0,AE73+TLoan[[#This Row],[Total Interest Payment]])</f>
        <v>0</v>
      </c>
      <c r="AF74" s="546"/>
      <c r="AG74" s="546"/>
    </row>
    <row r="75" spans="2:33" x14ac:dyDescent="0.2">
      <c r="B75" s="546"/>
      <c r="C75" s="834">
        <f t="shared" si="1"/>
        <v>1520</v>
      </c>
      <c r="D75" s="835">
        <f t="shared" si="2"/>
        <v>1886</v>
      </c>
      <c r="E75" s="836">
        <f>IFERROR(IF(TLoan[[#This Row],[PFY]]=Project_Completion_Financial_Year,"1",IF(TLoan[[#This Row],[PFY]]&gt;Project_Completion_Financial_Year,IF(TLoan[[#This Row],[PFY]]&lt;=Final_Payment_Year,E74+1,"N/A"),"N/A")),"")</f>
        <v>6</v>
      </c>
      <c r="F75" s="837">
        <f>IFERROR(IF(TLoan[[#This Row],[PFY]]=Drawdown_1_Financial_Year,"1",IF(TLoan[[#This Row],[PFY]]&gt;Drawdown_1_Financial_Year,IF(TLoan[[#This Row],[PFY]]&lt;=Final_Payment_Year,F74+1,"N/A"),"N/A")),"")</f>
        <v>6</v>
      </c>
      <c r="G75" s="850" t="str">
        <f>TLoan[[#This Row],[PFY]]&amp;"-"&amp;TLoan[[#This Row],[PFY]]+1</f>
        <v>1904-1905</v>
      </c>
      <c r="H75" s="838">
        <f>IF( YEAR(TLoan[[#This Row],[Start of Year]]) = YEAR(TLoan[[#This Row],[End of Year]]), YEAR(TLoan[[#This Row],[Start of Year]])-1, YEAR(TLoan[[#This Row],[Start of Year]]))</f>
        <v>1904</v>
      </c>
      <c r="I75" s="839">
        <f>IF(Drawdown_1_Financial_Year = TLoan[[#This Row],[PFY]], Drawdown_1, 0)</f>
        <v>0</v>
      </c>
      <c r="J75" s="839">
        <f>IF(Drawdown_2_Financial_Year = TLoan[[#This Row],[PFY]], Drawdown_2, 0)</f>
        <v>0</v>
      </c>
      <c r="K75" s="839">
        <f>IF(Drawdown_3_Financial_Year = TLoan[[#This Row],[PFY]], Drawdown_3, 0)</f>
        <v>0</v>
      </c>
      <c r="L75" s="839">
        <f t="shared" si="0"/>
        <v>0</v>
      </c>
      <c r="M75" s="839">
        <f>IF(AND(TLoan[[#This Row],[PFY]]&gt;=Project_Completion_Financial_Year,TLoan[[#This Row],[PFY]]&lt;Project_Completion_Financial_Year+Payback_Period_In_Years),Minimum_Required_Repayment,0)</f>
        <v>0</v>
      </c>
      <c r="N75" s="840">
        <f>TLoan[[#This Row],[Drawdown 1 Capital Amount]]+TLoan[[#This Row],[Drawdown 2 Capital Amount]]+TLoan[[#This Row],[Drawdown 3 Capital Amount]]+IF(ISNUMBER(V74),V74,0)</f>
        <v>0</v>
      </c>
      <c r="O75" s="841">
        <f>TLoan[[#This Row],[Total Repayment Per Annum]]-TLoan[[#This Row],[Early Capital Repayment]]</f>
        <v>0</v>
      </c>
      <c r="P75"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5" s="840">
        <f>TLoan[[#This Row],[Capital Balance at FY Start]]*Interest_Rate</f>
        <v>0</v>
      </c>
      <c r="R75" s="840">
        <f>TLoan[[#This Row],[Drawdowns First Year Interest Payments]]+TLoan[[#This Row],[Interest Payment]]</f>
        <v>0</v>
      </c>
      <c r="S75"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5" s="842"/>
      <c r="U75" s="843">
        <f>TLoan[[#This Row],[Capital Repayment]]+TLoan[[#This Row],[Early Capital Repayment]]</f>
        <v>0</v>
      </c>
      <c r="V75" s="839">
        <f>TLoan[[#This Row],[Capital Balance at FY Start]]+TLoan[[#This Row],[Drawdown 1 Capital Amount]]+TLoan[[#This Row],[Drawdown 2 Capital Amount]]+TLoan[[#This Row],[Drawdown 3 Capital Amount]]-TLoan[[#This Row],[Total Capital Repayment]]</f>
        <v>0</v>
      </c>
      <c r="W75" s="844"/>
      <c r="X75" s="845">
        <f>IF(TLoan[[#This Row],[Total Capital Repayment]]&gt;0,1,0)</f>
        <v>0</v>
      </c>
      <c r="Y75" s="845"/>
      <c r="Z75" s="846"/>
      <c r="AA75" s="846"/>
      <c r="AB75" s="847" t="str">
        <f>IF(TLoan[[#This Row],[PFY]]&gt;Final_Payment_Year,"Capital Repayments Finished","Capital Repayments Incomplete")</f>
        <v>Capital Repayments Incomplete</v>
      </c>
      <c r="AC75" s="848">
        <f>IF(TLoan[[#This Row],[PFY]]&gt;Final_Payment_Year,0,TLoan[[#This Row],[Total Interest Payment]]+TLoan[[#This Row],[Total Capital Repayment]])</f>
        <v>0</v>
      </c>
      <c r="AD75" s="849">
        <f>IF(TLoan[[#This Row],[PFY]]&gt;Final_Payment_Year,0,AD74+TLoan[[#This Row],[Total Capital Repayment]])</f>
        <v>0</v>
      </c>
      <c r="AE75" s="849">
        <f>IF(TLoan[[#This Row],[PFY]]&gt;Final_Payment_Year,0,AE74+TLoan[[#This Row],[Total Interest Payment]])</f>
        <v>0</v>
      </c>
      <c r="AF75" s="546"/>
      <c r="AG75" s="546"/>
    </row>
    <row r="76" spans="2:33" x14ac:dyDescent="0.2">
      <c r="B76" s="546"/>
      <c r="C76" s="834">
        <f t="shared" si="1"/>
        <v>1886</v>
      </c>
      <c r="D76" s="835">
        <f t="shared" si="2"/>
        <v>2251</v>
      </c>
      <c r="E76" s="836">
        <f>IFERROR(IF(TLoan[[#This Row],[PFY]]=Project_Completion_Financial_Year,"1",IF(TLoan[[#This Row],[PFY]]&gt;Project_Completion_Financial_Year,IF(TLoan[[#This Row],[PFY]]&lt;=Final_Payment_Year,E75+1,"N/A"),"N/A")),"")</f>
        <v>7</v>
      </c>
      <c r="F76" s="837">
        <f>IFERROR(IF(TLoan[[#This Row],[PFY]]=Drawdown_1_Financial_Year,"1",IF(TLoan[[#This Row],[PFY]]&gt;Drawdown_1_Financial_Year,IF(TLoan[[#This Row],[PFY]]&lt;=Final_Payment_Year,F75+1,"N/A"),"N/A")),"")</f>
        <v>7</v>
      </c>
      <c r="G76" s="838" t="str">
        <f>TLoan[[#This Row],[PFY]]&amp;"-"&amp;TLoan[[#This Row],[PFY]]+1</f>
        <v>1905-1906</v>
      </c>
      <c r="H76" s="838">
        <f>IF( YEAR(TLoan[[#This Row],[Start of Year]]) = YEAR(TLoan[[#This Row],[End of Year]]), YEAR(TLoan[[#This Row],[Start of Year]])-1, YEAR(TLoan[[#This Row],[Start of Year]]))</f>
        <v>1905</v>
      </c>
      <c r="I76" s="839">
        <f>IF(Drawdown_1_Financial_Year = TLoan[[#This Row],[PFY]], Drawdown_1, 0)</f>
        <v>0</v>
      </c>
      <c r="J76" s="839">
        <f>IF(Drawdown_2_Financial_Year = TLoan[[#This Row],[PFY]], Drawdown_2, 0)</f>
        <v>0</v>
      </c>
      <c r="K76" s="839">
        <f>IF(Drawdown_3_Financial_Year = TLoan[[#This Row],[PFY]], Drawdown_3, 0)</f>
        <v>0</v>
      </c>
      <c r="L76" s="839">
        <f t="shared" si="0"/>
        <v>0</v>
      </c>
      <c r="M76" s="839">
        <f>IF(AND(TLoan[[#This Row],[PFY]]&gt;=Project_Completion_Financial_Year,TLoan[[#This Row],[PFY]]&lt;Project_Completion_Financial_Year+Payback_Period_In_Years),Minimum_Required_Repayment,0)</f>
        <v>0</v>
      </c>
      <c r="N76" s="840">
        <f>TLoan[[#This Row],[Drawdown 1 Capital Amount]]+TLoan[[#This Row],[Drawdown 2 Capital Amount]]+TLoan[[#This Row],[Drawdown 3 Capital Amount]]+IF(ISNUMBER(V75),V75,0)</f>
        <v>0</v>
      </c>
      <c r="O76" s="841">
        <f>TLoan[[#This Row],[Total Repayment Per Annum]]-TLoan[[#This Row],[Early Capital Repayment]]</f>
        <v>0</v>
      </c>
      <c r="P76"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6" s="840">
        <f>TLoan[[#This Row],[Capital Balance at FY Start]]*Interest_Rate</f>
        <v>0</v>
      </c>
      <c r="R76" s="840">
        <f>TLoan[[#This Row],[Drawdowns First Year Interest Payments]]+TLoan[[#This Row],[Interest Payment]]</f>
        <v>0</v>
      </c>
      <c r="S76"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6" s="842"/>
      <c r="U76" s="843">
        <f>TLoan[[#This Row],[Capital Repayment]]+TLoan[[#This Row],[Early Capital Repayment]]</f>
        <v>0</v>
      </c>
      <c r="V76" s="839">
        <f>TLoan[[#This Row],[Capital Balance at FY Start]]+TLoan[[#This Row],[Drawdown 1 Capital Amount]]+TLoan[[#This Row],[Drawdown 2 Capital Amount]]+TLoan[[#This Row],[Drawdown 3 Capital Amount]]-TLoan[[#This Row],[Total Capital Repayment]]</f>
        <v>0</v>
      </c>
      <c r="W76" s="844"/>
      <c r="X76" s="845">
        <f>IF(TLoan[[#This Row],[Total Capital Repayment]]&gt;0,1,0)</f>
        <v>0</v>
      </c>
      <c r="Y76" s="845"/>
      <c r="Z76" s="846"/>
      <c r="AA76" s="846"/>
      <c r="AB76" s="847" t="str">
        <f>IF(TLoan[[#This Row],[PFY]]&gt;Final_Payment_Year,"Capital Repayments Finished","Capital Repayments Incomplete")</f>
        <v>Capital Repayments Incomplete</v>
      </c>
      <c r="AC76" s="848">
        <f>IF(TLoan[[#This Row],[PFY]]&gt;Final_Payment_Year,0,TLoan[[#This Row],[Total Interest Payment]]+TLoan[[#This Row],[Total Capital Repayment]])</f>
        <v>0</v>
      </c>
      <c r="AD76" s="849">
        <f>IF(TLoan[[#This Row],[PFY]]&gt;Final_Payment_Year,0,AD75+TLoan[[#This Row],[Total Capital Repayment]])</f>
        <v>0</v>
      </c>
      <c r="AE76" s="849">
        <f>IF(TLoan[[#This Row],[PFY]]&gt;Final_Payment_Year,0,AE75+TLoan[[#This Row],[Total Interest Payment]])</f>
        <v>0</v>
      </c>
      <c r="AF76" s="546"/>
      <c r="AG76" s="546"/>
    </row>
    <row r="77" spans="2:33" x14ac:dyDescent="0.2">
      <c r="B77" s="546"/>
      <c r="C77" s="834">
        <f t="shared" si="1"/>
        <v>2251</v>
      </c>
      <c r="D77" s="835">
        <f t="shared" si="2"/>
        <v>2616</v>
      </c>
      <c r="E77" s="836">
        <f>IFERROR(IF(TLoan[[#This Row],[PFY]]=Project_Completion_Financial_Year,"1",IF(TLoan[[#This Row],[PFY]]&gt;Project_Completion_Financial_Year,IF(TLoan[[#This Row],[PFY]]&lt;=Final_Payment_Year,E76+1,"N/A"),"N/A")),"")</f>
        <v>8</v>
      </c>
      <c r="F77" s="837">
        <f>IFERROR(IF(TLoan[[#This Row],[PFY]]=Drawdown_1_Financial_Year,"1",IF(TLoan[[#This Row],[PFY]]&gt;Drawdown_1_Financial_Year,IF(TLoan[[#This Row],[PFY]]&lt;=Final_Payment_Year,F76+1,"N/A"),"N/A")),"")</f>
        <v>8</v>
      </c>
      <c r="G77" s="850" t="str">
        <f>TLoan[[#This Row],[PFY]]&amp;"-"&amp;TLoan[[#This Row],[PFY]]+1</f>
        <v>1906-1907</v>
      </c>
      <c r="H77" s="838">
        <f>IF( YEAR(TLoan[[#This Row],[Start of Year]]) = YEAR(TLoan[[#This Row],[End of Year]]), YEAR(TLoan[[#This Row],[Start of Year]])-1, YEAR(TLoan[[#This Row],[Start of Year]]))</f>
        <v>1906</v>
      </c>
      <c r="I77" s="839">
        <f>IF(Drawdown_1_Financial_Year = TLoan[[#This Row],[PFY]], Drawdown_1, 0)</f>
        <v>0</v>
      </c>
      <c r="J77" s="839">
        <f>IF(Drawdown_2_Financial_Year = TLoan[[#This Row],[PFY]], Drawdown_2, 0)</f>
        <v>0</v>
      </c>
      <c r="K77" s="839">
        <f>IF(Drawdown_3_Financial_Year = TLoan[[#This Row],[PFY]], Drawdown_3, 0)</f>
        <v>0</v>
      </c>
      <c r="L77" s="839">
        <f t="shared" si="0"/>
        <v>0</v>
      </c>
      <c r="M77" s="839">
        <f>IF(AND(TLoan[[#This Row],[PFY]]&gt;=Project_Completion_Financial_Year,TLoan[[#This Row],[PFY]]&lt;Project_Completion_Financial_Year+Payback_Period_In_Years),Minimum_Required_Repayment,0)</f>
        <v>0</v>
      </c>
      <c r="N77" s="840">
        <f>TLoan[[#This Row],[Drawdown 1 Capital Amount]]+TLoan[[#This Row],[Drawdown 2 Capital Amount]]+TLoan[[#This Row],[Drawdown 3 Capital Amount]]+IF(ISNUMBER(V76),V76,0)</f>
        <v>0</v>
      </c>
      <c r="O77" s="841">
        <f>TLoan[[#This Row],[Total Repayment Per Annum]]-TLoan[[#This Row],[Early Capital Repayment]]</f>
        <v>0</v>
      </c>
      <c r="P77"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7" s="840">
        <f>TLoan[[#This Row],[Capital Balance at FY Start]]*Interest_Rate</f>
        <v>0</v>
      </c>
      <c r="R77" s="840">
        <f>TLoan[[#This Row],[Drawdowns First Year Interest Payments]]+TLoan[[#This Row],[Interest Payment]]</f>
        <v>0</v>
      </c>
      <c r="S77"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7" s="842"/>
      <c r="U77" s="843">
        <f>TLoan[[#This Row],[Capital Repayment]]+TLoan[[#This Row],[Early Capital Repayment]]</f>
        <v>0</v>
      </c>
      <c r="V77" s="839">
        <f>TLoan[[#This Row],[Capital Balance at FY Start]]+TLoan[[#This Row],[Drawdown 1 Capital Amount]]+TLoan[[#This Row],[Drawdown 2 Capital Amount]]+TLoan[[#This Row],[Drawdown 3 Capital Amount]]-TLoan[[#This Row],[Total Capital Repayment]]</f>
        <v>0</v>
      </c>
      <c r="W77" s="844"/>
      <c r="X77" s="845">
        <f>IF(TLoan[[#This Row],[Total Capital Repayment]]&gt;0,1,0)</f>
        <v>0</v>
      </c>
      <c r="Y77" s="845"/>
      <c r="Z77" s="846"/>
      <c r="AA77" s="846"/>
      <c r="AB77" s="847" t="str">
        <f>IF(TLoan[[#This Row],[PFY]]&gt;Final_Payment_Year,"Capital Repayments Finished","Capital Repayments Incomplete")</f>
        <v>Capital Repayments Incomplete</v>
      </c>
      <c r="AC77" s="848">
        <f>IF(TLoan[[#This Row],[PFY]]&gt;Final_Payment_Year,0,TLoan[[#This Row],[Total Interest Payment]]+TLoan[[#This Row],[Total Capital Repayment]])</f>
        <v>0</v>
      </c>
      <c r="AD77" s="849">
        <f>IF(TLoan[[#This Row],[PFY]]&gt;Final_Payment_Year,0,AD76+TLoan[[#This Row],[Total Capital Repayment]])</f>
        <v>0</v>
      </c>
      <c r="AE77" s="849">
        <f>IF(TLoan[[#This Row],[PFY]]&gt;Final_Payment_Year,0,AE76+TLoan[[#This Row],[Total Interest Payment]])</f>
        <v>0</v>
      </c>
      <c r="AF77" s="546"/>
      <c r="AG77" s="546"/>
    </row>
    <row r="78" spans="2:33" x14ac:dyDescent="0.2">
      <c r="B78" s="546"/>
      <c r="C78" s="834">
        <f t="shared" si="1"/>
        <v>2616</v>
      </c>
      <c r="D78" s="835">
        <f t="shared" si="2"/>
        <v>2981</v>
      </c>
      <c r="E78" s="836">
        <f>IFERROR(IF(TLoan[[#This Row],[PFY]]=Project_Completion_Financial_Year,"1",IF(TLoan[[#This Row],[PFY]]&gt;Project_Completion_Financial_Year,IF(TLoan[[#This Row],[PFY]]&lt;=Final_Payment_Year,E77+1,"N/A"),"N/A")),"")</f>
        <v>9</v>
      </c>
      <c r="F78" s="837">
        <f>IFERROR(IF(TLoan[[#This Row],[PFY]]=Drawdown_1_Financial_Year,"1",IF(TLoan[[#This Row],[PFY]]&gt;Drawdown_1_Financial_Year,IF(TLoan[[#This Row],[PFY]]&lt;=Final_Payment_Year,F77+1,"N/A"),"N/A")),"")</f>
        <v>9</v>
      </c>
      <c r="G78" s="838" t="str">
        <f>TLoan[[#This Row],[PFY]]&amp;"-"&amp;TLoan[[#This Row],[PFY]]+1</f>
        <v>1907-1908</v>
      </c>
      <c r="H78" s="838">
        <f>IF( YEAR(TLoan[[#This Row],[Start of Year]]) = YEAR(TLoan[[#This Row],[End of Year]]), YEAR(TLoan[[#This Row],[Start of Year]])-1, YEAR(TLoan[[#This Row],[Start of Year]]))</f>
        <v>1907</v>
      </c>
      <c r="I78" s="839">
        <f>IF(Drawdown_1_Financial_Year = TLoan[[#This Row],[PFY]], Drawdown_1, 0)</f>
        <v>0</v>
      </c>
      <c r="J78" s="839">
        <f>IF(Drawdown_2_Financial_Year = TLoan[[#This Row],[PFY]], Drawdown_2, 0)</f>
        <v>0</v>
      </c>
      <c r="K78" s="839">
        <f>IF(Drawdown_3_Financial_Year = TLoan[[#This Row],[PFY]], Drawdown_3, 0)</f>
        <v>0</v>
      </c>
      <c r="L78" s="839">
        <f t="shared" si="0"/>
        <v>0</v>
      </c>
      <c r="M78" s="839">
        <f>IF(AND(TLoan[[#This Row],[PFY]]&gt;=Project_Completion_Financial_Year,TLoan[[#This Row],[PFY]]&lt;Project_Completion_Financial_Year+Payback_Period_In_Years),Minimum_Required_Repayment,0)</f>
        <v>0</v>
      </c>
      <c r="N78" s="840">
        <f>TLoan[[#This Row],[Drawdown 1 Capital Amount]]+TLoan[[#This Row],[Drawdown 2 Capital Amount]]+TLoan[[#This Row],[Drawdown 3 Capital Amount]]+IF(ISNUMBER(V77),V77,0)</f>
        <v>0</v>
      </c>
      <c r="O78" s="841">
        <f>TLoan[[#This Row],[Total Repayment Per Annum]]-TLoan[[#This Row],[Early Capital Repayment]]</f>
        <v>0</v>
      </c>
      <c r="P78"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8" s="840">
        <f>TLoan[[#This Row],[Capital Balance at FY Start]]*Interest_Rate</f>
        <v>0</v>
      </c>
      <c r="R78" s="840">
        <f>TLoan[[#This Row],[Drawdowns First Year Interest Payments]]+TLoan[[#This Row],[Interest Payment]]</f>
        <v>0</v>
      </c>
      <c r="S78"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8" s="842"/>
      <c r="U78" s="843">
        <f>TLoan[[#This Row],[Capital Repayment]]+TLoan[[#This Row],[Early Capital Repayment]]</f>
        <v>0</v>
      </c>
      <c r="V78" s="839">
        <f>TLoan[[#This Row],[Capital Balance at FY Start]]+TLoan[[#This Row],[Drawdown 1 Capital Amount]]+TLoan[[#This Row],[Drawdown 2 Capital Amount]]+TLoan[[#This Row],[Drawdown 3 Capital Amount]]-TLoan[[#This Row],[Total Capital Repayment]]</f>
        <v>0</v>
      </c>
      <c r="W78" s="844"/>
      <c r="X78" s="845">
        <f>IF(TLoan[[#This Row],[Total Capital Repayment]]&gt;0,1,0)</f>
        <v>0</v>
      </c>
      <c r="Y78" s="845"/>
      <c r="Z78" s="846"/>
      <c r="AA78" s="846"/>
      <c r="AB78" s="847" t="str">
        <f>IF(TLoan[[#This Row],[PFY]]&gt;Final_Payment_Year,"Capital Repayments Finished","Capital Repayments Incomplete")</f>
        <v>Capital Repayments Incomplete</v>
      </c>
      <c r="AC78" s="848">
        <f>IF(TLoan[[#This Row],[PFY]]&gt;Final_Payment_Year,0,TLoan[[#This Row],[Total Interest Payment]]+TLoan[[#This Row],[Total Capital Repayment]])</f>
        <v>0</v>
      </c>
      <c r="AD78" s="849">
        <f>IF(TLoan[[#This Row],[PFY]]&gt;Final_Payment_Year,0,AD77+TLoan[[#This Row],[Total Capital Repayment]])</f>
        <v>0</v>
      </c>
      <c r="AE78" s="849">
        <f>IF(TLoan[[#This Row],[PFY]]&gt;Final_Payment_Year,0,AE77+TLoan[[#This Row],[Total Interest Payment]])</f>
        <v>0</v>
      </c>
      <c r="AF78" s="546"/>
      <c r="AG78" s="546"/>
    </row>
    <row r="79" spans="2:33" x14ac:dyDescent="0.2">
      <c r="B79" s="546"/>
      <c r="C79" s="834">
        <f t="shared" si="1"/>
        <v>2981</v>
      </c>
      <c r="D79" s="835">
        <f t="shared" si="2"/>
        <v>3347</v>
      </c>
      <c r="E79" s="836">
        <f>IFERROR(IF(TLoan[[#This Row],[PFY]]=Project_Completion_Financial_Year,"1",IF(TLoan[[#This Row],[PFY]]&gt;Project_Completion_Financial_Year,IF(TLoan[[#This Row],[PFY]]&lt;=Final_Payment_Year,E78+1,"N/A"),"N/A")),"")</f>
        <v>10</v>
      </c>
      <c r="F79" s="837">
        <f>IFERROR(IF(TLoan[[#This Row],[PFY]]=Drawdown_1_Financial_Year,"1",IF(TLoan[[#This Row],[PFY]]&gt;Drawdown_1_Financial_Year,IF(TLoan[[#This Row],[PFY]]&lt;=Final_Payment_Year,F78+1,"N/A"),"N/A")),"")</f>
        <v>10</v>
      </c>
      <c r="G79" s="850" t="str">
        <f>TLoan[[#This Row],[PFY]]&amp;"-"&amp;TLoan[[#This Row],[PFY]]+1</f>
        <v>1908-1909</v>
      </c>
      <c r="H79" s="838">
        <f>IF( YEAR(TLoan[[#This Row],[Start of Year]]) = YEAR(TLoan[[#This Row],[End of Year]]), YEAR(TLoan[[#This Row],[Start of Year]])-1, YEAR(TLoan[[#This Row],[Start of Year]]))</f>
        <v>1908</v>
      </c>
      <c r="I79" s="839">
        <f>IF(Drawdown_1_Financial_Year = TLoan[[#This Row],[PFY]], Drawdown_1, 0)</f>
        <v>0</v>
      </c>
      <c r="J79" s="839">
        <f>IF(Drawdown_2_Financial_Year = TLoan[[#This Row],[PFY]], Drawdown_2, 0)</f>
        <v>0</v>
      </c>
      <c r="K79" s="839">
        <f>IF(Drawdown_3_Financial_Year = TLoan[[#This Row],[PFY]], Drawdown_3, 0)</f>
        <v>0</v>
      </c>
      <c r="L79" s="839">
        <f t="shared" si="0"/>
        <v>0</v>
      </c>
      <c r="M79" s="839">
        <f>IF(AND(TLoan[[#This Row],[PFY]]&gt;=Project_Completion_Financial_Year,TLoan[[#This Row],[PFY]]&lt;Project_Completion_Financial_Year+Payback_Period_In_Years),Minimum_Required_Repayment,0)</f>
        <v>0</v>
      </c>
      <c r="N79" s="840">
        <f>TLoan[[#This Row],[Drawdown 1 Capital Amount]]+TLoan[[#This Row],[Drawdown 2 Capital Amount]]+TLoan[[#This Row],[Drawdown 3 Capital Amount]]+IF(ISNUMBER(V78),V78,0)</f>
        <v>0</v>
      </c>
      <c r="O79" s="841">
        <f>TLoan[[#This Row],[Total Repayment Per Annum]]-TLoan[[#This Row],[Early Capital Repayment]]</f>
        <v>0</v>
      </c>
      <c r="P79"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9" s="840">
        <f>TLoan[[#This Row],[Capital Balance at FY Start]]*Interest_Rate</f>
        <v>0</v>
      </c>
      <c r="R79" s="840">
        <f>TLoan[[#This Row],[Drawdowns First Year Interest Payments]]+TLoan[[#This Row],[Interest Payment]]</f>
        <v>0</v>
      </c>
      <c r="S79"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9" s="842"/>
      <c r="U79" s="843">
        <f>TLoan[[#This Row],[Capital Repayment]]+TLoan[[#This Row],[Early Capital Repayment]]</f>
        <v>0</v>
      </c>
      <c r="V79" s="839">
        <f>TLoan[[#This Row],[Capital Balance at FY Start]]+TLoan[[#This Row],[Drawdown 1 Capital Amount]]+TLoan[[#This Row],[Drawdown 2 Capital Amount]]+TLoan[[#This Row],[Drawdown 3 Capital Amount]]-TLoan[[#This Row],[Total Capital Repayment]]</f>
        <v>0</v>
      </c>
      <c r="W79" s="844"/>
      <c r="X79" s="845">
        <f>IF(TLoan[[#This Row],[Total Capital Repayment]]&gt;0,1,0)</f>
        <v>0</v>
      </c>
      <c r="Y79" s="845"/>
      <c r="Z79" s="846"/>
      <c r="AA79" s="846"/>
      <c r="AB79" s="847" t="str">
        <f>IF(TLoan[[#This Row],[PFY]]&gt;Final_Payment_Year,"Capital Repayments Finished","Capital Repayments Incomplete")</f>
        <v>Capital Repayments Incomplete</v>
      </c>
      <c r="AC79" s="848">
        <f>IF(TLoan[[#This Row],[PFY]]&gt;Final_Payment_Year,0,TLoan[[#This Row],[Total Interest Payment]]+TLoan[[#This Row],[Total Capital Repayment]])</f>
        <v>0</v>
      </c>
      <c r="AD79" s="849">
        <f>IF(TLoan[[#This Row],[PFY]]&gt;Final_Payment_Year,0,AD78+TLoan[[#This Row],[Total Capital Repayment]])</f>
        <v>0</v>
      </c>
      <c r="AE79" s="849">
        <f>IF(TLoan[[#This Row],[PFY]]&gt;Final_Payment_Year,0,AE78+TLoan[[#This Row],[Total Interest Payment]])</f>
        <v>0</v>
      </c>
      <c r="AF79" s="546"/>
      <c r="AG79" s="546"/>
    </row>
    <row r="80" spans="2:33" x14ac:dyDescent="0.2">
      <c r="B80" s="546"/>
      <c r="C80" s="834">
        <f t="shared" si="1"/>
        <v>3347</v>
      </c>
      <c r="D80" s="835">
        <f t="shared" si="2"/>
        <v>3712</v>
      </c>
      <c r="E80" s="836">
        <f>IFERROR(IF(TLoan[[#This Row],[PFY]]=Project_Completion_Financial_Year,"1",IF(TLoan[[#This Row],[PFY]]&gt;Project_Completion_Financial_Year,IF(TLoan[[#This Row],[PFY]]&lt;=Final_Payment_Year,E79+1,"N/A"),"N/A")),"")</f>
        <v>11</v>
      </c>
      <c r="F80" s="837">
        <f>IFERROR(IF(TLoan[[#This Row],[PFY]]=Drawdown_1_Financial_Year,"1",IF(TLoan[[#This Row],[PFY]]&gt;Drawdown_1_Financial_Year,IF(TLoan[[#This Row],[PFY]]&lt;=Final_Payment_Year,F79+1,"N/A"),"N/A")),"")</f>
        <v>11</v>
      </c>
      <c r="G80" s="838" t="str">
        <f>TLoan[[#This Row],[PFY]]&amp;"-"&amp;TLoan[[#This Row],[PFY]]+1</f>
        <v>1909-1910</v>
      </c>
      <c r="H80" s="838">
        <f>IF( YEAR(TLoan[[#This Row],[Start of Year]]) = YEAR(TLoan[[#This Row],[End of Year]]), YEAR(TLoan[[#This Row],[Start of Year]])-1, YEAR(TLoan[[#This Row],[Start of Year]]))</f>
        <v>1909</v>
      </c>
      <c r="I80" s="839">
        <f>IF(Drawdown_1_Financial_Year = TLoan[[#This Row],[PFY]], Drawdown_1, 0)</f>
        <v>0</v>
      </c>
      <c r="J80" s="839">
        <f>IF(Drawdown_2_Financial_Year = TLoan[[#This Row],[PFY]], Drawdown_2, 0)</f>
        <v>0</v>
      </c>
      <c r="K80" s="839">
        <f>IF(Drawdown_3_Financial_Year = TLoan[[#This Row],[PFY]], Drawdown_3, 0)</f>
        <v>0</v>
      </c>
      <c r="L80" s="839">
        <f t="shared" si="0"/>
        <v>0</v>
      </c>
      <c r="M80" s="839">
        <f>IF(AND(TLoan[[#This Row],[PFY]]&gt;=Project_Completion_Financial_Year,TLoan[[#This Row],[PFY]]&lt;Project_Completion_Financial_Year+Payback_Period_In_Years),Minimum_Required_Repayment,0)</f>
        <v>0</v>
      </c>
      <c r="N80" s="840">
        <f>TLoan[[#This Row],[Drawdown 1 Capital Amount]]+TLoan[[#This Row],[Drawdown 2 Capital Amount]]+TLoan[[#This Row],[Drawdown 3 Capital Amount]]+IF(ISNUMBER(V79),V79,0)</f>
        <v>0</v>
      </c>
      <c r="O80" s="841">
        <f>TLoan[[#This Row],[Total Repayment Per Annum]]-TLoan[[#This Row],[Early Capital Repayment]]</f>
        <v>0</v>
      </c>
      <c r="P80"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0" s="840">
        <f>TLoan[[#This Row],[Capital Balance at FY Start]]*Interest_Rate</f>
        <v>0</v>
      </c>
      <c r="R80" s="840">
        <f>TLoan[[#This Row],[Drawdowns First Year Interest Payments]]+TLoan[[#This Row],[Interest Payment]]</f>
        <v>0</v>
      </c>
      <c r="S80"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0" s="842"/>
      <c r="U80" s="843">
        <f>TLoan[[#This Row],[Capital Repayment]]+TLoan[[#This Row],[Early Capital Repayment]]</f>
        <v>0</v>
      </c>
      <c r="V80" s="839">
        <f>TLoan[[#This Row],[Capital Balance at FY Start]]+TLoan[[#This Row],[Drawdown 1 Capital Amount]]+TLoan[[#This Row],[Drawdown 2 Capital Amount]]+TLoan[[#This Row],[Drawdown 3 Capital Amount]]-TLoan[[#This Row],[Total Capital Repayment]]</f>
        <v>0</v>
      </c>
      <c r="W80" s="844"/>
      <c r="X80" s="845">
        <f>IF(TLoan[[#This Row],[Total Capital Repayment]]&gt;0,1,0)</f>
        <v>0</v>
      </c>
      <c r="Y80" s="845"/>
      <c r="Z80" s="846"/>
      <c r="AA80" s="846"/>
      <c r="AB80" s="847" t="str">
        <f>IF(TLoan[[#This Row],[PFY]]&gt;Final_Payment_Year,"Capital Repayments Finished","Capital Repayments Incomplete")</f>
        <v>Capital Repayments Incomplete</v>
      </c>
      <c r="AC80" s="848">
        <f>IF(TLoan[[#This Row],[PFY]]&gt;Final_Payment_Year,0,TLoan[[#This Row],[Total Interest Payment]]+TLoan[[#This Row],[Total Capital Repayment]])</f>
        <v>0</v>
      </c>
      <c r="AD80" s="849">
        <f>IF(TLoan[[#This Row],[PFY]]&gt;Final_Payment_Year,0,AD79+TLoan[[#This Row],[Total Capital Repayment]])</f>
        <v>0</v>
      </c>
      <c r="AE80" s="849">
        <f>IF(TLoan[[#This Row],[PFY]]&gt;Final_Payment_Year,0,AE79+TLoan[[#This Row],[Total Interest Payment]])</f>
        <v>0</v>
      </c>
      <c r="AF80" s="546"/>
      <c r="AG80" s="546"/>
    </row>
    <row r="81" spans="2:33" x14ac:dyDescent="0.2">
      <c r="B81" s="546"/>
      <c r="C81" s="834">
        <f t="shared" si="1"/>
        <v>3712</v>
      </c>
      <c r="D81" s="835">
        <f t="shared" si="2"/>
        <v>4077</v>
      </c>
      <c r="E81" s="836">
        <f>IFERROR(IF(TLoan[[#This Row],[PFY]]=Project_Completion_Financial_Year,"1",IF(TLoan[[#This Row],[PFY]]&gt;Project_Completion_Financial_Year,IF(TLoan[[#This Row],[PFY]]&lt;=Final_Payment_Year,E80+1,"N/A"),"N/A")),"")</f>
        <v>12</v>
      </c>
      <c r="F81" s="837">
        <f>IFERROR(IF(TLoan[[#This Row],[PFY]]=Drawdown_1_Financial_Year,"1",IF(TLoan[[#This Row],[PFY]]&gt;Drawdown_1_Financial_Year,IF(TLoan[[#This Row],[PFY]]&lt;=Final_Payment_Year,F80+1,"N/A"),"N/A")),"")</f>
        <v>12</v>
      </c>
      <c r="G81" s="850" t="str">
        <f>TLoan[[#This Row],[PFY]]&amp;"-"&amp;TLoan[[#This Row],[PFY]]+1</f>
        <v>1910-1911</v>
      </c>
      <c r="H81" s="838">
        <f>IF( YEAR(TLoan[[#This Row],[Start of Year]]) = YEAR(TLoan[[#This Row],[End of Year]]), YEAR(TLoan[[#This Row],[Start of Year]])-1, YEAR(TLoan[[#This Row],[Start of Year]]))</f>
        <v>1910</v>
      </c>
      <c r="I81" s="839">
        <f>IF(Drawdown_1_Financial_Year = TLoan[[#This Row],[PFY]], Drawdown_1, 0)</f>
        <v>0</v>
      </c>
      <c r="J81" s="839">
        <f>IF(Drawdown_2_Financial_Year = TLoan[[#This Row],[PFY]], Drawdown_2, 0)</f>
        <v>0</v>
      </c>
      <c r="K81" s="839">
        <f>IF(Drawdown_3_Financial_Year = TLoan[[#This Row],[PFY]], Drawdown_3, 0)</f>
        <v>0</v>
      </c>
      <c r="L81" s="839">
        <f t="shared" si="0"/>
        <v>0</v>
      </c>
      <c r="M81" s="839">
        <f>IF(AND(TLoan[[#This Row],[PFY]]&gt;=Project_Completion_Financial_Year,TLoan[[#This Row],[PFY]]&lt;Project_Completion_Financial_Year+Payback_Period_In_Years),Minimum_Required_Repayment,0)</f>
        <v>0</v>
      </c>
      <c r="N81" s="840">
        <f>TLoan[[#This Row],[Drawdown 1 Capital Amount]]+TLoan[[#This Row],[Drawdown 2 Capital Amount]]+TLoan[[#This Row],[Drawdown 3 Capital Amount]]+IF(ISNUMBER(V80),V80,0)</f>
        <v>0</v>
      </c>
      <c r="O81" s="841">
        <f>TLoan[[#This Row],[Total Repayment Per Annum]]-TLoan[[#This Row],[Early Capital Repayment]]</f>
        <v>0</v>
      </c>
      <c r="P81"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1" s="840">
        <f>TLoan[[#This Row],[Capital Balance at FY Start]]*Interest_Rate</f>
        <v>0</v>
      </c>
      <c r="R81" s="840">
        <f>TLoan[[#This Row],[Drawdowns First Year Interest Payments]]+TLoan[[#This Row],[Interest Payment]]</f>
        <v>0</v>
      </c>
      <c r="S81"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1" s="842"/>
      <c r="U81" s="843">
        <f>TLoan[[#This Row],[Capital Repayment]]+TLoan[[#This Row],[Early Capital Repayment]]</f>
        <v>0</v>
      </c>
      <c r="V81" s="839">
        <f>TLoan[[#This Row],[Capital Balance at FY Start]]+TLoan[[#This Row],[Drawdown 1 Capital Amount]]+TLoan[[#This Row],[Drawdown 2 Capital Amount]]+TLoan[[#This Row],[Drawdown 3 Capital Amount]]-TLoan[[#This Row],[Total Capital Repayment]]</f>
        <v>0</v>
      </c>
      <c r="W81" s="844"/>
      <c r="X81" s="845">
        <f>IF(TLoan[[#This Row],[Total Capital Repayment]]&gt;0,1,0)</f>
        <v>0</v>
      </c>
      <c r="Y81" s="845"/>
      <c r="Z81" s="846"/>
      <c r="AA81" s="846"/>
      <c r="AB81" s="847" t="str">
        <f>IF(TLoan[[#This Row],[PFY]]&gt;Final_Payment_Year,"Capital Repayments Finished","Capital Repayments Incomplete")</f>
        <v>Capital Repayments Incomplete</v>
      </c>
      <c r="AC81" s="848">
        <f>IF(TLoan[[#This Row],[PFY]]&gt;Final_Payment_Year,0,TLoan[[#This Row],[Total Interest Payment]]+TLoan[[#This Row],[Total Capital Repayment]])</f>
        <v>0</v>
      </c>
      <c r="AD81" s="849">
        <f>IF(TLoan[[#This Row],[PFY]]&gt;Final_Payment_Year,0,AD80+TLoan[[#This Row],[Total Capital Repayment]])</f>
        <v>0</v>
      </c>
      <c r="AE81" s="849">
        <f>IF(TLoan[[#This Row],[PFY]]&gt;Final_Payment_Year,0,AE80+TLoan[[#This Row],[Total Interest Payment]])</f>
        <v>0</v>
      </c>
      <c r="AF81" s="546"/>
      <c r="AG81" s="546"/>
    </row>
    <row r="82" spans="2:33" x14ac:dyDescent="0.2">
      <c r="B82" s="546"/>
      <c r="C82" s="834">
        <f t="shared" si="1"/>
        <v>4077</v>
      </c>
      <c r="D82" s="835">
        <f t="shared" si="2"/>
        <v>4442</v>
      </c>
      <c r="E82" s="836">
        <f>IFERROR(IF(TLoan[[#This Row],[PFY]]=Project_Completion_Financial_Year,"1",IF(TLoan[[#This Row],[PFY]]&gt;Project_Completion_Financial_Year,IF(TLoan[[#This Row],[PFY]]&lt;=Final_Payment_Year,E81+1,"N/A"),"N/A")),"")</f>
        <v>13</v>
      </c>
      <c r="F82" s="837">
        <f>IFERROR(IF(TLoan[[#This Row],[PFY]]=Drawdown_1_Financial_Year,"1",IF(TLoan[[#This Row],[PFY]]&gt;Drawdown_1_Financial_Year,IF(TLoan[[#This Row],[PFY]]&lt;=Final_Payment_Year,F81+1,"N/A"),"N/A")),"")</f>
        <v>13</v>
      </c>
      <c r="G82" s="838" t="str">
        <f>TLoan[[#This Row],[PFY]]&amp;"-"&amp;TLoan[[#This Row],[PFY]]+1</f>
        <v>1911-1912</v>
      </c>
      <c r="H82" s="838">
        <f>IF( YEAR(TLoan[[#This Row],[Start of Year]]) = YEAR(TLoan[[#This Row],[End of Year]]), YEAR(TLoan[[#This Row],[Start of Year]])-1, YEAR(TLoan[[#This Row],[Start of Year]]))</f>
        <v>1911</v>
      </c>
      <c r="I82" s="839">
        <f>IF(Drawdown_1_Financial_Year = TLoan[[#This Row],[PFY]], Drawdown_1, 0)</f>
        <v>0</v>
      </c>
      <c r="J82" s="839">
        <f>IF(Drawdown_2_Financial_Year = TLoan[[#This Row],[PFY]], Drawdown_2, 0)</f>
        <v>0</v>
      </c>
      <c r="K82" s="839">
        <f>IF(Drawdown_3_Financial_Year = TLoan[[#This Row],[PFY]], Drawdown_3, 0)</f>
        <v>0</v>
      </c>
      <c r="L82" s="839">
        <f t="shared" si="0"/>
        <v>0</v>
      </c>
      <c r="M82" s="839">
        <f>IF(AND(TLoan[[#This Row],[PFY]]&gt;=Project_Completion_Financial_Year,TLoan[[#This Row],[PFY]]&lt;Project_Completion_Financial_Year+Payback_Period_In_Years),Minimum_Required_Repayment,0)</f>
        <v>0</v>
      </c>
      <c r="N82" s="840">
        <f>TLoan[[#This Row],[Drawdown 1 Capital Amount]]+TLoan[[#This Row],[Drawdown 2 Capital Amount]]+TLoan[[#This Row],[Drawdown 3 Capital Amount]]+IF(ISNUMBER(V81),V81,0)</f>
        <v>0</v>
      </c>
      <c r="O82" s="841">
        <f>TLoan[[#This Row],[Total Repayment Per Annum]]-TLoan[[#This Row],[Early Capital Repayment]]</f>
        <v>0</v>
      </c>
      <c r="P82"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2" s="840">
        <f>TLoan[[#This Row],[Capital Balance at FY Start]]*Interest_Rate</f>
        <v>0</v>
      </c>
      <c r="R82" s="840">
        <f>TLoan[[#This Row],[Drawdowns First Year Interest Payments]]+TLoan[[#This Row],[Interest Payment]]</f>
        <v>0</v>
      </c>
      <c r="S82"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2" s="842"/>
      <c r="U82" s="843">
        <f>TLoan[[#This Row],[Capital Repayment]]+TLoan[[#This Row],[Early Capital Repayment]]</f>
        <v>0</v>
      </c>
      <c r="V82" s="839">
        <f>TLoan[[#This Row],[Capital Balance at FY Start]]+TLoan[[#This Row],[Drawdown 1 Capital Amount]]+TLoan[[#This Row],[Drawdown 2 Capital Amount]]+TLoan[[#This Row],[Drawdown 3 Capital Amount]]-TLoan[[#This Row],[Total Capital Repayment]]</f>
        <v>0</v>
      </c>
      <c r="W82" s="844"/>
      <c r="X82" s="845">
        <f>IF(TLoan[[#This Row],[Total Capital Repayment]]&gt;0,1,0)</f>
        <v>0</v>
      </c>
      <c r="Y82" s="845"/>
      <c r="Z82" s="846"/>
      <c r="AA82" s="846"/>
      <c r="AB82" s="847" t="str">
        <f>IF(TLoan[[#This Row],[PFY]]&gt;Final_Payment_Year,"Capital Repayments Finished","Capital Repayments Incomplete")</f>
        <v>Capital Repayments Incomplete</v>
      </c>
      <c r="AC82" s="848">
        <f>IF(TLoan[[#This Row],[PFY]]&gt;Final_Payment_Year,0,TLoan[[#This Row],[Total Interest Payment]]+TLoan[[#This Row],[Total Capital Repayment]])</f>
        <v>0</v>
      </c>
      <c r="AD82" s="849">
        <f>IF(TLoan[[#This Row],[PFY]]&gt;Final_Payment_Year,0,AD81+TLoan[[#This Row],[Total Capital Repayment]])</f>
        <v>0</v>
      </c>
      <c r="AE82" s="849">
        <f>IF(TLoan[[#This Row],[PFY]]&gt;Final_Payment_Year,0,AE81+TLoan[[#This Row],[Total Interest Payment]])</f>
        <v>0</v>
      </c>
      <c r="AF82" s="546"/>
      <c r="AG82" s="546"/>
    </row>
    <row r="83" spans="2:33" x14ac:dyDescent="0.2">
      <c r="B83" s="546"/>
      <c r="C83" s="834">
        <f t="shared" si="1"/>
        <v>4442</v>
      </c>
      <c r="D83" s="835">
        <f t="shared" si="2"/>
        <v>4808</v>
      </c>
      <c r="E83" s="836">
        <f>IFERROR(IF(TLoan[[#This Row],[PFY]]=Project_Completion_Financial_Year,"1",IF(TLoan[[#This Row],[PFY]]&gt;Project_Completion_Financial_Year,IF(TLoan[[#This Row],[PFY]]&lt;=Final_Payment_Year,E82+1,"N/A"),"N/A")),"")</f>
        <v>14</v>
      </c>
      <c r="F83" s="837">
        <f>IFERROR(IF(TLoan[[#This Row],[PFY]]=Drawdown_1_Financial_Year,"1",IF(TLoan[[#This Row],[PFY]]&gt;Drawdown_1_Financial_Year,IF(TLoan[[#This Row],[PFY]]&lt;=Final_Payment_Year,F82+1,"N/A"),"N/A")),"")</f>
        <v>14</v>
      </c>
      <c r="G83" s="850" t="str">
        <f>TLoan[[#This Row],[PFY]]&amp;"-"&amp;TLoan[[#This Row],[PFY]]+1</f>
        <v>1912-1913</v>
      </c>
      <c r="H83" s="838">
        <f>IF( YEAR(TLoan[[#This Row],[Start of Year]]) = YEAR(TLoan[[#This Row],[End of Year]]), YEAR(TLoan[[#This Row],[Start of Year]])-1, YEAR(TLoan[[#This Row],[Start of Year]]))</f>
        <v>1912</v>
      </c>
      <c r="I83" s="839">
        <f>IF(Drawdown_1_Financial_Year = TLoan[[#This Row],[PFY]], Drawdown_1, 0)</f>
        <v>0</v>
      </c>
      <c r="J83" s="839">
        <f>IF(Drawdown_2_Financial_Year = TLoan[[#This Row],[PFY]], Drawdown_2, 0)</f>
        <v>0</v>
      </c>
      <c r="K83" s="839">
        <f>IF(Drawdown_3_Financial_Year = TLoan[[#This Row],[PFY]], Drawdown_3, 0)</f>
        <v>0</v>
      </c>
      <c r="L83" s="839">
        <f t="shared" si="0"/>
        <v>0</v>
      </c>
      <c r="M83" s="839">
        <f>IF(AND(TLoan[[#This Row],[PFY]]&gt;=Project_Completion_Financial_Year,TLoan[[#This Row],[PFY]]&lt;Project_Completion_Financial_Year+Payback_Period_In_Years),Minimum_Required_Repayment,0)</f>
        <v>0</v>
      </c>
      <c r="N83" s="840">
        <f>TLoan[[#This Row],[Drawdown 1 Capital Amount]]+TLoan[[#This Row],[Drawdown 2 Capital Amount]]+TLoan[[#This Row],[Drawdown 3 Capital Amount]]+IF(ISNUMBER(V82),V82,0)</f>
        <v>0</v>
      </c>
      <c r="O83" s="841">
        <f>TLoan[[#This Row],[Total Repayment Per Annum]]-TLoan[[#This Row],[Early Capital Repayment]]</f>
        <v>0</v>
      </c>
      <c r="P83"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3" s="840">
        <f>TLoan[[#This Row],[Capital Balance at FY Start]]*Interest_Rate</f>
        <v>0</v>
      </c>
      <c r="R83" s="840">
        <f>TLoan[[#This Row],[Drawdowns First Year Interest Payments]]+TLoan[[#This Row],[Interest Payment]]</f>
        <v>0</v>
      </c>
      <c r="S83"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3" s="842"/>
      <c r="U83" s="843">
        <f>TLoan[[#This Row],[Capital Repayment]]+TLoan[[#This Row],[Early Capital Repayment]]</f>
        <v>0</v>
      </c>
      <c r="V83" s="839">
        <f>TLoan[[#This Row],[Capital Balance at FY Start]]+TLoan[[#This Row],[Drawdown 1 Capital Amount]]+TLoan[[#This Row],[Drawdown 2 Capital Amount]]+TLoan[[#This Row],[Drawdown 3 Capital Amount]]-TLoan[[#This Row],[Total Capital Repayment]]</f>
        <v>0</v>
      </c>
      <c r="W83" s="844"/>
      <c r="X83" s="845">
        <f>IF(TLoan[[#This Row],[Total Capital Repayment]]&gt;0,1,0)</f>
        <v>0</v>
      </c>
      <c r="Y83" s="845"/>
      <c r="Z83" s="846"/>
      <c r="AA83" s="846"/>
      <c r="AB83" s="847" t="str">
        <f>IF(TLoan[[#This Row],[PFY]]&gt;Final_Payment_Year,"Capital Repayments Finished","Capital Repayments Incomplete")</f>
        <v>Capital Repayments Incomplete</v>
      </c>
      <c r="AC83" s="848">
        <f>IF(TLoan[[#This Row],[PFY]]&gt;Final_Payment_Year,0,TLoan[[#This Row],[Total Interest Payment]]+TLoan[[#This Row],[Total Capital Repayment]])</f>
        <v>0</v>
      </c>
      <c r="AD83" s="849">
        <f>IF(TLoan[[#This Row],[PFY]]&gt;Final_Payment_Year,0,AD82+TLoan[[#This Row],[Total Capital Repayment]])</f>
        <v>0</v>
      </c>
      <c r="AE83" s="849">
        <f>IF(TLoan[[#This Row],[PFY]]&gt;Final_Payment_Year,0,AE82+TLoan[[#This Row],[Total Interest Payment]])</f>
        <v>0</v>
      </c>
      <c r="AF83" s="546"/>
      <c r="AG83" s="546"/>
    </row>
    <row r="84" spans="2:33" x14ac:dyDescent="0.2">
      <c r="B84" s="546"/>
      <c r="C84" s="834">
        <f t="shared" si="1"/>
        <v>4808</v>
      </c>
      <c r="D84" s="835">
        <f t="shared" si="2"/>
        <v>5173</v>
      </c>
      <c r="E84" s="836">
        <f>IFERROR(IF(TLoan[[#This Row],[PFY]]=Project_Completion_Financial_Year,"1",IF(TLoan[[#This Row],[PFY]]&gt;Project_Completion_Financial_Year,IF(TLoan[[#This Row],[PFY]]&lt;=Final_Payment_Year,E83+1,"N/A"),"N/A")),"")</f>
        <v>15</v>
      </c>
      <c r="F84" s="837">
        <f>IFERROR(IF(TLoan[[#This Row],[PFY]]=Drawdown_1_Financial_Year,"1",IF(TLoan[[#This Row],[PFY]]&gt;Drawdown_1_Financial_Year,IF(TLoan[[#This Row],[PFY]]&lt;=Final_Payment_Year,F83+1,"N/A"),"N/A")),"")</f>
        <v>15</v>
      </c>
      <c r="G84" s="838" t="str">
        <f>TLoan[[#This Row],[PFY]]&amp;"-"&amp;TLoan[[#This Row],[PFY]]+1</f>
        <v>1913-1914</v>
      </c>
      <c r="H84" s="838">
        <f>IF( YEAR(TLoan[[#This Row],[Start of Year]]) = YEAR(TLoan[[#This Row],[End of Year]]), YEAR(TLoan[[#This Row],[Start of Year]])-1, YEAR(TLoan[[#This Row],[Start of Year]]))</f>
        <v>1913</v>
      </c>
      <c r="I84" s="839">
        <f>IF(Drawdown_1_Financial_Year = TLoan[[#This Row],[PFY]], Drawdown_1, 0)</f>
        <v>0</v>
      </c>
      <c r="J84" s="839">
        <f>IF(Drawdown_2_Financial_Year = TLoan[[#This Row],[PFY]], Drawdown_2, 0)</f>
        <v>0</v>
      </c>
      <c r="K84" s="839">
        <f>IF(Drawdown_3_Financial_Year = TLoan[[#This Row],[PFY]], Drawdown_3, 0)</f>
        <v>0</v>
      </c>
      <c r="L84" s="839">
        <f t="shared" si="0"/>
        <v>0</v>
      </c>
      <c r="M84" s="839">
        <f>IF(AND(TLoan[[#This Row],[PFY]]&gt;=Project_Completion_Financial_Year,TLoan[[#This Row],[PFY]]&lt;Project_Completion_Financial_Year+Payback_Period_In_Years),Minimum_Required_Repayment,0)</f>
        <v>0</v>
      </c>
      <c r="N84" s="840">
        <f>TLoan[[#This Row],[Drawdown 1 Capital Amount]]+TLoan[[#This Row],[Drawdown 2 Capital Amount]]+TLoan[[#This Row],[Drawdown 3 Capital Amount]]+IF(ISNUMBER(V83),V83,0)</f>
        <v>0</v>
      </c>
      <c r="O84" s="841">
        <f>TLoan[[#This Row],[Total Repayment Per Annum]]-TLoan[[#This Row],[Early Capital Repayment]]</f>
        <v>0</v>
      </c>
      <c r="P84"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4" s="840">
        <f>TLoan[[#This Row],[Capital Balance at FY Start]]*Interest_Rate</f>
        <v>0</v>
      </c>
      <c r="R84" s="840">
        <f>TLoan[[#This Row],[Drawdowns First Year Interest Payments]]+TLoan[[#This Row],[Interest Payment]]</f>
        <v>0</v>
      </c>
      <c r="S84"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4" s="842"/>
      <c r="U84" s="843">
        <f>TLoan[[#This Row],[Capital Repayment]]+TLoan[[#This Row],[Early Capital Repayment]]</f>
        <v>0</v>
      </c>
      <c r="V84" s="839">
        <f>TLoan[[#This Row],[Capital Balance at FY Start]]+TLoan[[#This Row],[Drawdown 1 Capital Amount]]+TLoan[[#This Row],[Drawdown 2 Capital Amount]]+TLoan[[#This Row],[Drawdown 3 Capital Amount]]-TLoan[[#This Row],[Total Capital Repayment]]</f>
        <v>0</v>
      </c>
      <c r="W84" s="844"/>
      <c r="X84" s="845">
        <f>IF(TLoan[[#This Row],[Total Capital Repayment]]&gt;0,1,0)</f>
        <v>0</v>
      </c>
      <c r="Y84" s="845"/>
      <c r="Z84" s="846"/>
      <c r="AA84" s="846"/>
      <c r="AB84" s="847" t="str">
        <f>IF(TLoan[[#This Row],[PFY]]&gt;Final_Payment_Year,"Capital Repayments Finished","Capital Repayments Incomplete")</f>
        <v>Capital Repayments Incomplete</v>
      </c>
      <c r="AC84" s="848">
        <f>IF(TLoan[[#This Row],[PFY]]&gt;Final_Payment_Year,0,TLoan[[#This Row],[Total Interest Payment]]+TLoan[[#This Row],[Total Capital Repayment]])</f>
        <v>0</v>
      </c>
      <c r="AD84" s="849">
        <f>IF(TLoan[[#This Row],[PFY]]&gt;Final_Payment_Year,0,AD83+TLoan[[#This Row],[Total Capital Repayment]])</f>
        <v>0</v>
      </c>
      <c r="AE84" s="849">
        <f>IF(TLoan[[#This Row],[PFY]]&gt;Final_Payment_Year,0,AE83+TLoan[[#This Row],[Total Interest Payment]])</f>
        <v>0</v>
      </c>
      <c r="AF84" s="546"/>
      <c r="AG84" s="546"/>
    </row>
    <row r="85" spans="2:33" x14ac:dyDescent="0.2">
      <c r="B85" s="546"/>
      <c r="C85" s="834">
        <f t="shared" si="1"/>
        <v>5173</v>
      </c>
      <c r="D85" s="835">
        <f t="shared" si="2"/>
        <v>5538</v>
      </c>
      <c r="E85" s="836">
        <f>IFERROR(IF(TLoan[[#This Row],[PFY]]=Project_Completion_Financial_Year,"1",IF(TLoan[[#This Row],[PFY]]&gt;Project_Completion_Financial_Year,IF(TLoan[[#This Row],[PFY]]&lt;=Final_Payment_Year,E84+1,"N/A"),"N/A")),"")</f>
        <v>16</v>
      </c>
      <c r="F85" s="837">
        <f>IFERROR(IF(TLoan[[#This Row],[PFY]]=Drawdown_1_Financial_Year,"1",IF(TLoan[[#This Row],[PFY]]&gt;Drawdown_1_Financial_Year,IF(TLoan[[#This Row],[PFY]]&lt;=Final_Payment_Year,F84+1,"N/A"),"N/A")),"")</f>
        <v>16</v>
      </c>
      <c r="G85" s="850" t="str">
        <f>TLoan[[#This Row],[PFY]]&amp;"-"&amp;TLoan[[#This Row],[PFY]]+1</f>
        <v>1914-1915</v>
      </c>
      <c r="H85" s="838">
        <f>IF( YEAR(TLoan[[#This Row],[Start of Year]]) = YEAR(TLoan[[#This Row],[End of Year]]), YEAR(TLoan[[#This Row],[Start of Year]])-1, YEAR(TLoan[[#This Row],[Start of Year]]))</f>
        <v>1914</v>
      </c>
      <c r="I85" s="839">
        <f>IF(Drawdown_1_Financial_Year = TLoan[[#This Row],[PFY]], Drawdown_1, 0)</f>
        <v>0</v>
      </c>
      <c r="J85" s="839">
        <f>IF(Drawdown_2_Financial_Year = TLoan[[#This Row],[PFY]], Drawdown_2, 0)</f>
        <v>0</v>
      </c>
      <c r="K85" s="839">
        <f>IF(Drawdown_3_Financial_Year = TLoan[[#This Row],[PFY]], Drawdown_3, 0)</f>
        <v>0</v>
      </c>
      <c r="L85" s="839">
        <f t="shared" si="0"/>
        <v>0</v>
      </c>
      <c r="M85" s="839">
        <f>IF(AND(TLoan[[#This Row],[PFY]]&gt;=Project_Completion_Financial_Year,TLoan[[#This Row],[PFY]]&lt;Project_Completion_Financial_Year+Payback_Period_In_Years),Minimum_Required_Repayment,0)</f>
        <v>0</v>
      </c>
      <c r="N85" s="840">
        <f>TLoan[[#This Row],[Drawdown 1 Capital Amount]]+TLoan[[#This Row],[Drawdown 2 Capital Amount]]+TLoan[[#This Row],[Drawdown 3 Capital Amount]]+IF(ISNUMBER(V84),V84,0)</f>
        <v>0</v>
      </c>
      <c r="O85" s="841">
        <f>TLoan[[#This Row],[Total Repayment Per Annum]]-TLoan[[#This Row],[Early Capital Repayment]]</f>
        <v>0</v>
      </c>
      <c r="P85"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5" s="840">
        <f>TLoan[[#This Row],[Capital Balance at FY Start]]*Interest_Rate</f>
        <v>0</v>
      </c>
      <c r="R85" s="840">
        <f>TLoan[[#This Row],[Drawdowns First Year Interest Payments]]+TLoan[[#This Row],[Interest Payment]]</f>
        <v>0</v>
      </c>
      <c r="S85"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5" s="842"/>
      <c r="U85" s="843">
        <f>TLoan[[#This Row],[Capital Repayment]]+TLoan[[#This Row],[Early Capital Repayment]]</f>
        <v>0</v>
      </c>
      <c r="V85" s="839">
        <f>TLoan[[#This Row],[Capital Balance at FY Start]]+TLoan[[#This Row],[Drawdown 1 Capital Amount]]+TLoan[[#This Row],[Drawdown 2 Capital Amount]]+TLoan[[#This Row],[Drawdown 3 Capital Amount]]-TLoan[[#This Row],[Total Capital Repayment]]</f>
        <v>0</v>
      </c>
      <c r="W85" s="844"/>
      <c r="X85" s="845">
        <f>IF(TLoan[[#This Row],[Total Capital Repayment]]&gt;0,1,0)</f>
        <v>0</v>
      </c>
      <c r="Y85" s="845"/>
      <c r="Z85" s="846"/>
      <c r="AA85" s="846"/>
      <c r="AB85" s="847" t="str">
        <f>IF(TLoan[[#This Row],[PFY]]&gt;Final_Payment_Year,"Capital Repayments Finished","Capital Repayments Incomplete")</f>
        <v>Capital Repayments Incomplete</v>
      </c>
      <c r="AC85" s="848">
        <f>IF(TLoan[[#This Row],[PFY]]&gt;Final_Payment_Year,0,TLoan[[#This Row],[Total Interest Payment]]+TLoan[[#This Row],[Total Capital Repayment]])</f>
        <v>0</v>
      </c>
      <c r="AD85" s="849">
        <f>IF(TLoan[[#This Row],[PFY]]&gt;Final_Payment_Year,0,AD84+TLoan[[#This Row],[Total Capital Repayment]])</f>
        <v>0</v>
      </c>
      <c r="AE85" s="849">
        <f>IF(TLoan[[#This Row],[PFY]]&gt;Final_Payment_Year,0,AE84+TLoan[[#This Row],[Total Interest Payment]])</f>
        <v>0</v>
      </c>
      <c r="AF85" s="546"/>
      <c r="AG85" s="546"/>
    </row>
    <row r="86" spans="2:33" x14ac:dyDescent="0.2">
      <c r="B86" s="546"/>
      <c r="C86" s="834">
        <f t="shared" si="1"/>
        <v>5538</v>
      </c>
      <c r="D86" s="835">
        <f t="shared" si="2"/>
        <v>5903</v>
      </c>
      <c r="E86" s="836">
        <f>IFERROR(IF(TLoan[[#This Row],[PFY]]=Project_Completion_Financial_Year,"1",IF(TLoan[[#This Row],[PFY]]&gt;Project_Completion_Financial_Year,IF(TLoan[[#This Row],[PFY]]&lt;=Final_Payment_Year,E85+1,"N/A"),"N/A")),"")</f>
        <v>17</v>
      </c>
      <c r="F86" s="837">
        <f>IFERROR(IF(TLoan[[#This Row],[PFY]]=Drawdown_1_Financial_Year,"1",IF(TLoan[[#This Row],[PFY]]&gt;Drawdown_1_Financial_Year,IF(TLoan[[#This Row],[PFY]]&lt;=Final_Payment_Year,F85+1,"N/A"),"N/A")),"")</f>
        <v>17</v>
      </c>
      <c r="G86" s="838" t="str">
        <f>TLoan[[#This Row],[PFY]]&amp;"-"&amp;TLoan[[#This Row],[PFY]]+1</f>
        <v>1915-1916</v>
      </c>
      <c r="H86" s="838">
        <f>IF( YEAR(TLoan[[#This Row],[Start of Year]]) = YEAR(TLoan[[#This Row],[End of Year]]), YEAR(TLoan[[#This Row],[Start of Year]])-1, YEAR(TLoan[[#This Row],[Start of Year]]))</f>
        <v>1915</v>
      </c>
      <c r="I86" s="839">
        <f>IF(Drawdown_1_Financial_Year = TLoan[[#This Row],[PFY]], Drawdown_1, 0)</f>
        <v>0</v>
      </c>
      <c r="J86" s="839">
        <f>IF(Drawdown_2_Financial_Year = TLoan[[#This Row],[PFY]], Drawdown_2, 0)</f>
        <v>0</v>
      </c>
      <c r="K86" s="839">
        <f>IF(Drawdown_3_Financial_Year = TLoan[[#This Row],[PFY]], Drawdown_3, 0)</f>
        <v>0</v>
      </c>
      <c r="L86" s="839">
        <f t="shared" si="0"/>
        <v>0</v>
      </c>
      <c r="M86" s="839">
        <f>IF(AND(TLoan[[#This Row],[PFY]]&gt;=Project_Completion_Financial_Year,TLoan[[#This Row],[PFY]]&lt;Project_Completion_Financial_Year+Payback_Period_In_Years),Minimum_Required_Repayment,0)</f>
        <v>0</v>
      </c>
      <c r="N86" s="840">
        <f>TLoan[[#This Row],[Drawdown 1 Capital Amount]]+TLoan[[#This Row],[Drawdown 2 Capital Amount]]+TLoan[[#This Row],[Drawdown 3 Capital Amount]]+IF(ISNUMBER(V85),V85,0)</f>
        <v>0</v>
      </c>
      <c r="O86" s="841">
        <f>TLoan[[#This Row],[Total Repayment Per Annum]]-TLoan[[#This Row],[Early Capital Repayment]]</f>
        <v>0</v>
      </c>
      <c r="P86"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6" s="840">
        <f>TLoan[[#This Row],[Capital Balance at FY Start]]*Interest_Rate</f>
        <v>0</v>
      </c>
      <c r="R86" s="840">
        <f>TLoan[[#This Row],[Drawdowns First Year Interest Payments]]+TLoan[[#This Row],[Interest Payment]]</f>
        <v>0</v>
      </c>
      <c r="S86"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6" s="842"/>
      <c r="U86" s="843">
        <f>TLoan[[#This Row],[Capital Repayment]]+TLoan[[#This Row],[Early Capital Repayment]]</f>
        <v>0</v>
      </c>
      <c r="V86" s="839">
        <f>TLoan[[#This Row],[Capital Balance at FY Start]]+TLoan[[#This Row],[Drawdown 1 Capital Amount]]+TLoan[[#This Row],[Drawdown 2 Capital Amount]]+TLoan[[#This Row],[Drawdown 3 Capital Amount]]-TLoan[[#This Row],[Total Capital Repayment]]</f>
        <v>0</v>
      </c>
      <c r="W86" s="844"/>
      <c r="X86" s="845">
        <f>IF(TLoan[[#This Row],[Total Capital Repayment]]&gt;0,1,0)</f>
        <v>0</v>
      </c>
      <c r="Y86" s="845"/>
      <c r="Z86" s="846"/>
      <c r="AA86" s="846"/>
      <c r="AB86" s="847" t="str">
        <f>IF(TLoan[[#This Row],[PFY]]&gt;Final_Payment_Year,"Capital Repayments Finished","Capital Repayments Incomplete")</f>
        <v>Capital Repayments Incomplete</v>
      </c>
      <c r="AC86" s="848">
        <f>IF(TLoan[[#This Row],[PFY]]&gt;Final_Payment_Year,0,TLoan[[#This Row],[Total Interest Payment]]+TLoan[[#This Row],[Total Capital Repayment]])</f>
        <v>0</v>
      </c>
      <c r="AD86" s="849">
        <f>IF(TLoan[[#This Row],[PFY]]&gt;Final_Payment_Year,0,AD85+TLoan[[#This Row],[Total Capital Repayment]])</f>
        <v>0</v>
      </c>
      <c r="AE86" s="849">
        <f>IF(TLoan[[#This Row],[PFY]]&gt;Final_Payment_Year,0,AE85+TLoan[[#This Row],[Total Interest Payment]])</f>
        <v>0</v>
      </c>
      <c r="AF86" s="546"/>
      <c r="AG86" s="546"/>
    </row>
    <row r="87" spans="2:33" x14ac:dyDescent="0.2">
      <c r="B87" s="546"/>
      <c r="C87" s="834">
        <f t="shared" si="1"/>
        <v>5903</v>
      </c>
      <c r="D87" s="835">
        <f t="shared" si="2"/>
        <v>6269</v>
      </c>
      <c r="E87" s="836">
        <f>IFERROR(IF(TLoan[[#This Row],[PFY]]=Project_Completion_Financial_Year,"1",IF(TLoan[[#This Row],[PFY]]&gt;Project_Completion_Financial_Year,IF(TLoan[[#This Row],[PFY]]&lt;=Final_Payment_Year,E86+1,"N/A"),"N/A")),"")</f>
        <v>18</v>
      </c>
      <c r="F87" s="837">
        <f>IFERROR(IF(TLoan[[#This Row],[PFY]]=Drawdown_1_Financial_Year,"1",IF(TLoan[[#This Row],[PFY]]&gt;Drawdown_1_Financial_Year,IF(TLoan[[#This Row],[PFY]]&lt;=Final_Payment_Year,F86+1,"N/A"),"N/A")),"")</f>
        <v>18</v>
      </c>
      <c r="G87" s="850" t="str">
        <f>TLoan[[#This Row],[PFY]]&amp;"-"&amp;TLoan[[#This Row],[PFY]]+1</f>
        <v>1916-1917</v>
      </c>
      <c r="H87" s="838">
        <f>IF( YEAR(TLoan[[#This Row],[Start of Year]]) = YEAR(TLoan[[#This Row],[End of Year]]), YEAR(TLoan[[#This Row],[Start of Year]])-1, YEAR(TLoan[[#This Row],[Start of Year]]))</f>
        <v>1916</v>
      </c>
      <c r="I87" s="839">
        <f>IF(Drawdown_1_Financial_Year = TLoan[[#This Row],[PFY]], Drawdown_1, 0)</f>
        <v>0</v>
      </c>
      <c r="J87" s="839">
        <f>IF(Drawdown_2_Financial_Year = TLoan[[#This Row],[PFY]], Drawdown_2, 0)</f>
        <v>0</v>
      </c>
      <c r="K87" s="839">
        <f>IF(Drawdown_3_Financial_Year = TLoan[[#This Row],[PFY]], Drawdown_3, 0)</f>
        <v>0</v>
      </c>
      <c r="L87" s="839">
        <f t="shared" si="0"/>
        <v>0</v>
      </c>
      <c r="M87" s="839">
        <f>IF(AND(TLoan[[#This Row],[PFY]]&gt;=Project_Completion_Financial_Year,TLoan[[#This Row],[PFY]]&lt;Project_Completion_Financial_Year+Payback_Period_In_Years),Minimum_Required_Repayment,0)</f>
        <v>0</v>
      </c>
      <c r="N87" s="840">
        <f>TLoan[[#This Row],[Drawdown 1 Capital Amount]]+TLoan[[#This Row],[Drawdown 2 Capital Amount]]+TLoan[[#This Row],[Drawdown 3 Capital Amount]]+IF(ISNUMBER(V86),V86,0)</f>
        <v>0</v>
      </c>
      <c r="O87" s="841">
        <f>TLoan[[#This Row],[Total Repayment Per Annum]]-TLoan[[#This Row],[Early Capital Repayment]]</f>
        <v>0</v>
      </c>
      <c r="P87"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7" s="840">
        <f>TLoan[[#This Row],[Capital Balance at FY Start]]*Interest_Rate</f>
        <v>0</v>
      </c>
      <c r="R87" s="840">
        <f>TLoan[[#This Row],[Drawdowns First Year Interest Payments]]+TLoan[[#This Row],[Interest Payment]]</f>
        <v>0</v>
      </c>
      <c r="S87"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7" s="842"/>
      <c r="U87" s="843">
        <f>TLoan[[#This Row],[Capital Repayment]]+TLoan[[#This Row],[Early Capital Repayment]]</f>
        <v>0</v>
      </c>
      <c r="V87" s="839">
        <f>TLoan[[#This Row],[Capital Balance at FY Start]]+TLoan[[#This Row],[Drawdown 1 Capital Amount]]+TLoan[[#This Row],[Drawdown 2 Capital Amount]]+TLoan[[#This Row],[Drawdown 3 Capital Amount]]-TLoan[[#This Row],[Total Capital Repayment]]</f>
        <v>0</v>
      </c>
      <c r="W87" s="844"/>
      <c r="X87" s="845">
        <f>IF(TLoan[[#This Row],[Total Capital Repayment]]&gt;0,1,0)</f>
        <v>0</v>
      </c>
      <c r="Y87" s="845"/>
      <c r="Z87" s="846"/>
      <c r="AA87" s="846"/>
      <c r="AB87" s="847" t="str">
        <f>IF(TLoan[[#This Row],[PFY]]&gt;Final_Payment_Year,"Capital Repayments Finished","Capital Repayments Incomplete")</f>
        <v>Capital Repayments Incomplete</v>
      </c>
      <c r="AC87" s="848">
        <f>IF(TLoan[[#This Row],[PFY]]&gt;Final_Payment_Year,0,TLoan[[#This Row],[Total Interest Payment]]+TLoan[[#This Row],[Total Capital Repayment]])</f>
        <v>0</v>
      </c>
      <c r="AD87" s="849">
        <f>IF(TLoan[[#This Row],[PFY]]&gt;Final_Payment_Year,0,AD86+TLoan[[#This Row],[Total Capital Repayment]])</f>
        <v>0</v>
      </c>
      <c r="AE87" s="849">
        <f>IF(TLoan[[#This Row],[PFY]]&gt;Final_Payment_Year,0,AE86+TLoan[[#This Row],[Total Interest Payment]])</f>
        <v>0</v>
      </c>
      <c r="AF87" s="546"/>
      <c r="AG87" s="546"/>
    </row>
    <row r="88" spans="2:33" x14ac:dyDescent="0.2">
      <c r="B88" s="546"/>
      <c r="C88" s="834">
        <f t="shared" si="1"/>
        <v>6269</v>
      </c>
      <c r="D88" s="835">
        <f t="shared" si="2"/>
        <v>6634</v>
      </c>
      <c r="E88" s="836">
        <f>IFERROR(IF(TLoan[[#This Row],[PFY]]=Project_Completion_Financial_Year,"1",IF(TLoan[[#This Row],[PFY]]&gt;Project_Completion_Financial_Year,IF(TLoan[[#This Row],[PFY]]&lt;=Final_Payment_Year,E87+1,"N/A"),"N/A")),"")</f>
        <v>19</v>
      </c>
      <c r="F88" s="837">
        <f>IFERROR(IF(TLoan[[#This Row],[PFY]]=Drawdown_1_Financial_Year,"1",IF(TLoan[[#This Row],[PFY]]&gt;Drawdown_1_Financial_Year,IF(TLoan[[#This Row],[PFY]]&lt;=Final_Payment_Year,F87+1,"N/A"),"N/A")),"")</f>
        <v>19</v>
      </c>
      <c r="G88" s="838" t="str">
        <f>TLoan[[#This Row],[PFY]]&amp;"-"&amp;TLoan[[#This Row],[PFY]]+1</f>
        <v>1917-1918</v>
      </c>
      <c r="H88" s="838">
        <f>IF( YEAR(TLoan[[#This Row],[Start of Year]]) = YEAR(TLoan[[#This Row],[End of Year]]), YEAR(TLoan[[#This Row],[Start of Year]])-1, YEAR(TLoan[[#This Row],[Start of Year]]))</f>
        <v>1917</v>
      </c>
      <c r="I88" s="839">
        <f>IF(Drawdown_1_Financial_Year = TLoan[[#This Row],[PFY]], Drawdown_1, 0)</f>
        <v>0</v>
      </c>
      <c r="J88" s="839">
        <f>IF(Drawdown_2_Financial_Year = TLoan[[#This Row],[PFY]], Drawdown_2, 0)</f>
        <v>0</v>
      </c>
      <c r="K88" s="839">
        <f>IF(Drawdown_3_Financial_Year = TLoan[[#This Row],[PFY]], Drawdown_3, 0)</f>
        <v>0</v>
      </c>
      <c r="L88" s="839">
        <f t="shared" si="0"/>
        <v>0</v>
      </c>
      <c r="M88" s="839">
        <f>IF(AND(TLoan[[#This Row],[PFY]]&gt;=Project_Completion_Financial_Year,TLoan[[#This Row],[PFY]]&lt;Project_Completion_Financial_Year+Payback_Period_In_Years),Minimum_Required_Repayment,0)</f>
        <v>0</v>
      </c>
      <c r="N88" s="840">
        <f>TLoan[[#This Row],[Drawdown 1 Capital Amount]]+TLoan[[#This Row],[Drawdown 2 Capital Amount]]+TLoan[[#This Row],[Drawdown 3 Capital Amount]]+IF(ISNUMBER(V87),V87,0)</f>
        <v>0</v>
      </c>
      <c r="O88" s="841">
        <f>TLoan[[#This Row],[Total Repayment Per Annum]]-TLoan[[#This Row],[Early Capital Repayment]]</f>
        <v>0</v>
      </c>
      <c r="P88"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8" s="840">
        <f>TLoan[[#This Row],[Capital Balance at FY Start]]*Interest_Rate</f>
        <v>0</v>
      </c>
      <c r="R88" s="840">
        <f>TLoan[[#This Row],[Drawdowns First Year Interest Payments]]+TLoan[[#This Row],[Interest Payment]]</f>
        <v>0</v>
      </c>
      <c r="S88"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8" s="842"/>
      <c r="U88" s="843">
        <f>TLoan[[#This Row],[Capital Repayment]]+TLoan[[#This Row],[Early Capital Repayment]]</f>
        <v>0</v>
      </c>
      <c r="V88" s="839">
        <f>TLoan[[#This Row],[Capital Balance at FY Start]]+TLoan[[#This Row],[Drawdown 1 Capital Amount]]+TLoan[[#This Row],[Drawdown 2 Capital Amount]]+TLoan[[#This Row],[Drawdown 3 Capital Amount]]-TLoan[[#This Row],[Total Capital Repayment]]</f>
        <v>0</v>
      </c>
      <c r="W88" s="844"/>
      <c r="X88" s="845">
        <f>IF(TLoan[[#This Row],[Total Capital Repayment]]&gt;0,1,0)</f>
        <v>0</v>
      </c>
      <c r="Y88" s="845"/>
      <c r="Z88" s="846"/>
      <c r="AA88" s="846"/>
      <c r="AB88" s="847" t="str">
        <f>IF(TLoan[[#This Row],[PFY]]&gt;Final_Payment_Year,"Capital Repayments Finished","Capital Repayments Incomplete")</f>
        <v>Capital Repayments Incomplete</v>
      </c>
      <c r="AC88" s="848">
        <f>IF(TLoan[[#This Row],[PFY]]&gt;Final_Payment_Year,0,TLoan[[#This Row],[Total Interest Payment]]+TLoan[[#This Row],[Total Capital Repayment]])</f>
        <v>0</v>
      </c>
      <c r="AD88" s="849">
        <f>IF(TLoan[[#This Row],[PFY]]&gt;Final_Payment_Year,0,AD87+TLoan[[#This Row],[Total Capital Repayment]])</f>
        <v>0</v>
      </c>
      <c r="AE88" s="849">
        <f>IF(TLoan[[#This Row],[PFY]]&gt;Final_Payment_Year,0,AE87+TLoan[[#This Row],[Total Interest Payment]])</f>
        <v>0</v>
      </c>
      <c r="AF88" s="546"/>
      <c r="AG88" s="546"/>
    </row>
    <row r="89" spans="2:33" x14ac:dyDescent="0.2">
      <c r="B89" s="546"/>
      <c r="C89" s="834">
        <f t="shared" si="1"/>
        <v>6634</v>
      </c>
      <c r="D89" s="835">
        <f t="shared" si="2"/>
        <v>6999</v>
      </c>
      <c r="E89" s="836">
        <f>IFERROR(IF(TLoan[[#This Row],[PFY]]=Project_Completion_Financial_Year,"1",IF(TLoan[[#This Row],[PFY]]&gt;Project_Completion_Financial_Year,IF(TLoan[[#This Row],[PFY]]&lt;=Final_Payment_Year,E88+1,"N/A"),"N/A")),"")</f>
        <v>20</v>
      </c>
      <c r="F89" s="837">
        <f>IFERROR(IF(TLoan[[#This Row],[PFY]]=Drawdown_1_Financial_Year,"1",IF(TLoan[[#This Row],[PFY]]&gt;Drawdown_1_Financial_Year,IF(TLoan[[#This Row],[PFY]]&lt;=Final_Payment_Year,F88+1,"N/A"),"N/A")),"")</f>
        <v>20</v>
      </c>
      <c r="G89" s="850" t="str">
        <f>TLoan[[#This Row],[PFY]]&amp;"-"&amp;TLoan[[#This Row],[PFY]]+1</f>
        <v>1918-1919</v>
      </c>
      <c r="H89" s="838">
        <f>IF( YEAR(TLoan[[#This Row],[Start of Year]]) = YEAR(TLoan[[#This Row],[End of Year]]), YEAR(TLoan[[#This Row],[Start of Year]])-1, YEAR(TLoan[[#This Row],[Start of Year]]))</f>
        <v>1918</v>
      </c>
      <c r="I89" s="839">
        <f>IF(Drawdown_1_Financial_Year = TLoan[[#This Row],[PFY]], Drawdown_1, 0)</f>
        <v>0</v>
      </c>
      <c r="J89" s="839">
        <f>IF(Drawdown_2_Financial_Year = TLoan[[#This Row],[PFY]], Drawdown_2, 0)</f>
        <v>0</v>
      </c>
      <c r="K89" s="839">
        <f>IF(Drawdown_3_Financial_Year = TLoan[[#This Row],[PFY]], Drawdown_3, 0)</f>
        <v>0</v>
      </c>
      <c r="L89" s="839">
        <f t="shared" si="0"/>
        <v>0</v>
      </c>
      <c r="M89" s="839">
        <f>IF(AND(TLoan[[#This Row],[PFY]]&gt;=Project_Completion_Financial_Year,TLoan[[#This Row],[PFY]]&lt;Project_Completion_Financial_Year+Payback_Period_In_Years),Minimum_Required_Repayment,0)</f>
        <v>0</v>
      </c>
      <c r="N89" s="840">
        <f>TLoan[[#This Row],[Drawdown 1 Capital Amount]]+TLoan[[#This Row],[Drawdown 2 Capital Amount]]+TLoan[[#This Row],[Drawdown 3 Capital Amount]]+IF(ISNUMBER(V88),V88,0)</f>
        <v>0</v>
      </c>
      <c r="O89" s="841">
        <f>TLoan[[#This Row],[Total Repayment Per Annum]]-TLoan[[#This Row],[Early Capital Repayment]]</f>
        <v>0</v>
      </c>
      <c r="P89"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9" s="840">
        <f>TLoan[[#This Row],[Capital Balance at FY Start]]*Interest_Rate</f>
        <v>0</v>
      </c>
      <c r="R89" s="840">
        <f>TLoan[[#This Row],[Drawdowns First Year Interest Payments]]+TLoan[[#This Row],[Interest Payment]]</f>
        <v>0</v>
      </c>
      <c r="S89"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9" s="842"/>
      <c r="U89" s="843">
        <f>TLoan[[#This Row],[Capital Repayment]]+TLoan[[#This Row],[Early Capital Repayment]]</f>
        <v>0</v>
      </c>
      <c r="V89" s="839">
        <f>TLoan[[#This Row],[Capital Balance at FY Start]]+TLoan[[#This Row],[Drawdown 1 Capital Amount]]+TLoan[[#This Row],[Drawdown 2 Capital Amount]]+TLoan[[#This Row],[Drawdown 3 Capital Amount]]-TLoan[[#This Row],[Total Capital Repayment]]</f>
        <v>0</v>
      </c>
      <c r="W89" s="844"/>
      <c r="X89" s="845">
        <f>IF(TLoan[[#This Row],[Total Capital Repayment]]&gt;0,1,0)</f>
        <v>0</v>
      </c>
      <c r="Y89" s="845"/>
      <c r="Z89" s="846"/>
      <c r="AA89" s="846"/>
      <c r="AB89" s="847" t="str">
        <f>IF(TLoan[[#This Row],[PFY]]&gt;Final_Payment_Year,"Capital Repayments Finished","Capital Repayments Incomplete")</f>
        <v>Capital Repayments Incomplete</v>
      </c>
      <c r="AC89" s="848">
        <f>IF(TLoan[[#This Row],[PFY]]&gt;Final_Payment_Year,0,TLoan[[#This Row],[Total Interest Payment]]+TLoan[[#This Row],[Total Capital Repayment]])</f>
        <v>0</v>
      </c>
      <c r="AD89" s="849">
        <f>IF(TLoan[[#This Row],[PFY]]&gt;Final_Payment_Year,0,AD88+TLoan[[#This Row],[Total Capital Repayment]])</f>
        <v>0</v>
      </c>
      <c r="AE89" s="849">
        <f>IF(TLoan[[#This Row],[PFY]]&gt;Final_Payment_Year,0,AE88+TLoan[[#This Row],[Total Interest Payment]])</f>
        <v>0</v>
      </c>
      <c r="AF89" s="546"/>
      <c r="AG89" s="546"/>
    </row>
    <row r="90" spans="2:33" x14ac:dyDescent="0.2">
      <c r="B90" s="546"/>
      <c r="C90" s="834">
        <f t="shared" si="1"/>
        <v>6999</v>
      </c>
      <c r="D90" s="835">
        <f t="shared" si="2"/>
        <v>7364</v>
      </c>
      <c r="E90" s="836">
        <f>IFERROR(IF(TLoan[[#This Row],[PFY]]=Project_Completion_Financial_Year,"1",IF(TLoan[[#This Row],[PFY]]&gt;Project_Completion_Financial_Year,IF(TLoan[[#This Row],[PFY]]&lt;=Final_Payment_Year,E89+1,"N/A"),"N/A")),"")</f>
        <v>21</v>
      </c>
      <c r="F90" s="837">
        <f>IFERROR(IF(TLoan[[#This Row],[PFY]]=Drawdown_1_Financial_Year,"1",IF(TLoan[[#This Row],[PFY]]&gt;Drawdown_1_Financial_Year,IF(TLoan[[#This Row],[PFY]]&lt;=Final_Payment_Year,F89+1,"N/A"),"N/A")),"")</f>
        <v>21</v>
      </c>
      <c r="G90" s="838" t="str">
        <f>TLoan[[#This Row],[PFY]]&amp;"-"&amp;TLoan[[#This Row],[PFY]]+1</f>
        <v>1919-1920</v>
      </c>
      <c r="H90" s="838">
        <f>IF( YEAR(TLoan[[#This Row],[Start of Year]]) = YEAR(TLoan[[#This Row],[End of Year]]), YEAR(TLoan[[#This Row],[Start of Year]])-1, YEAR(TLoan[[#This Row],[Start of Year]]))</f>
        <v>1919</v>
      </c>
      <c r="I90" s="839">
        <f>IF(Drawdown_1_Financial_Year = TLoan[[#This Row],[PFY]], Drawdown_1, 0)</f>
        <v>0</v>
      </c>
      <c r="J90" s="839">
        <f>IF(Drawdown_2_Financial_Year = TLoan[[#This Row],[PFY]], Drawdown_2, 0)</f>
        <v>0</v>
      </c>
      <c r="K90" s="839">
        <f>IF(Drawdown_3_Financial_Year = TLoan[[#This Row],[PFY]], Drawdown_3, 0)</f>
        <v>0</v>
      </c>
      <c r="L90" s="839">
        <f t="shared" si="0"/>
        <v>0</v>
      </c>
      <c r="M90" s="839">
        <f>IF(AND(TLoan[[#This Row],[PFY]]&gt;=Project_Completion_Financial_Year,TLoan[[#This Row],[PFY]]&lt;Project_Completion_Financial_Year+Payback_Period_In_Years),Minimum_Required_Repayment,0)</f>
        <v>0</v>
      </c>
      <c r="N90" s="840">
        <f>TLoan[[#This Row],[Drawdown 1 Capital Amount]]+TLoan[[#This Row],[Drawdown 2 Capital Amount]]+TLoan[[#This Row],[Drawdown 3 Capital Amount]]+IF(ISNUMBER(V89),V89,0)</f>
        <v>0</v>
      </c>
      <c r="O90" s="841">
        <f>TLoan[[#This Row],[Total Repayment Per Annum]]-TLoan[[#This Row],[Early Capital Repayment]]</f>
        <v>0</v>
      </c>
      <c r="P90"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90" s="840">
        <f>TLoan[[#This Row],[Capital Balance at FY Start]]*Interest_Rate</f>
        <v>0</v>
      </c>
      <c r="R90" s="840">
        <f>TLoan[[#This Row],[Drawdowns First Year Interest Payments]]+TLoan[[#This Row],[Interest Payment]]</f>
        <v>0</v>
      </c>
      <c r="S90"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90" s="842"/>
      <c r="U90" s="843">
        <f>TLoan[[#This Row],[Capital Repayment]]+TLoan[[#This Row],[Early Capital Repayment]]</f>
        <v>0</v>
      </c>
      <c r="V90" s="839">
        <f>TLoan[[#This Row],[Capital Balance at FY Start]]+TLoan[[#This Row],[Drawdown 1 Capital Amount]]+TLoan[[#This Row],[Drawdown 2 Capital Amount]]+TLoan[[#This Row],[Drawdown 3 Capital Amount]]-TLoan[[#This Row],[Total Capital Repayment]]</f>
        <v>0</v>
      </c>
      <c r="W90" s="844"/>
      <c r="X90" s="845">
        <f>IF(TLoan[[#This Row],[Total Capital Repayment]]&gt;0,1,0)</f>
        <v>0</v>
      </c>
      <c r="Y90" s="845"/>
      <c r="Z90" s="846"/>
      <c r="AA90" s="846"/>
      <c r="AB90" s="847" t="str">
        <f>IF(TLoan[[#This Row],[PFY]]&gt;Final_Payment_Year,"Capital Repayments Finished","Capital Repayments Incomplete")</f>
        <v>Capital Repayments Incomplete</v>
      </c>
      <c r="AC90" s="848">
        <f>IF(TLoan[[#This Row],[PFY]]&gt;Final_Payment_Year,0,TLoan[[#This Row],[Total Interest Payment]]+TLoan[[#This Row],[Total Capital Repayment]])</f>
        <v>0</v>
      </c>
      <c r="AD90" s="849">
        <f>IF(TLoan[[#This Row],[PFY]]&gt;Final_Payment_Year,0,AD89+TLoan[[#This Row],[Total Capital Repayment]])</f>
        <v>0</v>
      </c>
      <c r="AE90" s="849">
        <f>IF(TLoan[[#This Row],[PFY]]&gt;Final_Payment_Year,0,AE89+TLoan[[#This Row],[Total Interest Payment]])</f>
        <v>0</v>
      </c>
      <c r="AF90" s="546"/>
      <c r="AG90" s="546"/>
    </row>
    <row r="91" spans="2:33" x14ac:dyDescent="0.2">
      <c r="B91" s="546"/>
      <c r="C91" s="834">
        <f t="shared" si="1"/>
        <v>7364</v>
      </c>
      <c r="D91" s="835">
        <f t="shared" si="2"/>
        <v>7730</v>
      </c>
      <c r="E91" s="836">
        <f>IFERROR(IF(TLoan[[#This Row],[PFY]]=Project_Completion_Financial_Year,"1",IF(TLoan[[#This Row],[PFY]]&gt;Project_Completion_Financial_Year,IF(TLoan[[#This Row],[PFY]]&lt;=Final_Payment_Year,E90+1,"N/A"),"N/A")),"")</f>
        <v>22</v>
      </c>
      <c r="F91" s="837">
        <f>IFERROR(IF(TLoan[[#This Row],[PFY]]=Drawdown_1_Financial_Year,"1",IF(TLoan[[#This Row],[PFY]]&gt;Drawdown_1_Financial_Year,IF(TLoan[[#This Row],[PFY]]&lt;=Final_Payment_Year,F90+1,"N/A"),"N/A")),"")</f>
        <v>22</v>
      </c>
      <c r="G91" s="850" t="str">
        <f>TLoan[[#This Row],[PFY]]&amp;"-"&amp;TLoan[[#This Row],[PFY]]+1</f>
        <v>1920-1921</v>
      </c>
      <c r="H91" s="838">
        <f>IF( YEAR(TLoan[[#This Row],[Start of Year]]) = YEAR(TLoan[[#This Row],[End of Year]]), YEAR(TLoan[[#This Row],[Start of Year]])-1, YEAR(TLoan[[#This Row],[Start of Year]]))</f>
        <v>1920</v>
      </c>
      <c r="I91" s="839">
        <f>IF(Drawdown_1_Financial_Year = TLoan[[#This Row],[PFY]], Drawdown_1, 0)</f>
        <v>0</v>
      </c>
      <c r="J91" s="839">
        <f>IF(Drawdown_2_Financial_Year = TLoan[[#This Row],[PFY]], Drawdown_2, 0)</f>
        <v>0</v>
      </c>
      <c r="K91" s="839">
        <f>IF(Drawdown_3_Financial_Year = TLoan[[#This Row],[PFY]], Drawdown_3, 0)</f>
        <v>0</v>
      </c>
      <c r="L91" s="839">
        <f t="shared" si="0"/>
        <v>0</v>
      </c>
      <c r="M91" s="839">
        <f>IF(AND(TLoan[[#This Row],[PFY]]&gt;=Project_Completion_Financial_Year,TLoan[[#This Row],[PFY]]&lt;Project_Completion_Financial_Year+Payback_Period_In_Years),Minimum_Required_Repayment,0)</f>
        <v>0</v>
      </c>
      <c r="N91" s="840">
        <f>TLoan[[#This Row],[Drawdown 1 Capital Amount]]+TLoan[[#This Row],[Drawdown 2 Capital Amount]]+TLoan[[#This Row],[Drawdown 3 Capital Amount]]+IF(ISNUMBER(V90),V90,0)</f>
        <v>0</v>
      </c>
      <c r="O91" s="841">
        <f>TLoan[[#This Row],[Total Repayment Per Annum]]-TLoan[[#This Row],[Early Capital Repayment]]</f>
        <v>0</v>
      </c>
      <c r="P91"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91" s="840">
        <f>TLoan[[#This Row],[Capital Balance at FY Start]]*Interest_Rate</f>
        <v>0</v>
      </c>
      <c r="R91" s="840">
        <f>TLoan[[#This Row],[Drawdowns First Year Interest Payments]]+TLoan[[#This Row],[Interest Payment]]</f>
        <v>0</v>
      </c>
      <c r="S91"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91" s="842"/>
      <c r="U91" s="843">
        <f>TLoan[[#This Row],[Capital Repayment]]+TLoan[[#This Row],[Early Capital Repayment]]</f>
        <v>0</v>
      </c>
      <c r="V91" s="839">
        <f>TLoan[[#This Row],[Capital Balance at FY Start]]+TLoan[[#This Row],[Drawdown 1 Capital Amount]]+TLoan[[#This Row],[Drawdown 2 Capital Amount]]+TLoan[[#This Row],[Drawdown 3 Capital Amount]]-TLoan[[#This Row],[Total Capital Repayment]]</f>
        <v>0</v>
      </c>
      <c r="W91" s="844"/>
      <c r="X91" s="845">
        <f>IF(TLoan[[#This Row],[Total Capital Repayment]]&gt;0,1,0)</f>
        <v>0</v>
      </c>
      <c r="Y91" s="845"/>
      <c r="Z91" s="846"/>
      <c r="AA91" s="846"/>
      <c r="AB91" s="847" t="str">
        <f>IF(TLoan[[#This Row],[PFY]]&gt;Final_Payment_Year,"Capital Repayments Finished","Capital Repayments Incomplete")</f>
        <v>Capital Repayments Incomplete</v>
      </c>
      <c r="AC91" s="848">
        <f>IF(TLoan[[#This Row],[PFY]]&gt;Final_Payment_Year,0,TLoan[[#This Row],[Total Interest Payment]]+TLoan[[#This Row],[Total Capital Repayment]])</f>
        <v>0</v>
      </c>
      <c r="AD91" s="849">
        <f>IF(TLoan[[#This Row],[PFY]]&gt;Final_Payment_Year,0,AD90+TLoan[[#This Row],[Total Capital Repayment]])</f>
        <v>0</v>
      </c>
      <c r="AE91" s="849">
        <f>IF(TLoan[[#This Row],[PFY]]&gt;Final_Payment_Year,0,AE90+TLoan[[#This Row],[Total Interest Payment]])</f>
        <v>0</v>
      </c>
      <c r="AF91" s="546"/>
      <c r="AG91" s="546"/>
    </row>
    <row r="92" spans="2:33" x14ac:dyDescent="0.2">
      <c r="B92" s="546"/>
      <c r="C92" s="834">
        <f t="shared" si="1"/>
        <v>7730</v>
      </c>
      <c r="D92" s="835">
        <f t="shared" si="2"/>
        <v>8095</v>
      </c>
      <c r="E92" s="836">
        <f>IFERROR(IF(TLoan[[#This Row],[PFY]]=Project_Completion_Financial_Year,"1",IF(TLoan[[#This Row],[PFY]]&gt;Project_Completion_Financial_Year,IF(TLoan[[#This Row],[PFY]]&lt;=Final_Payment_Year,E91+1,"N/A"),"N/A")),"")</f>
        <v>23</v>
      </c>
      <c r="F92" s="837">
        <f>IFERROR(IF(TLoan[[#This Row],[PFY]]=Drawdown_1_Financial_Year,"1",IF(TLoan[[#This Row],[PFY]]&gt;Drawdown_1_Financial_Year,IF(TLoan[[#This Row],[PFY]]&lt;=Final_Payment_Year,F91+1,"N/A"),"N/A")),"")</f>
        <v>23</v>
      </c>
      <c r="G92" s="850" t="str">
        <f>TLoan[[#This Row],[PFY]]&amp;"-"&amp;TLoan[[#This Row],[PFY]]+1</f>
        <v>1921-1922</v>
      </c>
      <c r="H92" s="838">
        <f>IF( YEAR(TLoan[[#This Row],[Start of Year]]) = YEAR(TLoan[[#This Row],[End of Year]]), YEAR(TLoan[[#This Row],[Start of Year]])-1, YEAR(TLoan[[#This Row],[Start of Year]]))</f>
        <v>1921</v>
      </c>
      <c r="I92" s="839">
        <f>IF(Drawdown_1_Financial_Year = TLoan[[#This Row],[PFY]], Drawdown_1, 0)</f>
        <v>0</v>
      </c>
      <c r="J92" s="839">
        <f>IF(Drawdown_2_Financial_Year = TLoan[[#This Row],[PFY]], Drawdown_2, 0)</f>
        <v>0</v>
      </c>
      <c r="K92" s="839">
        <f>IF(Drawdown_3_Financial_Year = TLoan[[#This Row],[PFY]], Drawdown_3, 0)</f>
        <v>0</v>
      </c>
      <c r="L92" s="839">
        <f t="shared" si="0"/>
        <v>0</v>
      </c>
      <c r="M92" s="839">
        <f>IF(AND(TLoan[[#This Row],[PFY]]&gt;=Project_Completion_Financial_Year,TLoan[[#This Row],[PFY]]&lt;Project_Completion_Financial_Year+Payback_Period_In_Years),Minimum_Required_Repayment,0)</f>
        <v>0</v>
      </c>
      <c r="N92" s="840">
        <f>TLoan[[#This Row],[Drawdown 1 Capital Amount]]+TLoan[[#This Row],[Drawdown 2 Capital Amount]]+TLoan[[#This Row],[Drawdown 3 Capital Amount]]+IF(ISNUMBER(V91),V91,0)</f>
        <v>0</v>
      </c>
      <c r="O92" s="841">
        <f>TLoan[[#This Row],[Total Repayment Per Annum]]-TLoan[[#This Row],[Early Capital Repayment]]</f>
        <v>0</v>
      </c>
      <c r="P92"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92" s="840">
        <f>TLoan[[#This Row],[Capital Balance at FY Start]]*Interest_Rate</f>
        <v>0</v>
      </c>
      <c r="R92" s="840">
        <f>TLoan[[#This Row],[Drawdowns First Year Interest Payments]]+TLoan[[#This Row],[Interest Payment]]</f>
        <v>0</v>
      </c>
      <c r="S92"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92" s="842"/>
      <c r="U92" s="843">
        <f>TLoan[[#This Row],[Capital Repayment]]+TLoan[[#This Row],[Early Capital Repayment]]</f>
        <v>0</v>
      </c>
      <c r="V92" s="839">
        <f>TLoan[[#This Row],[Capital Balance at FY Start]]+TLoan[[#This Row],[Drawdown 1 Capital Amount]]+TLoan[[#This Row],[Drawdown 2 Capital Amount]]+TLoan[[#This Row],[Drawdown 3 Capital Amount]]-TLoan[[#This Row],[Total Capital Repayment]]</f>
        <v>0</v>
      </c>
      <c r="W92" s="844"/>
      <c r="X92" s="845">
        <f>IF(TLoan[[#This Row],[Total Capital Repayment]]&gt;0,1,0)</f>
        <v>0</v>
      </c>
      <c r="Y92" s="845"/>
      <c r="Z92" s="846"/>
      <c r="AA92" s="846"/>
      <c r="AB92" s="847" t="str">
        <f>IF(TLoan[[#This Row],[PFY]]&gt;Final_Payment_Year,"Capital Repayments Finished","Capital Repayments Incomplete")</f>
        <v>Capital Repayments Incomplete</v>
      </c>
      <c r="AC92" s="848">
        <f>IF(TLoan[[#This Row],[PFY]]&gt;Final_Payment_Year,0,TLoan[[#This Row],[Total Interest Payment]]+TLoan[[#This Row],[Total Capital Repayment]])</f>
        <v>0</v>
      </c>
      <c r="AD92" s="849">
        <f>IF(TLoan[[#This Row],[PFY]]&gt;Final_Payment_Year,0,AD91+TLoan[[#This Row],[Total Capital Repayment]])</f>
        <v>0</v>
      </c>
      <c r="AE92" s="849">
        <f>IF(TLoan[[#This Row],[PFY]]&gt;Final_Payment_Year,0,AE91+TLoan[[#This Row],[Total Interest Payment]])</f>
        <v>0</v>
      </c>
      <c r="AF92" s="546"/>
      <c r="AG92" s="546"/>
    </row>
    <row r="93" spans="2:33" x14ac:dyDescent="0.2">
      <c r="B93" s="546"/>
      <c r="C93" s="834">
        <f t="shared" si="1"/>
        <v>8095</v>
      </c>
      <c r="D93" s="835">
        <f t="shared" si="2"/>
        <v>8460</v>
      </c>
      <c r="E93" s="836">
        <f>IFERROR(IF(TLoan[[#This Row],[PFY]]=Project_Completion_Financial_Year,"1",IF(TLoan[[#This Row],[PFY]]&gt;Project_Completion_Financial_Year,IF(TLoan[[#This Row],[PFY]]&lt;=Final_Payment_Year,E92+1,"N/A"),"N/A")),"")</f>
        <v>24</v>
      </c>
      <c r="F93" s="837">
        <f>IFERROR(IF(TLoan[[#This Row],[PFY]]=Drawdown_1_Financial_Year,"1",IF(TLoan[[#This Row],[PFY]]&gt;Drawdown_1_Financial_Year,IF(TLoan[[#This Row],[PFY]]&lt;=Final_Payment_Year,F92+1,"N/A"),"N/A")),"")</f>
        <v>24</v>
      </c>
      <c r="G93" s="850" t="str">
        <f>TLoan[[#This Row],[PFY]]&amp;"-"&amp;TLoan[[#This Row],[PFY]]+1</f>
        <v>1922-1923</v>
      </c>
      <c r="H93" s="838">
        <f>IF( YEAR(TLoan[[#This Row],[Start of Year]]) = YEAR(TLoan[[#This Row],[End of Year]]), YEAR(TLoan[[#This Row],[Start of Year]])-1, YEAR(TLoan[[#This Row],[Start of Year]]))</f>
        <v>1922</v>
      </c>
      <c r="I93" s="839">
        <f>IF(Drawdown_1_Financial_Year = TLoan[[#This Row],[PFY]], Drawdown_1, 0)</f>
        <v>0</v>
      </c>
      <c r="J93" s="839">
        <f>IF(Drawdown_2_Financial_Year = TLoan[[#This Row],[PFY]], Drawdown_2, 0)</f>
        <v>0</v>
      </c>
      <c r="K93" s="839">
        <f>IF(Drawdown_3_Financial_Year = TLoan[[#This Row],[PFY]], Drawdown_3, 0)</f>
        <v>0</v>
      </c>
      <c r="L93" s="839">
        <f t="shared" si="0"/>
        <v>0</v>
      </c>
      <c r="M93" s="839">
        <f>IF(AND(TLoan[[#This Row],[PFY]]&gt;=Project_Completion_Financial_Year,TLoan[[#This Row],[PFY]]&lt;Project_Completion_Financial_Year+Payback_Period_In_Years),Minimum_Required_Repayment,0)</f>
        <v>0</v>
      </c>
      <c r="N93" s="840">
        <f>TLoan[[#This Row],[Drawdown 1 Capital Amount]]+TLoan[[#This Row],[Drawdown 2 Capital Amount]]+TLoan[[#This Row],[Drawdown 3 Capital Amount]]+IF(ISNUMBER(V92),V92,0)</f>
        <v>0</v>
      </c>
      <c r="O93" s="841">
        <f>TLoan[[#This Row],[Total Repayment Per Annum]]-TLoan[[#This Row],[Early Capital Repayment]]</f>
        <v>0</v>
      </c>
      <c r="P93" s="824">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93" s="840">
        <f>TLoan[[#This Row],[Capital Balance at FY Start]]*Interest_Rate</f>
        <v>0</v>
      </c>
      <c r="R93" s="840">
        <f>TLoan[[#This Row],[Drawdowns First Year Interest Payments]]+TLoan[[#This Row],[Interest Payment]]</f>
        <v>0</v>
      </c>
      <c r="S93" s="840">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93" s="842"/>
      <c r="U93" s="843">
        <f>TLoan[[#This Row],[Capital Repayment]]+TLoan[[#This Row],[Early Capital Repayment]]</f>
        <v>0</v>
      </c>
      <c r="V93" s="839">
        <f>TLoan[[#This Row],[Capital Balance at FY Start]]+TLoan[[#This Row],[Drawdown 1 Capital Amount]]+TLoan[[#This Row],[Drawdown 2 Capital Amount]]+TLoan[[#This Row],[Drawdown 3 Capital Amount]]-TLoan[[#This Row],[Total Capital Repayment]]</f>
        <v>0</v>
      </c>
      <c r="W93" s="844"/>
      <c r="X93" s="845">
        <f>IF(TLoan[[#This Row],[Total Capital Repayment]]&gt;0,1,0)</f>
        <v>0</v>
      </c>
      <c r="Y93" s="845"/>
      <c r="Z93" s="846"/>
      <c r="AA93" s="846"/>
      <c r="AB93" s="847" t="str">
        <f>IF(TLoan[[#This Row],[PFY]]&gt;Final_Payment_Year,"Capital Repayments Finished","Capital Repayments Incomplete")</f>
        <v>Capital Repayments Incomplete</v>
      </c>
      <c r="AC93" s="848">
        <f>IF(TLoan[[#This Row],[PFY]]&gt;Final_Payment_Year,0,TLoan[[#This Row],[Total Interest Payment]]+TLoan[[#This Row],[Total Capital Repayment]])</f>
        <v>0</v>
      </c>
      <c r="AD93" s="849">
        <f>IF(TLoan[[#This Row],[PFY]]&gt;Final_Payment_Year,0,AD92+TLoan[[#This Row],[Total Capital Repayment]])</f>
        <v>0</v>
      </c>
      <c r="AE93" s="849">
        <f>IF(TLoan[[#This Row],[PFY]]&gt;Final_Payment_Year,0,AE92+TLoan[[#This Row],[Total Interest Payment]])</f>
        <v>0</v>
      </c>
      <c r="AF93" s="546"/>
      <c r="AG93" s="546"/>
    </row>
    <row r="94" spans="2:33" x14ac:dyDescent="0.2">
      <c r="B94" s="546"/>
      <c r="C94" s="546"/>
      <c r="D94" s="546"/>
      <c r="E94" s="546"/>
      <c r="F94" s="546"/>
      <c r="G94" s="546"/>
      <c r="H94" s="546"/>
      <c r="I94" s="546"/>
      <c r="J94" s="546"/>
      <c r="K94" s="546"/>
      <c r="L94" s="546"/>
      <c r="M94" s="546"/>
      <c r="N94" s="546"/>
      <c r="O94" s="546"/>
      <c r="P94" s="546"/>
      <c r="Q94" s="546"/>
      <c r="R94" s="546"/>
      <c r="S94" s="546"/>
      <c r="T94" s="546"/>
      <c r="U94" s="546"/>
      <c r="V94" s="26"/>
      <c r="X94" s="26"/>
      <c r="Y94" s="546"/>
      <c r="Z94" s="546"/>
      <c r="AA94" s="546"/>
      <c r="AB94" s="546"/>
      <c r="AC94" s="546"/>
      <c r="AD94" s="546"/>
      <c r="AE94" s="546"/>
      <c r="AF94" s="546"/>
      <c r="AG94" s="546"/>
    </row>
    <row r="95" spans="2:33" x14ac:dyDescent="0.2">
      <c r="B95" s="546"/>
      <c r="C95" s="546"/>
      <c r="D95" s="546"/>
      <c r="E95" s="546"/>
      <c r="F95" s="546"/>
      <c r="G95" s="546"/>
      <c r="H95" s="546"/>
      <c r="I95" s="546"/>
      <c r="J95" s="546"/>
      <c r="K95" s="546"/>
      <c r="L95" s="546"/>
      <c r="M95" s="546"/>
      <c r="N95" s="546"/>
      <c r="O95" s="546"/>
      <c r="P95" s="546"/>
      <c r="Q95" s="546"/>
      <c r="R95" s="546"/>
      <c r="S95" s="546"/>
      <c r="T95" s="546"/>
      <c r="U95" s="546"/>
      <c r="V95" s="26"/>
      <c r="X95" s="26"/>
      <c r="Y95" s="546"/>
      <c r="Z95" s="546"/>
      <c r="AA95" s="546"/>
      <c r="AB95" s="546"/>
      <c r="AC95" s="546"/>
      <c r="AD95" s="546"/>
      <c r="AE95" s="546"/>
      <c r="AF95" s="546"/>
      <c r="AG95" s="546"/>
    </row>
    <row r="96" spans="2:33" x14ac:dyDescent="0.2">
      <c r="B96" s="546"/>
      <c r="C96" s="546"/>
      <c r="D96" s="546"/>
      <c r="E96" s="546"/>
      <c r="F96" s="546"/>
      <c r="G96" s="546"/>
      <c r="H96" s="546"/>
      <c r="I96" s="546"/>
      <c r="J96" s="546"/>
      <c r="K96" s="546"/>
      <c r="L96" s="546"/>
      <c r="M96" s="546"/>
      <c r="N96" s="546"/>
      <c r="O96" s="546"/>
      <c r="P96" s="546"/>
      <c r="Q96" s="546"/>
      <c r="R96" s="546"/>
      <c r="S96" s="546"/>
      <c r="T96" s="546"/>
      <c r="U96" s="546"/>
      <c r="V96" s="26"/>
      <c r="X96" s="26"/>
      <c r="Y96" s="546"/>
      <c r="Z96" s="546"/>
      <c r="AA96" s="546"/>
      <c r="AB96" s="546"/>
      <c r="AC96" s="546"/>
      <c r="AD96" s="546"/>
      <c r="AE96" s="546"/>
      <c r="AF96" s="546"/>
      <c r="AG96" s="546"/>
    </row>
  </sheetData>
  <sheetProtection algorithmName="SHA-512" hashValue="BmL5Q+Q/VljX7M6Sia09JvaTHFpIQDEumVrzKC19utQxIMJqOxuRIxgPRqsDXesY/cLPIrYZS4sQjOIpzurtvw==" saltValue="wxJYg1J1ux3nrvcbG8yQng==" spinCount="100000" sheet="1"/>
  <mergeCells count="17">
    <mergeCell ref="C3:G4"/>
    <mergeCell ref="C6:P8"/>
    <mergeCell ref="C16:O17"/>
    <mergeCell ref="P23:P26"/>
    <mergeCell ref="C35:G35"/>
    <mergeCell ref="C36:N37"/>
    <mergeCell ref="C39:N43"/>
    <mergeCell ref="C29:G29"/>
    <mergeCell ref="C28:F28"/>
    <mergeCell ref="C23:F24"/>
    <mergeCell ref="C67:D67"/>
    <mergeCell ref="E67:O67"/>
    <mergeCell ref="C45:P45"/>
    <mergeCell ref="C47:D47"/>
    <mergeCell ref="F47:G47"/>
    <mergeCell ref="F51:G51"/>
    <mergeCell ref="C64:E64"/>
  </mergeCells>
  <phoneticPr fontId="124" type="noConversion"/>
  <conditionalFormatting sqref="C67:E67 P67">
    <cfRule type="expression" dxfId="58" priority="398">
      <formula>$P$15=1</formula>
    </cfRule>
  </conditionalFormatting>
  <conditionalFormatting sqref="E70:F93">
    <cfRule type="cellIs" dxfId="57" priority="45" operator="equal">
      <formula>"N/A"</formula>
    </cfRule>
  </conditionalFormatting>
  <conditionalFormatting sqref="N31:O31">
    <cfRule type="expression" dxfId="56" priority="17">
      <formula>"IF($J$28=""No"")"</formula>
    </cfRule>
  </conditionalFormatting>
  <conditionalFormatting sqref="O31">
    <cfRule type="cellIs" dxfId="55" priority="5" operator="equal">
      <formula>"N/A"</formula>
    </cfRule>
    <cfRule type="containsBlanks" dxfId="54" priority="399">
      <formula>LEN(TRIM(O31))=0</formula>
    </cfRule>
  </conditionalFormatting>
  <conditionalFormatting sqref="O32">
    <cfRule type="expression" dxfId="53" priority="2">
      <formula>AND($O$32="",LEN($P$32)&gt;0)</formula>
    </cfRule>
    <cfRule type="expression" dxfId="52" priority="4">
      <formula>AND($N$32="Yes",$O$32="")</formula>
    </cfRule>
    <cfRule type="expression" dxfId="51" priority="8">
      <formula>AND($N$32="No",LEN($O$32)&gt;0)</formula>
    </cfRule>
  </conditionalFormatting>
  <conditionalFormatting sqref="O33">
    <cfRule type="expression" dxfId="50" priority="1">
      <formula>AND($O$33="",LEN($P$33)&gt;0)</formula>
    </cfRule>
    <cfRule type="expression" dxfId="49" priority="3">
      <formula>AND($N$33="Yes",$O$33="")</formula>
    </cfRule>
    <cfRule type="expression" dxfId="48" priority="9">
      <formula>AND($N$33="No",LEN($O$33)&gt;0)</formula>
    </cfRule>
  </conditionalFormatting>
  <conditionalFormatting sqref="P31">
    <cfRule type="expression" dxfId="47" priority="7">
      <formula>AND($N$31="Yes",$P$31="")</formula>
    </cfRule>
  </conditionalFormatting>
  <conditionalFormatting sqref="P32">
    <cfRule type="expression" dxfId="46" priority="11">
      <formula>AND($N$32="Yes",$P$32="")</formula>
    </cfRule>
  </conditionalFormatting>
  <conditionalFormatting sqref="P33">
    <cfRule type="expression" dxfId="45" priority="10">
      <formula>AND($N$33="Yes",$P$33="")</formula>
    </cfRule>
  </conditionalFormatting>
  <dataValidations count="33">
    <dataValidation allowBlank="1" showErrorMessage="1" sqref="AB70:AE93 P69 R69 U69 AC69:AE69" xr:uid="{9C7136B3-F6F5-4411-8ADB-C5C6ADDED572}"/>
    <dataValidation type="whole" operator="lessThan" allowBlank="1" showInputMessage="1" showErrorMessage="1" prompt="The value for Early Capital Repayment must not exceed the total outstanding Capital Balance. This is the Beginning Capital Balance minus Minimum Required Repayment Value for the Financial Year. It cannot be input into the final repayment year." sqref="T70:T93" xr:uid="{A1442059-625C-42F0-BF66-2E15A750806C}">
      <formula1>SUM(N70-O70)</formula1>
    </dataValidation>
    <dataValidation allowBlank="1" showInputMessage="1" showErrorMessage="1" prompt="'Capital Repayments Finished' indicates that the loan is estimated to have been repaid." sqref="AB69:AC69" xr:uid="{F108B703-F070-4F63-B4B4-EEE2CB24051E}"/>
    <dataValidation allowBlank="1" showInputMessage="1" showErrorMessage="1" prompt="If you intend to repay part of your capital balance early, indicate this in Section 1, 1b." sqref="G52" xr:uid="{8D160663-5AF7-4607-9AA6-FF79A895FA27}"/>
    <dataValidation allowBlank="1" showInputMessage="1" showErrorMessage="1" prompt="You can choose to repay part of your capital balance early either before the project has completed or throughout the repayment period by entering values into the early capital repayment column. This is the total value of early capital repayments." sqref="G53" xr:uid="{35DCFD81-1C32-46C7-A659-111DC0ADAAA0}"/>
    <dataValidation allowBlank="1" showInputMessage="1" showErrorMessage="1" prompt="Standard repayments of the capital will start after the project has completed. This is the total value of capital repayments in the table below." sqref="G54" xr:uid="{EA730635-2461-4E8B-9EBE-6983755A726E}"/>
    <dataValidation allowBlank="1" showInputMessage="1" showErrorMessage="1" promptTitle="Estimated Project Completion" prompt="This date is taken from the 'Business Case' tab and is the end date of the measures included in the application." sqref="D54" xr:uid="{0E938B2C-54C1-48FD-ABB9-E15679DBE585}"/>
    <dataValidation allowBlank="1" showInputMessage="1" showErrorMessage="1" promptTitle="Annual interest rate" prompt="A fixed interest rate at the current government borrowing rate of 2.45% will be applied on the loan.  The rate will not change during the loan term." sqref="D50" xr:uid="{0B831BF9-330F-4125-BCCF-7C778C232A0F}"/>
    <dataValidation allowBlank="1" showInputMessage="1" showErrorMessage="1" promptTitle="Total loan requested" prompt="This value is taken from the 'Project Compliance Tool' and is the total loan requested for the application." sqref="D49" xr:uid="{7A74E7D6-2A0B-43D8-BCCA-0B32E184959C}"/>
    <dataValidation allowBlank="1" showInputMessage="1" showErrorMessage="1" promptTitle="Project value" prompt="This value is taken from the 'Project Compliance Tool'" sqref="D48" xr:uid="{6FB7176A-CCAA-4F66-A894-19BE071CC8E3}"/>
    <dataValidation allowBlank="1" showInputMessage="1" showErrorMessage="1" promptTitle="Total Net Financial Impact" prompt="This value is taken from the Project Compliance Tool to show the estimated annual financial savings for the whole project." sqref="P11" xr:uid="{E658DE9A-26E8-4341-8312-9B211C95CF33}"/>
    <dataValidation allowBlank="1" showInputMessage="1" showErrorMessage="1" promptTitle="Minimum required repayment value" prompt="This value is apportioned to capital and interest in the below amortisation table. It will increase/decrease depending on the intended years to payback the loan entered above." sqref="P18" xr:uid="{42D4CF1C-D8E3-4176-A450-EA7E48878A95}"/>
    <dataValidation allowBlank="1" showInputMessage="1" showErrorMessage="1" prompt="The total outstanding capital balance to be repaid at the end of each year. _x000a__x000a_This is the beginning capital balance less the total repayment._x000a__x000a_Excludes interest payment._x000a_" sqref="V69" xr:uid="{75D0BCDA-7520-4612-A75C-3E0CD612AE03}"/>
    <dataValidation allowBlank="1" showInputMessage="1" showErrorMessage="1" prompt="The total value that will be repaid per annum. This is the sum of the Total Repayment plus any Early Capital Repayments. This does not include any interest payments." sqref="AD69:AE69" xr:uid="{99C1EA92-6C65-4584-A5A2-6B663FCB69E4}"/>
    <dataValidation allowBlank="1" showInputMessage="1" showErrorMessage="1" prompt="Please enter the value of early capital repayments in this column. This cannot be greater than the beginning capital balance for that Financial Year._x000a_Do not input into the final payment Financial Year." sqref="T69" xr:uid="{5247101B-5721-4895-AF1C-F79F7A82B620}"/>
    <dataValidation allowBlank="1" showInputMessage="1" showErrorMessage="1" prompt="Proportion of the annual minimum required repayment proportioned to capital." sqref="S69" xr:uid="{CC859B26-7191-44B3-871C-DC8078AF9842}"/>
    <dataValidation allowBlank="1" showInputMessage="1" showErrorMessage="1" prompt="Proportion of the annual minimum required repayment proportioned to interest." sqref="Q69" xr:uid="{75F1880B-3820-4D51-AD82-4173AAA558FD}"/>
    <dataValidation allowBlank="1" showInputMessage="1" showErrorMessage="1" prompt="This is based on the total annual repayments required to repay the full capital loan requested plus interest by the repayment deadline." sqref="O69" xr:uid="{107BFCB2-799A-4E07-9647-70AC34E87B6A}"/>
    <dataValidation allowBlank="1" showInputMessage="1" showErrorMessage="1" prompt="The total outstanding capital balance to be repaid at the start of each year." sqref="N69" xr:uid="{CD06CD85-B693-420E-8A88-C9850FF25B52}"/>
    <dataValidation allowBlank="1" showInputMessage="1" showErrorMessage="1" prompt="The Fiscal Year that the payment is within." sqref="G69" xr:uid="{6B2CD68E-D377-4898-ABD0-2FA08EC32BE9}"/>
    <dataValidation allowBlank="1" showInputMessage="1" showErrorMessage="1" prompt="The number of payments being paid towards interest." sqref="F69" xr:uid="{67B89A83-88B3-4AE3-9FCE-C4A28ADE93C3}"/>
    <dataValidation allowBlank="1" showInputMessage="1" showErrorMessage="1" prompt="The number of payments being paid towards the capital." sqref="E69" xr:uid="{C1216DAA-CDA7-4138-87D9-2A6D147698A2}"/>
    <dataValidation allowBlank="1" showInputMessage="1" showErrorMessage="1" prompt="The ending date at which your loan is compounded and interest is collected." sqref="D69:D93" xr:uid="{87D80C99-B1C3-441A-8149-1B6517186A6D}"/>
    <dataValidation allowBlank="1" showInputMessage="1" showErrorMessage="1" prompt="The starting date at which your loan begins accruing interest." sqref="C69:C93" xr:uid="{BF18D83F-BDE5-4640-AAC1-026741E2865D}"/>
    <dataValidation type="whole" operator="lessThanOrEqual" allowBlank="1" showInputMessage="1" showErrorMessage="1" promptTitle="Loan Payback Length" prompt="Please input the number of years that you intend to payback your loan in. The maximum permitted value is determined by the technical payback of the measures applied for._x000a_If any early repayments, this length may change." sqref="P15" xr:uid="{A3B24340-D731-4AED-9E0E-73739D3D4653}">
      <formula1>P12</formula1>
    </dataValidation>
    <dataValidation type="decimal" allowBlank="1" showInputMessage="1" showErrorMessage="1" sqref="O65:P65" xr:uid="{B69A5B7B-8898-44B6-A0BD-803A17A4E1FE}">
      <formula1>0</formula1>
      <formula2>E66</formula2>
    </dataValidation>
    <dataValidation type="list" allowBlank="1" showInputMessage="1" showErrorMessage="1" promptTitle="Early Repayments" prompt="Please indicate whether you anticipate to make any early payments. Please input these into the Early Capital Repayment column in the below table." sqref="P22" xr:uid="{7453FD74-1696-4A9A-A58B-5D7CD774A8FF}">
      <formula1>"Yes,No"</formula1>
    </dataValidation>
    <dataValidation type="list" allowBlank="1" showInputMessage="1" showErrorMessage="1" sqref="P28 N32:N33" xr:uid="{4886DEC3-1E0C-43F2-BA5C-308E30FEC308}">
      <formula1>"Yes,No"</formula1>
    </dataValidation>
    <dataValidation allowBlank="1" showInputMessage="1" showErrorMessage="1" promptTitle="Estimated drawdown date" prompt="The drawdown date will be automatically calculated as 6 weeks after the submission date, entered in the 'Business Case' tab." sqref="D51" xr:uid="{40C1D2D0-5350-44E6-923B-CE084C3D0F4B}"/>
    <dataValidation type="decimal" operator="greaterThan" allowBlank="1" showInputMessage="1" showErrorMessage="1" sqref="P31:P33" xr:uid="{2794265F-B69B-413D-BB93-96368DE13826}">
      <formula1>0</formula1>
    </dataValidation>
    <dataValidation operator="lessThan" allowBlank="1" showErrorMessage="1" sqref="U70:U93 AC70:AC93" xr:uid="{084820E1-E4D9-4505-90FE-2F021F4C100D}"/>
    <dataValidation allowBlank="1" showInputMessage="1" showErrorMessage="1" promptTitle="Total Interest Payments" prompt="This is the value of the interest payments as calculated in the table below." sqref="G48:G50" xr:uid="{C0023F70-E5FE-4CBC-B073-9A2900F30399}"/>
    <dataValidation type="whole" operator="lessThanOrEqual" allowBlank="1" showErrorMessage="1" promptTitle="Loan Payback Length" prompt="Please input the number of years that you intend to payback " sqref="P16" xr:uid="{CA937624-BFE0-4BBC-B6BD-8086443BDBB1}">
      <formula1>#REF!</formula1>
    </dataValidation>
  </dataValidations>
  <pageMargins left="0.7" right="0.7" top="0.75" bottom="0.75" header="0.3" footer="0.3"/>
  <pageSetup paperSize="9" orientation="portrait" r:id="rId1"/>
  <headerFooter>
    <oddFooter>&amp;C_x000D_&amp;1#&amp;"Calibri"&amp;10&amp;K000000 AtkinsRéalis - Baseline / Référence</oddFooter>
  </headerFooter>
  <customProperties>
    <customPr name="GUID" r:id="rId2"/>
  </customProperties>
  <drawing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516129CE-E7E5-4B1C-898F-F2235EE88478}">
          <x14:formula1>
            <xm:f>'Extra look-up'!$U$4:$U$20</xm:f>
          </x14:formula1>
          <xm:sqref>O31:O33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382573"/>
    <pageSetUpPr fitToPage="1"/>
  </sheetPr>
  <dimension ref="B1:AR45"/>
  <sheetViews>
    <sheetView showGridLines="0" showRowColHeaders="0" zoomScale="115" zoomScaleNormal="115" workbookViewId="0">
      <selection activeCell="P32" sqref="P32"/>
    </sheetView>
  </sheetViews>
  <sheetFormatPr defaultColWidth="9.28515625" defaultRowHeight="15" x14ac:dyDescent="0.3"/>
  <cols>
    <col min="1" max="16384" width="9.28515625" style="3"/>
  </cols>
  <sheetData>
    <row r="1" spans="2:12" ht="15.75" thickBot="1" x14ac:dyDescent="0.35"/>
    <row r="2" spans="2:12" ht="54.75" customHeight="1" thickBot="1" x14ac:dyDescent="0.35">
      <c r="B2" s="245" t="s">
        <v>295</v>
      </c>
      <c r="C2" s="246"/>
      <c r="D2" s="246"/>
      <c r="E2" s="246"/>
      <c r="F2" s="246"/>
      <c r="G2" s="246"/>
      <c r="H2" s="246"/>
      <c r="I2" s="246"/>
      <c r="J2" s="246"/>
      <c r="K2" s="246"/>
      <c r="L2" s="247"/>
    </row>
    <row r="3" spans="2:12" ht="12.75" customHeight="1" x14ac:dyDescent="0.3">
      <c r="B3" s="1024" t="s">
        <v>296</v>
      </c>
      <c r="C3" s="899"/>
      <c r="D3" s="899"/>
      <c r="E3" s="899"/>
      <c r="F3" s="899"/>
      <c r="G3" s="899"/>
      <c r="H3" s="899"/>
      <c r="I3" s="899"/>
      <c r="J3" s="899"/>
      <c r="K3" s="899"/>
      <c r="L3" s="1025"/>
    </row>
    <row r="4" spans="2:12" x14ac:dyDescent="0.3">
      <c r="B4" s="1024"/>
      <c r="C4" s="899"/>
      <c r="D4" s="899"/>
      <c r="E4" s="899"/>
      <c r="F4" s="899"/>
      <c r="G4" s="899"/>
      <c r="H4" s="899"/>
      <c r="I4" s="899"/>
      <c r="J4" s="899"/>
      <c r="K4" s="899"/>
      <c r="L4" s="1025"/>
    </row>
    <row r="5" spans="2:12" x14ac:dyDescent="0.3">
      <c r="B5" s="1024"/>
      <c r="C5" s="899"/>
      <c r="D5" s="899"/>
      <c r="E5" s="899"/>
      <c r="F5" s="899"/>
      <c r="G5" s="899"/>
      <c r="H5" s="899"/>
      <c r="I5" s="899"/>
      <c r="J5" s="899"/>
      <c r="K5" s="899"/>
      <c r="L5" s="1025"/>
    </row>
    <row r="6" spans="2:12" ht="30.75" customHeight="1" x14ac:dyDescent="0.3">
      <c r="B6" s="1024"/>
      <c r="C6" s="899"/>
      <c r="D6" s="899"/>
      <c r="E6" s="899"/>
      <c r="F6" s="899"/>
      <c r="G6" s="899"/>
      <c r="H6" s="899"/>
      <c r="I6" s="899"/>
      <c r="J6" s="899"/>
      <c r="K6" s="899"/>
      <c r="L6" s="1025"/>
    </row>
    <row r="7" spans="2:12" ht="133.5" customHeight="1" thickBot="1" x14ac:dyDescent="0.35">
      <c r="B7" s="1026"/>
      <c r="C7" s="1027"/>
      <c r="D7" s="1027"/>
      <c r="E7" s="1027"/>
      <c r="F7" s="1027"/>
      <c r="G7" s="1027"/>
      <c r="H7" s="1027"/>
      <c r="I7" s="1027"/>
      <c r="J7" s="1027"/>
      <c r="K7" s="1027"/>
      <c r="L7" s="1028"/>
    </row>
    <row r="8" spans="2:12" s="4" customFormat="1" ht="13.5" customHeight="1" thickBot="1" x14ac:dyDescent="0.25">
      <c r="B8" s="1029"/>
      <c r="C8" s="1030"/>
      <c r="D8" s="1030"/>
      <c r="E8" s="1030"/>
      <c r="F8" s="1030"/>
      <c r="G8" s="1030"/>
      <c r="H8" s="1030"/>
      <c r="I8" s="1030"/>
      <c r="J8" s="1030"/>
      <c r="K8" s="1030"/>
      <c r="L8" s="1031"/>
    </row>
    <row r="9" spans="2:12" x14ac:dyDescent="0.3">
      <c r="B9" s="192"/>
    </row>
    <row r="10" spans="2:12" s="4" customFormat="1" ht="13.5" customHeight="1" x14ac:dyDescent="0.2"/>
    <row r="11" spans="2:12" s="4" customFormat="1" ht="19.5" customHeight="1" x14ac:dyDescent="0.2">
      <c r="B11" s="188"/>
    </row>
    <row r="42" spans="18:44" x14ac:dyDescent="0.3">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row>
    <row r="44" spans="18:44" x14ac:dyDescent="0.3">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row>
    <row r="45" spans="18:44" x14ac:dyDescent="0.3">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row>
  </sheetData>
  <sheetProtection algorithmName="SHA-512" hashValue="tTCxoHi4/80pT2GKajGWfbyh3iqcYWaidPoQ9n5MQn40dVbbcNPJZsrvE+OxSgGWExMz5jpTcJdtHmxu4/VEPw==" saltValue="erjH08IRfbNeZ9tFGS4iRA==" spinCount="100000" sheet="1" selectLockedCells="1" selectUnlockedCells="1"/>
  <mergeCells count="2">
    <mergeCell ref="B3:L7"/>
    <mergeCell ref="B8:L8"/>
  </mergeCells>
  <pageMargins left="0.70866141732283472" right="0.70866141732283472" top="0.74803149606299213" bottom="0.74803149606299213" header="0.31496062992125984" footer="0.31496062992125984"/>
  <pageSetup paperSize="9" scale="75" orientation="portrait" r:id="rId1"/>
  <headerFooter>
    <oddFooter>&amp;C_x000D_&amp;1#&amp;"Calibri"&amp;10&amp;K000000 AtkinsRéalis - Baseline / Référence</oddFooter>
  </headerFooter>
  <customProperties>
    <customPr name="GU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8C6D2-AB96-442B-A13C-5FE050CFD59F}">
  <sheetPr>
    <tabColor rgb="FF382573"/>
    <pageSetUpPr fitToPage="1"/>
  </sheetPr>
  <dimension ref="A1:AH142"/>
  <sheetViews>
    <sheetView showGridLines="0" zoomScale="80" zoomScaleNormal="80" workbookViewId="0">
      <selection activeCell="K17" sqref="K17"/>
    </sheetView>
  </sheetViews>
  <sheetFormatPr defaultColWidth="9.42578125" defaultRowHeight="27" customHeight="1" x14ac:dyDescent="0.3"/>
  <cols>
    <col min="1" max="2" width="3.42578125" style="339" customWidth="1"/>
    <col min="3" max="3" width="36.42578125" style="343" customWidth="1"/>
    <col min="4" max="4" width="64" style="342" customWidth="1"/>
    <col min="5" max="6" width="20.42578125" style="342" customWidth="1"/>
    <col min="7" max="7" width="20.42578125" style="341" customWidth="1"/>
    <col min="8" max="8" width="3.42578125" style="340" customWidth="1"/>
    <col min="9" max="9" width="10.42578125" style="340" customWidth="1"/>
    <col min="10" max="10" width="12.42578125" style="339" customWidth="1"/>
    <col min="11" max="11" width="14.42578125" style="339" customWidth="1"/>
    <col min="12" max="12" width="18.28515625" style="339" hidden="1" customWidth="1"/>
    <col min="13" max="13" width="28.42578125" style="339" customWidth="1"/>
    <col min="14" max="14" width="43.42578125" style="339" customWidth="1"/>
    <col min="15" max="15" width="15.7109375" style="339" hidden="1" customWidth="1"/>
    <col min="16" max="16" width="0" style="339" hidden="1" customWidth="1"/>
    <col min="17" max="16384" width="9.42578125" style="339"/>
  </cols>
  <sheetData>
    <row r="1" spans="1:34" ht="16.350000000000001" customHeight="1" x14ac:dyDescent="0.3">
      <c r="A1" s="344"/>
      <c r="B1" s="344"/>
      <c r="C1" s="429"/>
      <c r="D1" s="428"/>
      <c r="E1" s="428"/>
      <c r="F1" s="428"/>
      <c r="G1" s="427"/>
      <c r="H1" s="423"/>
      <c r="I1" s="423"/>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row>
    <row r="2" spans="1:34" ht="17.100000000000001" customHeight="1" x14ac:dyDescent="0.3">
      <c r="A2" s="344"/>
      <c r="B2" s="345"/>
      <c r="C2" s="426"/>
      <c r="D2" s="426"/>
      <c r="E2" s="426"/>
      <c r="F2" s="426"/>
      <c r="G2" s="425"/>
      <c r="H2" s="424"/>
      <c r="I2" s="423"/>
      <c r="J2" s="344"/>
      <c r="K2" s="344"/>
      <c r="L2" s="344"/>
      <c r="M2" s="344"/>
      <c r="N2" s="344"/>
      <c r="O2" s="344"/>
      <c r="P2" s="344"/>
      <c r="Q2" s="344"/>
      <c r="R2" s="344"/>
      <c r="S2" s="344"/>
      <c r="T2" s="344"/>
      <c r="U2" s="344"/>
      <c r="V2" s="344"/>
      <c r="W2" s="344"/>
      <c r="X2" s="344"/>
      <c r="Y2" s="344"/>
      <c r="Z2" s="344"/>
      <c r="AA2" s="344"/>
      <c r="AB2" s="344"/>
      <c r="AC2" s="344"/>
      <c r="AD2" s="344"/>
      <c r="AE2" s="344"/>
      <c r="AF2" s="344"/>
      <c r="AG2" s="344"/>
      <c r="AH2" s="344"/>
    </row>
    <row r="3" spans="1:34" ht="35.1" customHeight="1" x14ac:dyDescent="0.3">
      <c r="A3" s="344"/>
      <c r="B3" s="345"/>
      <c r="C3" s="1037" t="s">
        <v>297</v>
      </c>
      <c r="D3" s="1037"/>
      <c r="E3" s="451"/>
      <c r="F3" s="451"/>
      <c r="G3" s="422"/>
      <c r="H3" s="345"/>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row>
    <row r="4" spans="1:34" ht="46.35" customHeight="1" x14ac:dyDescent="0.3">
      <c r="A4" s="344"/>
      <c r="B4" s="345"/>
      <c r="C4" s="1038"/>
      <c r="D4" s="1038"/>
      <c r="E4" s="452"/>
      <c r="F4" s="452"/>
      <c r="G4" s="421"/>
      <c r="H4" s="345"/>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row>
    <row r="5" spans="1:34" ht="44.85" customHeight="1" thickBot="1" x14ac:dyDescent="0.35">
      <c r="A5" s="344"/>
      <c r="B5" s="345"/>
      <c r="C5" s="1039" t="s">
        <v>298</v>
      </c>
      <c r="D5" s="1039"/>
      <c r="E5" s="1039"/>
      <c r="F5" s="1039"/>
      <c r="G5" s="1039"/>
      <c r="H5" s="345"/>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row>
    <row r="6" spans="1:34" s="418" customFormat="1" ht="30" customHeight="1" thickBot="1" x14ac:dyDescent="0.4">
      <c r="A6" s="406"/>
      <c r="B6" s="420"/>
      <c r="C6" s="401" t="s">
        <v>49</v>
      </c>
      <c r="D6" s="419" t="s">
        <v>299</v>
      </c>
      <c r="E6" s="399" t="s">
        <v>300</v>
      </c>
      <c r="F6" s="399" t="s">
        <v>301</v>
      </c>
      <c r="G6" s="398" t="s">
        <v>302</v>
      </c>
      <c r="H6" s="408"/>
      <c r="I6" s="407"/>
      <c r="J6" s="1041" t="s">
        <v>303</v>
      </c>
      <c r="K6" s="1041"/>
      <c r="L6" s="1041"/>
      <c r="M6" s="1041"/>
      <c r="N6" s="1041"/>
      <c r="O6" s="344"/>
      <c r="P6" s="344"/>
      <c r="Q6" s="344"/>
      <c r="R6" s="344"/>
      <c r="S6" s="406"/>
      <c r="T6" s="406"/>
      <c r="U6" s="406"/>
      <c r="V6" s="406"/>
      <c r="W6" s="406"/>
      <c r="X6" s="406"/>
      <c r="Y6" s="406"/>
      <c r="Z6" s="406"/>
      <c r="AA6" s="406"/>
      <c r="AB6" s="406"/>
      <c r="AC6" s="406"/>
      <c r="AD6" s="406"/>
      <c r="AE6" s="406"/>
      <c r="AF6" s="406"/>
      <c r="AG6" s="406"/>
      <c r="AH6" s="406"/>
    </row>
    <row r="7" spans="1:34" ht="27" customHeight="1" x14ac:dyDescent="0.3">
      <c r="A7" s="344"/>
      <c r="B7" s="345"/>
      <c r="C7" s="362" t="s">
        <v>304</v>
      </c>
      <c r="D7" s="354" t="s">
        <v>305</v>
      </c>
      <c r="E7" s="360" t="s">
        <v>306</v>
      </c>
      <c r="F7" s="417"/>
      <c r="G7" s="359">
        <v>20</v>
      </c>
      <c r="H7" s="357"/>
      <c r="I7" s="356"/>
      <c r="J7" s="1040" t="s">
        <v>307</v>
      </c>
      <c r="K7" s="1040"/>
      <c r="L7" s="1040"/>
      <c r="M7" s="1040"/>
      <c r="N7" s="1040"/>
      <c r="O7" s="344"/>
      <c r="P7" s="344"/>
      <c r="Q7" s="344"/>
      <c r="R7" s="344"/>
      <c r="S7" s="344"/>
      <c r="T7" s="344"/>
      <c r="U7" s="344"/>
      <c r="V7" s="344"/>
      <c r="W7" s="344"/>
      <c r="X7" s="344"/>
      <c r="Y7" s="344"/>
      <c r="Z7" s="344"/>
      <c r="AA7" s="344"/>
      <c r="AB7" s="344"/>
      <c r="AC7" s="344"/>
      <c r="AD7" s="344"/>
      <c r="AE7" s="344"/>
      <c r="AF7" s="344"/>
      <c r="AG7" s="344"/>
      <c r="AH7" s="344"/>
    </row>
    <row r="8" spans="1:34" ht="27" customHeight="1" x14ac:dyDescent="0.3">
      <c r="A8" s="344"/>
      <c r="B8" s="345"/>
      <c r="C8" s="367"/>
      <c r="D8" s="354" t="s">
        <v>308</v>
      </c>
      <c r="E8" s="365" t="s">
        <v>306</v>
      </c>
      <c r="F8" s="416"/>
      <c r="G8" s="364">
        <v>20</v>
      </c>
      <c r="H8" s="357"/>
      <c r="I8" s="356"/>
      <c r="J8" s="1040"/>
      <c r="K8" s="1040"/>
      <c r="L8" s="1040"/>
      <c r="M8" s="1040"/>
      <c r="N8" s="1040"/>
      <c r="O8" s="344"/>
      <c r="P8" s="344"/>
      <c r="Q8" s="344"/>
      <c r="R8" s="344"/>
      <c r="S8" s="344"/>
      <c r="T8" s="344"/>
      <c r="U8" s="344"/>
      <c r="V8" s="344"/>
      <c r="W8" s="344"/>
      <c r="X8" s="344"/>
      <c r="Y8" s="344"/>
      <c r="Z8" s="344"/>
      <c r="AA8" s="344"/>
      <c r="AB8" s="344"/>
      <c r="AC8" s="344"/>
      <c r="AD8" s="344"/>
      <c r="AE8" s="344"/>
      <c r="AF8" s="344"/>
      <c r="AG8" s="344"/>
      <c r="AH8" s="344"/>
    </row>
    <row r="9" spans="1:34" ht="27" customHeight="1" x14ac:dyDescent="0.3">
      <c r="A9" s="344"/>
      <c r="B9" s="345"/>
      <c r="C9" s="358"/>
      <c r="D9" s="354" t="s">
        <v>309</v>
      </c>
      <c r="E9" s="353" t="s">
        <v>306</v>
      </c>
      <c r="F9" s="413"/>
      <c r="G9" s="352">
        <v>25</v>
      </c>
      <c r="H9" s="357"/>
      <c r="I9" s="356"/>
      <c r="J9" s="1040"/>
      <c r="K9" s="1040"/>
      <c r="L9" s="1040"/>
      <c r="M9" s="1040"/>
      <c r="N9" s="1040"/>
      <c r="O9" s="344"/>
      <c r="P9" s="344"/>
      <c r="Q9" s="344"/>
      <c r="R9" s="344"/>
      <c r="S9" s="344"/>
      <c r="T9" s="344"/>
      <c r="U9" s="344"/>
      <c r="V9" s="344"/>
      <c r="W9" s="344"/>
      <c r="X9" s="344"/>
      <c r="Y9" s="344"/>
      <c r="Z9" s="344"/>
      <c r="AA9" s="344"/>
      <c r="AB9" s="344"/>
      <c r="AC9" s="344"/>
      <c r="AD9" s="344"/>
      <c r="AE9" s="344"/>
      <c r="AF9" s="344"/>
      <c r="AG9" s="344"/>
      <c r="AH9" s="344"/>
    </row>
    <row r="10" spans="1:34" ht="27" customHeight="1" x14ac:dyDescent="0.3">
      <c r="A10" s="344"/>
      <c r="B10" s="345"/>
      <c r="C10" s="358"/>
      <c r="D10" s="354" t="s">
        <v>310</v>
      </c>
      <c r="E10" s="353" t="s">
        <v>306</v>
      </c>
      <c r="F10" s="413"/>
      <c r="G10" s="352">
        <v>25</v>
      </c>
      <c r="H10" s="357"/>
      <c r="I10" s="356"/>
      <c r="J10" s="1040"/>
      <c r="K10" s="1040"/>
      <c r="L10" s="1040"/>
      <c r="M10" s="1040"/>
      <c r="N10" s="1040"/>
      <c r="O10" s="344"/>
      <c r="P10" s="344"/>
      <c r="Q10" s="344"/>
      <c r="R10" s="344"/>
      <c r="S10" s="344"/>
      <c r="T10" s="344"/>
      <c r="U10" s="344"/>
      <c r="V10" s="344"/>
      <c r="W10" s="344"/>
      <c r="X10" s="344"/>
      <c r="Y10" s="344"/>
      <c r="Z10" s="344"/>
      <c r="AA10" s="344"/>
      <c r="AB10" s="344"/>
      <c r="AC10" s="344"/>
      <c r="AD10" s="344"/>
      <c r="AE10" s="344"/>
      <c r="AF10" s="344"/>
      <c r="AG10" s="344"/>
      <c r="AH10" s="344"/>
    </row>
    <row r="11" spans="1:34" s="411" customFormat="1" ht="27" customHeight="1" x14ac:dyDescent="0.3">
      <c r="A11" s="415"/>
      <c r="B11" s="414"/>
      <c r="C11" s="358"/>
      <c r="D11" s="354" t="s">
        <v>311</v>
      </c>
      <c r="E11" s="353" t="s">
        <v>306</v>
      </c>
      <c r="F11" s="413"/>
      <c r="G11" s="412">
        <v>30</v>
      </c>
      <c r="H11" s="357"/>
      <c r="I11" s="356"/>
      <c r="J11" s="1040"/>
      <c r="K11" s="1040"/>
      <c r="L11" s="1040"/>
      <c r="M11" s="1040"/>
      <c r="N11" s="1040"/>
      <c r="O11" s="344"/>
      <c r="P11" s="344"/>
      <c r="Q11" s="344"/>
      <c r="R11" s="344"/>
      <c r="S11" s="344"/>
      <c r="T11" s="344"/>
      <c r="U11" s="344"/>
      <c r="V11" s="344"/>
      <c r="W11" s="344"/>
      <c r="X11" s="344"/>
      <c r="Y11" s="344"/>
      <c r="Z11" s="344"/>
      <c r="AA11" s="344"/>
      <c r="AB11" s="344"/>
      <c r="AC11" s="344"/>
      <c r="AD11" s="344"/>
      <c r="AE11" s="344"/>
      <c r="AF11" s="344"/>
      <c r="AG11" s="344"/>
      <c r="AH11" s="344"/>
    </row>
    <row r="12" spans="1:34" s="411" customFormat="1" ht="27" customHeight="1" x14ac:dyDescent="0.3">
      <c r="A12" s="415"/>
      <c r="B12" s="414"/>
      <c r="C12" s="396"/>
      <c r="D12" s="395" t="s">
        <v>312</v>
      </c>
      <c r="E12" s="383" t="s">
        <v>306</v>
      </c>
      <c r="F12" s="413"/>
      <c r="G12" s="412">
        <v>10</v>
      </c>
      <c r="H12" s="357"/>
      <c r="I12" s="356"/>
      <c r="J12" s="517"/>
      <c r="K12" s="517"/>
      <c r="L12" s="517"/>
      <c r="M12" s="517"/>
      <c r="N12" s="517"/>
      <c r="O12" s="344"/>
      <c r="P12" s="344"/>
      <c r="Q12" s="344"/>
      <c r="R12" s="344"/>
      <c r="S12" s="344"/>
      <c r="T12" s="344"/>
      <c r="U12" s="344"/>
      <c r="V12" s="344"/>
      <c r="W12" s="344"/>
      <c r="X12" s="344"/>
      <c r="Y12" s="344"/>
      <c r="Z12" s="344"/>
      <c r="AA12" s="344"/>
      <c r="AB12" s="344"/>
      <c r="AC12" s="344"/>
      <c r="AD12" s="344"/>
      <c r="AE12" s="344"/>
      <c r="AF12" s="344"/>
      <c r="AG12" s="344"/>
      <c r="AH12" s="344"/>
    </row>
    <row r="13" spans="1:34" s="405" customFormat="1" ht="27" customHeight="1" x14ac:dyDescent="0.35">
      <c r="A13" s="410"/>
      <c r="B13" s="409"/>
      <c r="C13" s="396"/>
      <c r="D13" s="395" t="s">
        <v>313</v>
      </c>
      <c r="E13" s="383" t="s">
        <v>306</v>
      </c>
      <c r="F13" s="404"/>
      <c r="G13" s="403">
        <v>12</v>
      </c>
      <c r="H13" s="408"/>
      <c r="I13" s="407"/>
      <c r="J13" s="344"/>
      <c r="K13" s="344"/>
      <c r="L13" s="344"/>
      <c r="M13" s="344"/>
      <c r="N13" s="344"/>
      <c r="O13" s="344"/>
      <c r="P13" s="344"/>
      <c r="Q13" s="344"/>
      <c r="R13" s="344"/>
      <c r="S13" s="344"/>
      <c r="T13" s="344"/>
      <c r="U13" s="406"/>
      <c r="V13" s="406"/>
      <c r="W13" s="406"/>
      <c r="X13" s="406"/>
      <c r="Y13" s="406"/>
      <c r="Z13" s="406"/>
      <c r="AA13" s="406"/>
      <c r="AB13" s="406"/>
      <c r="AC13" s="406"/>
      <c r="AD13" s="406"/>
      <c r="AE13" s="406"/>
      <c r="AF13" s="406"/>
      <c r="AG13" s="406"/>
      <c r="AH13" s="406"/>
    </row>
    <row r="14" spans="1:34" ht="27" customHeight="1" thickBot="1" x14ac:dyDescent="0.35">
      <c r="A14" s="344"/>
      <c r="B14" s="345"/>
      <c r="C14" s="396"/>
      <c r="D14" s="395" t="s">
        <v>314</v>
      </c>
      <c r="E14" s="383" t="s">
        <v>306</v>
      </c>
      <c r="F14" s="404"/>
      <c r="G14" s="403">
        <v>25</v>
      </c>
      <c r="H14" s="357"/>
      <c r="I14" s="356"/>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row>
    <row r="15" spans="1:34" ht="27" customHeight="1" thickBot="1" x14ac:dyDescent="0.35">
      <c r="A15" s="344"/>
      <c r="B15" s="345"/>
      <c r="C15" s="396"/>
      <c r="D15" s="348" t="s">
        <v>315</v>
      </c>
      <c r="E15" s="347" t="s">
        <v>306</v>
      </c>
      <c r="F15" s="402"/>
      <c r="G15" s="372">
        <v>20</v>
      </c>
      <c r="H15" s="357"/>
      <c r="I15" s="356"/>
      <c r="J15" s="453" t="s">
        <v>316</v>
      </c>
      <c r="K15" s="243"/>
      <c r="L15" s="243"/>
      <c r="M15" s="243"/>
      <c r="N15" s="244"/>
      <c r="O15" s="344"/>
      <c r="P15" s="344"/>
      <c r="Q15" s="344"/>
      <c r="R15" s="344"/>
      <c r="S15" s="344"/>
      <c r="T15" s="344"/>
      <c r="U15" s="344"/>
      <c r="V15" s="344"/>
      <c r="W15" s="344"/>
      <c r="X15" s="344"/>
      <c r="Y15" s="344"/>
      <c r="Z15" s="344"/>
      <c r="AA15" s="344"/>
      <c r="AB15" s="344"/>
      <c r="AC15" s="344"/>
      <c r="AD15" s="344"/>
      <c r="AE15" s="344"/>
      <c r="AF15" s="344"/>
      <c r="AG15" s="344"/>
      <c r="AH15" s="344"/>
    </row>
    <row r="16" spans="1:34" ht="27" customHeight="1" thickBot="1" x14ac:dyDescent="0.35">
      <c r="A16" s="344"/>
      <c r="B16" s="345"/>
      <c r="C16" s="401" t="s">
        <v>49</v>
      </c>
      <c r="D16" s="400" t="s">
        <v>299</v>
      </c>
      <c r="E16" s="399" t="s">
        <v>300</v>
      </c>
      <c r="F16" s="399" t="s">
        <v>301</v>
      </c>
      <c r="G16" s="398" t="s">
        <v>317</v>
      </c>
      <c r="H16" s="357"/>
      <c r="I16" s="356"/>
      <c r="J16" s="454" t="s">
        <v>318</v>
      </c>
      <c r="K16" s="455" t="s">
        <v>319</v>
      </c>
      <c r="L16" s="516" t="s">
        <v>320</v>
      </c>
      <c r="M16" s="516"/>
      <c r="N16" s="456"/>
      <c r="O16" s="443" t="s">
        <v>321</v>
      </c>
      <c r="P16" s="444"/>
      <c r="Q16" s="344"/>
      <c r="R16" s="344"/>
      <c r="S16" s="344"/>
      <c r="T16" s="344"/>
      <c r="U16" s="344"/>
      <c r="V16" s="344"/>
      <c r="W16" s="344"/>
      <c r="X16" s="344"/>
      <c r="Y16" s="344"/>
      <c r="Z16" s="344"/>
      <c r="AA16" s="344"/>
      <c r="AB16" s="344"/>
      <c r="AC16" s="344"/>
      <c r="AD16" s="344"/>
      <c r="AE16" s="344"/>
      <c r="AF16" s="344"/>
      <c r="AG16" s="344"/>
      <c r="AH16" s="344"/>
    </row>
    <row r="17" spans="1:34" ht="27" customHeight="1" x14ac:dyDescent="0.3">
      <c r="A17" s="344"/>
      <c r="B17" s="345"/>
      <c r="C17" s="397" t="s">
        <v>322</v>
      </c>
      <c r="D17" s="361" t="s">
        <v>323</v>
      </c>
      <c r="E17" s="360" t="s">
        <v>306</v>
      </c>
      <c r="F17" s="360" t="s">
        <v>306</v>
      </c>
      <c r="G17" s="359">
        <v>8.42</v>
      </c>
      <c r="H17" s="357"/>
      <c r="I17" s="356"/>
      <c r="J17" s="193" t="s">
        <v>136</v>
      </c>
      <c r="K17" s="194">
        <f>0.177+0.0183</f>
        <v>0.1953</v>
      </c>
      <c r="L17" s="204">
        <v>45175</v>
      </c>
      <c r="M17" s="205" t="s">
        <v>324</v>
      </c>
      <c r="N17" s="206"/>
      <c r="O17" s="445">
        <v>0.44932</v>
      </c>
      <c r="P17" s="444" t="s">
        <v>325</v>
      </c>
      <c r="Q17" s="344"/>
      <c r="R17" s="344"/>
      <c r="S17" s="344"/>
      <c r="T17" s="344"/>
      <c r="U17" s="344"/>
      <c r="V17" s="344"/>
      <c r="W17" s="344"/>
      <c r="X17" s="344"/>
      <c r="Y17" s="344"/>
      <c r="Z17" s="344"/>
      <c r="AA17" s="344"/>
      <c r="AB17" s="344"/>
      <c r="AC17" s="344"/>
      <c r="AD17" s="344"/>
      <c r="AE17" s="344"/>
      <c r="AF17" s="344"/>
      <c r="AG17" s="344"/>
      <c r="AH17" s="344"/>
    </row>
    <row r="18" spans="1:34" ht="27" customHeight="1" thickBot="1" x14ac:dyDescent="0.35">
      <c r="A18" s="344"/>
      <c r="B18" s="345"/>
      <c r="C18" s="396"/>
      <c r="D18" s="395" t="s">
        <v>326</v>
      </c>
      <c r="E18" s="392" t="s">
        <v>306</v>
      </c>
      <c r="F18" s="383" t="s">
        <v>306</v>
      </c>
      <c r="G18" s="394">
        <v>8.4208754827908177</v>
      </c>
      <c r="H18" s="357"/>
      <c r="I18" s="356"/>
      <c r="J18" s="195" t="s">
        <v>137</v>
      </c>
      <c r="K18" s="196">
        <v>0.18296000000000001</v>
      </c>
      <c r="L18" s="204">
        <v>44377</v>
      </c>
      <c r="M18" s="207" t="s">
        <v>327</v>
      </c>
      <c r="N18" s="206"/>
      <c r="O18" s="445">
        <v>0.184</v>
      </c>
      <c r="P18" s="444" t="s">
        <v>328</v>
      </c>
      <c r="Q18" s="344"/>
      <c r="R18" s="344"/>
      <c r="S18" s="344"/>
      <c r="T18" s="344"/>
      <c r="U18" s="344"/>
      <c r="V18" s="344"/>
      <c r="W18" s="344"/>
      <c r="X18" s="344"/>
      <c r="Y18" s="344"/>
      <c r="Z18" s="344"/>
      <c r="AA18" s="344"/>
      <c r="AB18" s="344"/>
      <c r="AC18" s="344"/>
      <c r="AD18" s="344"/>
      <c r="AE18" s="344"/>
      <c r="AF18" s="344"/>
      <c r="AG18" s="344"/>
      <c r="AH18" s="344"/>
    </row>
    <row r="19" spans="1:34" ht="27" customHeight="1" x14ac:dyDescent="0.3">
      <c r="A19" s="344"/>
      <c r="B19" s="345"/>
      <c r="C19" s="362" t="s">
        <v>329</v>
      </c>
      <c r="D19" s="361" t="s">
        <v>330</v>
      </c>
      <c r="E19" s="391"/>
      <c r="F19" s="391" t="s">
        <v>306</v>
      </c>
      <c r="G19" s="359">
        <v>6.84</v>
      </c>
      <c r="H19" s="357"/>
      <c r="I19" s="356"/>
      <c r="J19" s="197" t="s">
        <v>331</v>
      </c>
      <c r="K19" s="196">
        <v>0.25650000000000001</v>
      </c>
      <c r="L19" s="204">
        <v>44377</v>
      </c>
      <c r="M19" s="207" t="s">
        <v>327</v>
      </c>
      <c r="N19" s="206"/>
      <c r="O19" s="446">
        <v>0.27631</v>
      </c>
      <c r="P19" s="444" t="s">
        <v>332</v>
      </c>
      <c r="Q19" s="344"/>
      <c r="R19" s="344"/>
      <c r="S19" s="344"/>
      <c r="T19" s="344"/>
      <c r="U19" s="344"/>
      <c r="V19" s="344"/>
      <c r="W19" s="344"/>
      <c r="X19" s="344"/>
      <c r="Y19" s="344"/>
      <c r="Z19" s="344"/>
      <c r="AA19" s="344"/>
      <c r="AB19" s="344"/>
      <c r="AC19" s="344"/>
      <c r="AD19" s="344"/>
      <c r="AE19" s="344"/>
      <c r="AF19" s="344"/>
      <c r="AG19" s="344"/>
      <c r="AH19" s="344"/>
    </row>
    <row r="20" spans="1:34" ht="27" customHeight="1" x14ac:dyDescent="0.3">
      <c r="A20" s="344"/>
      <c r="B20" s="345"/>
      <c r="C20" s="358"/>
      <c r="D20" s="354" t="s">
        <v>333</v>
      </c>
      <c r="E20" s="383"/>
      <c r="F20" s="383" t="s">
        <v>306</v>
      </c>
      <c r="G20" s="352">
        <v>8.2079999999999984</v>
      </c>
      <c r="H20" s="357"/>
      <c r="I20" s="356"/>
      <c r="J20" s="198" t="s">
        <v>334</v>
      </c>
      <c r="K20" s="752">
        <v>0.26812999999999998</v>
      </c>
      <c r="L20" s="204">
        <v>44377</v>
      </c>
      <c r="M20" s="207" t="s">
        <v>327</v>
      </c>
      <c r="N20" s="206" t="s">
        <v>335</v>
      </c>
      <c r="O20" s="446">
        <v>0.26782</v>
      </c>
      <c r="P20" s="444" t="s">
        <v>336</v>
      </c>
      <c r="Q20" s="344"/>
      <c r="R20" s="344"/>
      <c r="S20" s="344"/>
      <c r="T20" s="344"/>
      <c r="U20" s="344"/>
      <c r="V20" s="344"/>
      <c r="W20" s="344"/>
      <c r="X20" s="344"/>
      <c r="Y20" s="344"/>
      <c r="Z20" s="344"/>
      <c r="AA20" s="344"/>
      <c r="AB20" s="344"/>
      <c r="AC20" s="344"/>
      <c r="AD20" s="344"/>
      <c r="AE20" s="344"/>
      <c r="AF20" s="344"/>
      <c r="AG20" s="344"/>
      <c r="AH20" s="344"/>
    </row>
    <row r="21" spans="1:34" ht="27" customHeight="1" x14ac:dyDescent="0.3">
      <c r="A21" s="344"/>
      <c r="B21" s="345"/>
      <c r="C21" s="358"/>
      <c r="D21" s="354" t="s">
        <v>337</v>
      </c>
      <c r="E21" s="383"/>
      <c r="F21" s="383" t="s">
        <v>306</v>
      </c>
      <c r="G21" s="352">
        <v>14.44</v>
      </c>
      <c r="H21" s="357"/>
      <c r="I21" s="356"/>
      <c r="J21" s="198" t="s">
        <v>338</v>
      </c>
      <c r="K21" s="199">
        <v>0.24676999999999999</v>
      </c>
      <c r="L21" s="204">
        <v>44377</v>
      </c>
      <c r="M21" s="207" t="s">
        <v>327</v>
      </c>
      <c r="N21" s="206" t="s">
        <v>339</v>
      </c>
      <c r="O21" s="446">
        <v>0.24665999999999999</v>
      </c>
      <c r="P21" s="444" t="s">
        <v>340</v>
      </c>
      <c r="Q21" s="344"/>
      <c r="R21" s="344"/>
      <c r="S21" s="344"/>
      <c r="T21" s="344"/>
      <c r="U21" s="344"/>
      <c r="V21" s="344"/>
      <c r="W21" s="344"/>
      <c r="X21" s="344"/>
      <c r="Y21" s="344"/>
      <c r="Z21" s="344"/>
      <c r="AA21" s="344"/>
      <c r="AB21" s="344"/>
      <c r="AC21" s="344"/>
      <c r="AD21" s="344"/>
      <c r="AE21" s="344"/>
      <c r="AF21" s="344"/>
      <c r="AG21" s="344"/>
      <c r="AH21" s="344"/>
    </row>
    <row r="22" spans="1:34" ht="27" customHeight="1" x14ac:dyDescent="0.3">
      <c r="A22" s="344"/>
      <c r="B22" s="345"/>
      <c r="C22" s="358"/>
      <c r="D22" s="393" t="s">
        <v>341</v>
      </c>
      <c r="E22" s="383"/>
      <c r="F22" s="383" t="s">
        <v>306</v>
      </c>
      <c r="G22" s="352">
        <v>13.68</v>
      </c>
      <c r="H22" s="357"/>
      <c r="I22" s="356"/>
      <c r="J22" s="200" t="s">
        <v>141</v>
      </c>
      <c r="K22" s="199">
        <v>0.34721000000000002</v>
      </c>
      <c r="L22" s="204">
        <v>44377</v>
      </c>
      <c r="M22" s="207" t="s">
        <v>327</v>
      </c>
      <c r="N22" s="206"/>
      <c r="O22" s="446">
        <v>0.32235000000000003</v>
      </c>
      <c r="P22" s="444" t="s">
        <v>342</v>
      </c>
      <c r="Q22" s="344"/>
      <c r="R22" s="344"/>
      <c r="S22" s="344"/>
      <c r="T22" s="344"/>
      <c r="U22" s="344"/>
      <c r="V22" s="344"/>
      <c r="W22" s="344"/>
      <c r="X22" s="344"/>
      <c r="Y22" s="344"/>
      <c r="Z22" s="344"/>
      <c r="AA22" s="344"/>
      <c r="AB22" s="344"/>
      <c r="AC22" s="344"/>
      <c r="AD22" s="344"/>
      <c r="AE22" s="344"/>
      <c r="AF22" s="344"/>
      <c r="AG22" s="344"/>
      <c r="AH22" s="344"/>
    </row>
    <row r="23" spans="1:34" ht="27" customHeight="1" thickBot="1" x14ac:dyDescent="0.35">
      <c r="A23" s="344"/>
      <c r="B23" s="345"/>
      <c r="C23" s="363"/>
      <c r="D23" s="348" t="s">
        <v>343</v>
      </c>
      <c r="E23" s="383"/>
      <c r="F23" s="392" t="s">
        <v>306</v>
      </c>
      <c r="G23" s="346">
        <v>13.68</v>
      </c>
      <c r="H23" s="357"/>
      <c r="I23" s="356"/>
      <c r="J23" s="201" t="s">
        <v>142</v>
      </c>
      <c r="K23" s="199">
        <v>0.2145</v>
      </c>
      <c r="L23" s="204">
        <v>44377</v>
      </c>
      <c r="M23" s="207" t="s">
        <v>327</v>
      </c>
      <c r="N23" s="206"/>
      <c r="O23" s="446">
        <v>0.21457999999999999</v>
      </c>
      <c r="P23" s="444" t="s">
        <v>344</v>
      </c>
      <c r="Q23" s="344"/>
      <c r="R23" s="344"/>
      <c r="S23" s="344"/>
      <c r="T23" s="344"/>
      <c r="U23" s="344"/>
      <c r="V23" s="344"/>
      <c r="W23" s="344"/>
      <c r="X23" s="344"/>
      <c r="Y23" s="344"/>
      <c r="Z23" s="344"/>
      <c r="AA23" s="344"/>
      <c r="AB23" s="344"/>
      <c r="AC23" s="344"/>
      <c r="AD23" s="344"/>
      <c r="AE23" s="344"/>
      <c r="AF23" s="344"/>
      <c r="AG23" s="344"/>
      <c r="AH23" s="344"/>
    </row>
    <row r="24" spans="1:34" ht="27" customHeight="1" x14ac:dyDescent="0.3">
      <c r="A24" s="344"/>
      <c r="B24" s="345"/>
      <c r="C24" s="362" t="s">
        <v>345</v>
      </c>
      <c r="D24" s="361" t="s">
        <v>346</v>
      </c>
      <c r="E24" s="360" t="s">
        <v>306</v>
      </c>
      <c r="F24" s="391" t="s">
        <v>306</v>
      </c>
      <c r="G24" s="359">
        <v>15.2</v>
      </c>
      <c r="H24" s="357"/>
      <c r="I24" s="356"/>
      <c r="J24" s="202" t="s">
        <v>144</v>
      </c>
      <c r="K24" s="199">
        <v>1.15E-2</v>
      </c>
      <c r="L24" s="204">
        <v>44377</v>
      </c>
      <c r="M24" s="207" t="s">
        <v>347</v>
      </c>
      <c r="N24" s="206"/>
      <c r="O24" s="446">
        <v>3.7440000000000001E-2</v>
      </c>
      <c r="P24" s="444" t="s">
        <v>348</v>
      </c>
      <c r="Q24" s="344"/>
      <c r="R24" s="344"/>
      <c r="S24" s="344"/>
      <c r="T24" s="344"/>
      <c r="U24" s="344"/>
      <c r="V24" s="344"/>
      <c r="W24" s="344"/>
      <c r="X24" s="344"/>
      <c r="Y24" s="344"/>
      <c r="Z24" s="344"/>
      <c r="AA24" s="344"/>
      <c r="AB24" s="344"/>
      <c r="AC24" s="344"/>
      <c r="AD24" s="344"/>
      <c r="AE24" s="344"/>
      <c r="AF24" s="344"/>
      <c r="AG24" s="344"/>
      <c r="AH24" s="344"/>
    </row>
    <row r="25" spans="1:34" ht="27" customHeight="1" thickBot="1" x14ac:dyDescent="0.35">
      <c r="A25" s="344"/>
      <c r="B25" s="345"/>
      <c r="C25" s="363"/>
      <c r="D25" s="348" t="s">
        <v>349</v>
      </c>
      <c r="E25" s="347" t="s">
        <v>306</v>
      </c>
      <c r="F25" s="347" t="s">
        <v>306</v>
      </c>
      <c r="G25" s="346">
        <v>15.2</v>
      </c>
      <c r="H25" s="357"/>
      <c r="I25" s="356"/>
      <c r="J25" s="198" t="s">
        <v>145</v>
      </c>
      <c r="K25" s="199">
        <v>1.15E-2</v>
      </c>
      <c r="L25" s="204">
        <v>44377</v>
      </c>
      <c r="M25" s="207" t="s">
        <v>327</v>
      </c>
      <c r="N25" s="206"/>
      <c r="O25" s="447">
        <v>7.92E-3</v>
      </c>
      <c r="P25" s="444" t="s">
        <v>350</v>
      </c>
      <c r="Q25" s="344"/>
      <c r="R25" s="344"/>
      <c r="S25" s="344"/>
      <c r="T25" s="344"/>
      <c r="U25" s="344"/>
      <c r="V25" s="344"/>
      <c r="W25" s="344"/>
      <c r="X25" s="344"/>
      <c r="Y25" s="344"/>
      <c r="Z25" s="344"/>
      <c r="AA25" s="344"/>
      <c r="AB25" s="344"/>
      <c r="AC25" s="344"/>
      <c r="AD25" s="344"/>
      <c r="AE25" s="344"/>
      <c r="AF25" s="344"/>
      <c r="AG25" s="344"/>
      <c r="AH25" s="344"/>
    </row>
    <row r="26" spans="1:34" ht="27" customHeight="1" thickBot="1" x14ac:dyDescent="0.35">
      <c r="A26" s="344"/>
      <c r="B26" s="345"/>
      <c r="C26" s="390" t="s">
        <v>351</v>
      </c>
      <c r="D26" s="361" t="s">
        <v>352</v>
      </c>
      <c r="E26" s="383" t="s">
        <v>306</v>
      </c>
      <c r="F26" s="383"/>
      <c r="G26" s="359">
        <v>10.83</v>
      </c>
      <c r="H26" s="357"/>
      <c r="I26" s="356"/>
      <c r="J26" s="195" t="s">
        <v>353</v>
      </c>
      <c r="K26" s="203">
        <v>2.2000000000000001E-4</v>
      </c>
      <c r="L26" s="204">
        <v>44377</v>
      </c>
      <c r="M26" s="208" t="s">
        <v>347</v>
      </c>
      <c r="N26" s="209"/>
      <c r="O26" s="448">
        <v>2.6419999999999999E-2</v>
      </c>
      <c r="P26" s="444" t="s">
        <v>354</v>
      </c>
      <c r="Q26" s="344"/>
      <c r="R26" s="344"/>
      <c r="S26" s="344"/>
      <c r="T26" s="344"/>
      <c r="U26" s="344"/>
      <c r="V26" s="344"/>
      <c r="W26" s="344"/>
      <c r="X26" s="344"/>
      <c r="Y26" s="344"/>
      <c r="Z26" s="344"/>
      <c r="AA26" s="344"/>
      <c r="AB26" s="344"/>
      <c r="AC26" s="344"/>
      <c r="AD26" s="344"/>
      <c r="AE26" s="344"/>
      <c r="AF26" s="344"/>
      <c r="AG26" s="344"/>
      <c r="AH26" s="344"/>
    </row>
    <row r="27" spans="1:34" ht="27" customHeight="1" thickBot="1" x14ac:dyDescent="0.4">
      <c r="A27" s="344"/>
      <c r="B27" s="345"/>
      <c r="C27" s="389"/>
      <c r="D27" s="388" t="s">
        <v>355</v>
      </c>
      <c r="E27" s="383" t="s">
        <v>306</v>
      </c>
      <c r="F27" s="383"/>
      <c r="G27" s="387">
        <v>6.84</v>
      </c>
      <c r="H27" s="357"/>
      <c r="I27" s="356"/>
      <c r="J27" s="210" t="s">
        <v>356</v>
      </c>
      <c r="K27" s="1034" t="s">
        <v>357</v>
      </c>
      <c r="L27" s="1035"/>
      <c r="M27" s="1035"/>
      <c r="N27" s="1036"/>
      <c r="O27" s="449"/>
      <c r="P27" s="444"/>
      <c r="Q27" s="344"/>
      <c r="R27" s="344"/>
      <c r="S27" s="344"/>
      <c r="T27" s="344"/>
      <c r="U27" s="344"/>
      <c r="V27" s="344"/>
      <c r="W27" s="344"/>
      <c r="X27" s="344"/>
      <c r="Y27" s="344"/>
      <c r="Z27" s="344"/>
      <c r="AA27" s="344"/>
      <c r="AB27" s="344"/>
      <c r="AC27" s="344"/>
      <c r="AD27" s="344"/>
      <c r="AE27" s="344"/>
      <c r="AF27" s="344"/>
      <c r="AG27" s="344"/>
      <c r="AH27" s="344"/>
    </row>
    <row r="28" spans="1:34" ht="27" customHeight="1" thickBot="1" x14ac:dyDescent="0.35">
      <c r="A28" s="344"/>
      <c r="B28" s="345"/>
      <c r="C28" s="386"/>
      <c r="D28" s="385" t="s">
        <v>358</v>
      </c>
      <c r="E28" s="383" t="s">
        <v>306</v>
      </c>
      <c r="F28" s="383"/>
      <c r="G28" s="384">
        <v>25</v>
      </c>
      <c r="H28" s="357"/>
      <c r="I28" s="356"/>
      <c r="J28" s="211"/>
      <c r="K28" s="212"/>
      <c r="L28" s="212"/>
      <c r="M28" s="212"/>
      <c r="N28" s="213"/>
      <c r="O28" s="344"/>
      <c r="P28" s="344"/>
      <c r="Q28" s="344"/>
      <c r="R28" s="344"/>
      <c r="S28" s="344"/>
      <c r="T28" s="344"/>
      <c r="U28" s="344"/>
      <c r="V28" s="344"/>
      <c r="W28" s="344"/>
      <c r="X28" s="344"/>
      <c r="Y28" s="344"/>
      <c r="Z28" s="344"/>
      <c r="AA28" s="344"/>
      <c r="AB28" s="344"/>
      <c r="AC28" s="344"/>
      <c r="AD28" s="344"/>
      <c r="AE28" s="344"/>
      <c r="AF28" s="344"/>
      <c r="AG28" s="344"/>
      <c r="AH28" s="344"/>
    </row>
    <row r="29" spans="1:34" ht="27" customHeight="1" x14ac:dyDescent="0.3">
      <c r="A29" s="344"/>
      <c r="B29" s="345"/>
      <c r="C29" s="358"/>
      <c r="D29" s="385" t="s">
        <v>359</v>
      </c>
      <c r="E29" s="383" t="s">
        <v>306</v>
      </c>
      <c r="F29" s="383"/>
      <c r="G29" s="384">
        <v>15</v>
      </c>
      <c r="H29" s="357"/>
      <c r="I29" s="356"/>
      <c r="J29" s="344"/>
      <c r="K29" s="344"/>
      <c r="L29" s="344"/>
      <c r="M29" s="344"/>
      <c r="N29" s="344"/>
      <c r="O29" s="344"/>
      <c r="P29" s="344"/>
      <c r="Q29" s="344"/>
      <c r="R29" s="344"/>
      <c r="S29" s="344"/>
      <c r="T29" s="344"/>
      <c r="U29" s="344"/>
      <c r="V29" s="344"/>
      <c r="W29" s="344"/>
      <c r="X29" s="344"/>
      <c r="Y29" s="344"/>
      <c r="Z29" s="344"/>
      <c r="AA29" s="344"/>
      <c r="AB29" s="344"/>
      <c r="AC29" s="344"/>
      <c r="AD29" s="344"/>
      <c r="AE29" s="344"/>
      <c r="AF29" s="344"/>
      <c r="AG29" s="344"/>
      <c r="AH29" s="344"/>
    </row>
    <row r="30" spans="1:34" ht="27" customHeight="1" x14ac:dyDescent="0.3">
      <c r="A30" s="344"/>
      <c r="B30" s="345"/>
      <c r="C30" s="358"/>
      <c r="D30" s="354" t="s">
        <v>360</v>
      </c>
      <c r="E30" s="383" t="s">
        <v>306</v>
      </c>
      <c r="F30" s="383"/>
      <c r="G30" s="352">
        <v>28.5</v>
      </c>
      <c r="H30" s="357"/>
      <c r="I30" s="356"/>
      <c r="J30" s="344"/>
      <c r="K30" s="344"/>
      <c r="L30" s="344"/>
      <c r="M30" s="344"/>
      <c r="N30" s="344"/>
      <c r="O30" s="344"/>
      <c r="P30" s="344"/>
      <c r="Q30" s="344"/>
      <c r="R30" s="344"/>
      <c r="S30" s="344"/>
      <c r="T30" s="344"/>
      <c r="U30" s="344"/>
      <c r="V30" s="344"/>
      <c r="W30" s="344"/>
      <c r="X30" s="344"/>
      <c r="Y30" s="344"/>
      <c r="Z30" s="344"/>
      <c r="AA30" s="344"/>
      <c r="AB30" s="344"/>
      <c r="AC30" s="344"/>
      <c r="AD30" s="344"/>
      <c r="AE30" s="344"/>
      <c r="AF30" s="344"/>
      <c r="AG30" s="344"/>
      <c r="AH30" s="344"/>
    </row>
    <row r="31" spans="1:34" ht="27" customHeight="1" x14ac:dyDescent="0.3">
      <c r="A31" s="344"/>
      <c r="B31" s="345"/>
      <c r="C31" s="358"/>
      <c r="D31" s="354" t="s">
        <v>361</v>
      </c>
      <c r="E31" s="383" t="s">
        <v>306</v>
      </c>
      <c r="F31" s="383"/>
      <c r="G31" s="352">
        <v>7.3</v>
      </c>
      <c r="H31" s="357"/>
      <c r="I31" s="356"/>
      <c r="J31" s="344"/>
      <c r="K31" s="344"/>
      <c r="L31" s="344"/>
      <c r="M31" s="344"/>
      <c r="N31" s="344"/>
      <c r="O31" s="344"/>
      <c r="P31" s="344"/>
      <c r="Q31" s="344"/>
      <c r="R31" s="344"/>
      <c r="S31" s="344"/>
      <c r="T31" s="344"/>
      <c r="U31" s="344"/>
      <c r="V31" s="344"/>
      <c r="W31" s="344"/>
      <c r="X31" s="344"/>
      <c r="Y31" s="344"/>
      <c r="Z31" s="344"/>
      <c r="AA31" s="344"/>
      <c r="AB31" s="344"/>
      <c r="AC31" s="344"/>
      <c r="AD31" s="344"/>
      <c r="AE31" s="344"/>
      <c r="AF31" s="344"/>
      <c r="AG31" s="344"/>
      <c r="AH31" s="344"/>
    </row>
    <row r="32" spans="1:34" ht="27" customHeight="1" thickBot="1" x14ac:dyDescent="0.35">
      <c r="A32" s="344"/>
      <c r="B32" s="345"/>
      <c r="C32" s="363"/>
      <c r="D32" s="348" t="s">
        <v>362</v>
      </c>
      <c r="E32" s="383" t="s">
        <v>306</v>
      </c>
      <c r="F32" s="383"/>
      <c r="G32" s="346">
        <v>20</v>
      </c>
      <c r="H32" s="357"/>
      <c r="I32" s="356"/>
      <c r="J32" s="344"/>
      <c r="K32" s="344"/>
      <c r="L32" s="344"/>
      <c r="M32" s="344"/>
      <c r="N32" s="344"/>
      <c r="O32" s="344"/>
      <c r="P32" s="344"/>
      <c r="Q32" s="344"/>
      <c r="R32" s="344"/>
      <c r="S32" s="344"/>
      <c r="T32" s="344"/>
      <c r="U32" s="344"/>
      <c r="V32" s="344"/>
      <c r="W32" s="344"/>
      <c r="X32" s="344"/>
      <c r="Y32" s="344"/>
      <c r="Z32" s="344"/>
      <c r="AA32" s="344"/>
      <c r="AB32" s="344"/>
      <c r="AC32" s="344"/>
      <c r="AD32" s="344"/>
      <c r="AE32" s="344"/>
      <c r="AF32" s="344"/>
      <c r="AG32" s="344"/>
      <c r="AH32" s="344"/>
    </row>
    <row r="33" spans="1:34" ht="27" customHeight="1" x14ac:dyDescent="0.3">
      <c r="A33" s="344"/>
      <c r="B33" s="345"/>
      <c r="C33" s="362" t="s">
        <v>363</v>
      </c>
      <c r="D33" s="361" t="s">
        <v>364</v>
      </c>
      <c r="E33" s="360" t="s">
        <v>306</v>
      </c>
      <c r="F33" s="360"/>
      <c r="G33" s="359">
        <v>14</v>
      </c>
      <c r="H33" s="357"/>
      <c r="I33" s="356"/>
      <c r="J33" s="344"/>
      <c r="K33" s="344"/>
      <c r="L33" s="344"/>
      <c r="M33" s="344"/>
      <c r="N33" s="344"/>
      <c r="O33" s="344"/>
      <c r="P33" s="344"/>
      <c r="Q33" s="344"/>
      <c r="R33" s="344"/>
      <c r="S33" s="344"/>
      <c r="T33" s="344"/>
      <c r="U33" s="344"/>
      <c r="V33" s="344"/>
      <c r="W33" s="344"/>
      <c r="X33" s="344"/>
      <c r="Y33" s="344"/>
      <c r="Z33" s="344"/>
      <c r="AA33" s="344"/>
      <c r="AB33" s="344"/>
      <c r="AC33" s="344"/>
      <c r="AD33" s="344"/>
      <c r="AE33" s="344"/>
      <c r="AF33" s="344"/>
      <c r="AG33" s="344"/>
      <c r="AH33" s="344"/>
    </row>
    <row r="34" spans="1:34" ht="27" customHeight="1" x14ac:dyDescent="0.3">
      <c r="A34" s="344"/>
      <c r="B34" s="345"/>
      <c r="C34" s="358"/>
      <c r="D34" s="354" t="s">
        <v>365</v>
      </c>
      <c r="E34" s="383" t="s">
        <v>306</v>
      </c>
      <c r="F34" s="383"/>
      <c r="G34" s="352">
        <v>25</v>
      </c>
      <c r="H34" s="357"/>
      <c r="I34" s="356"/>
      <c r="J34" s="344"/>
      <c r="K34" s="344"/>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4"/>
    </row>
    <row r="35" spans="1:34" ht="27" customHeight="1" thickBot="1" x14ac:dyDescent="0.35">
      <c r="A35" s="344"/>
      <c r="B35" s="345"/>
      <c r="C35" s="358"/>
      <c r="D35" s="354" t="s">
        <v>366</v>
      </c>
      <c r="E35" s="383" t="s">
        <v>306</v>
      </c>
      <c r="F35" s="383"/>
      <c r="G35" s="352">
        <v>12</v>
      </c>
      <c r="H35" s="357"/>
      <c r="I35" s="356"/>
      <c r="J35" s="344"/>
      <c r="K35" s="344"/>
      <c r="L35" s="344"/>
      <c r="M35" s="344"/>
      <c r="N35" s="344"/>
      <c r="O35" s="344"/>
      <c r="P35" s="344"/>
      <c r="Q35" s="344"/>
      <c r="R35" s="344"/>
      <c r="S35" s="344"/>
      <c r="T35" s="344"/>
      <c r="U35" s="344"/>
      <c r="V35" s="344"/>
      <c r="W35" s="344"/>
      <c r="X35" s="344"/>
      <c r="Y35" s="344"/>
      <c r="Z35" s="344"/>
      <c r="AA35" s="344"/>
      <c r="AB35" s="344"/>
      <c r="AC35" s="344"/>
      <c r="AD35" s="344"/>
      <c r="AE35" s="344"/>
      <c r="AF35" s="344"/>
      <c r="AG35" s="344"/>
      <c r="AH35" s="344"/>
    </row>
    <row r="36" spans="1:34" ht="27" customHeight="1" x14ac:dyDescent="0.3">
      <c r="A36" s="344"/>
      <c r="B36" s="345"/>
      <c r="C36" s="362" t="s">
        <v>367</v>
      </c>
      <c r="D36" s="361" t="s">
        <v>368</v>
      </c>
      <c r="E36" s="360" t="s">
        <v>306</v>
      </c>
      <c r="F36" s="360"/>
      <c r="G36" s="359">
        <v>60</v>
      </c>
      <c r="H36" s="357"/>
      <c r="I36" s="356"/>
      <c r="J36" s="344"/>
      <c r="K36" s="344"/>
      <c r="L36" s="344"/>
      <c r="M36" s="344"/>
      <c r="N36" s="344"/>
      <c r="O36" s="344"/>
      <c r="P36" s="344"/>
      <c r="Q36" s="344"/>
      <c r="R36" s="344"/>
      <c r="S36" s="344"/>
      <c r="T36" s="344"/>
      <c r="U36" s="344"/>
      <c r="V36" s="344"/>
      <c r="W36" s="344"/>
      <c r="X36" s="344"/>
      <c r="Y36" s="344"/>
      <c r="Z36" s="344"/>
      <c r="AA36" s="344"/>
      <c r="AB36" s="344"/>
      <c r="AC36" s="344"/>
      <c r="AD36" s="344"/>
      <c r="AE36" s="344"/>
      <c r="AF36" s="344"/>
      <c r="AG36" s="344"/>
      <c r="AH36" s="344"/>
    </row>
    <row r="37" spans="1:34" ht="27" customHeight="1" x14ac:dyDescent="0.3">
      <c r="A37" s="344"/>
      <c r="B37" s="345"/>
      <c r="C37" s="358"/>
      <c r="D37" s="354" t="s">
        <v>369</v>
      </c>
      <c r="E37" s="383" t="s">
        <v>306</v>
      </c>
      <c r="F37" s="383"/>
      <c r="G37" s="352">
        <v>28</v>
      </c>
      <c r="H37" s="357"/>
      <c r="I37" s="356"/>
      <c r="J37" s="344"/>
      <c r="K37" s="344"/>
      <c r="L37" s="344"/>
      <c r="M37" s="344"/>
      <c r="N37" s="344"/>
      <c r="O37" s="344"/>
      <c r="P37" s="344"/>
      <c r="Q37" s="344"/>
      <c r="R37" s="344"/>
      <c r="S37" s="344"/>
      <c r="T37" s="344"/>
      <c r="U37" s="344"/>
      <c r="V37" s="344"/>
      <c r="W37" s="344"/>
      <c r="X37" s="344"/>
      <c r="Y37" s="344"/>
      <c r="Z37" s="344"/>
      <c r="AA37" s="344"/>
      <c r="AB37" s="344"/>
      <c r="AC37" s="344"/>
      <c r="AD37" s="344"/>
      <c r="AE37" s="344"/>
      <c r="AF37" s="344"/>
      <c r="AG37" s="344"/>
      <c r="AH37" s="344"/>
    </row>
    <row r="38" spans="1:34" ht="27" customHeight="1" x14ac:dyDescent="0.3">
      <c r="A38" s="344"/>
      <c r="B38" s="345"/>
      <c r="C38" s="358"/>
      <c r="D38" s="354" t="s">
        <v>370</v>
      </c>
      <c r="E38" s="383" t="s">
        <v>306</v>
      </c>
      <c r="F38" s="383"/>
      <c r="G38" s="352">
        <v>35</v>
      </c>
      <c r="H38" s="357"/>
      <c r="I38" s="356"/>
      <c r="J38" s="344"/>
      <c r="K38" s="344"/>
      <c r="L38" s="344"/>
      <c r="M38" s="344"/>
      <c r="N38" s="344"/>
      <c r="O38" s="344"/>
      <c r="P38" s="344"/>
      <c r="Q38" s="344"/>
      <c r="R38" s="344"/>
      <c r="S38" s="344"/>
      <c r="T38" s="344"/>
      <c r="U38" s="344"/>
      <c r="V38" s="344"/>
      <c r="W38" s="344"/>
      <c r="X38" s="344"/>
      <c r="Y38" s="344"/>
      <c r="Z38" s="344"/>
      <c r="AA38" s="344"/>
      <c r="AB38" s="344"/>
      <c r="AC38" s="344"/>
      <c r="AD38" s="344"/>
      <c r="AE38" s="344"/>
      <c r="AF38" s="344"/>
      <c r="AG38" s="344"/>
      <c r="AH38" s="344"/>
    </row>
    <row r="39" spans="1:34" ht="27" customHeight="1" x14ac:dyDescent="0.3">
      <c r="A39" s="344"/>
      <c r="B39" s="345"/>
      <c r="C39" s="358"/>
      <c r="D39" s="354" t="s">
        <v>371</v>
      </c>
      <c r="E39" s="383" t="s">
        <v>306</v>
      </c>
      <c r="F39" s="383"/>
      <c r="G39" s="352">
        <v>27</v>
      </c>
      <c r="H39" s="357"/>
      <c r="I39" s="356"/>
      <c r="J39" s="344"/>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c r="AH39" s="344"/>
    </row>
    <row r="40" spans="1:34" ht="27" customHeight="1" x14ac:dyDescent="0.3">
      <c r="A40" s="344"/>
      <c r="B40" s="345"/>
      <c r="C40" s="358"/>
      <c r="D40" s="354" t="s">
        <v>372</v>
      </c>
      <c r="E40" s="383" t="s">
        <v>306</v>
      </c>
      <c r="F40" s="383"/>
      <c r="G40" s="352">
        <v>30</v>
      </c>
      <c r="H40" s="357"/>
      <c r="I40" s="356"/>
      <c r="J40" s="344"/>
      <c r="K40" s="344"/>
      <c r="L40" s="344"/>
      <c r="M40" s="344"/>
      <c r="N40" s="344"/>
      <c r="O40" s="344"/>
      <c r="P40" s="344"/>
      <c r="Q40" s="344"/>
      <c r="R40" s="344"/>
      <c r="S40" s="344"/>
      <c r="T40" s="344"/>
      <c r="U40" s="344"/>
      <c r="V40" s="344"/>
      <c r="W40" s="344"/>
      <c r="X40" s="344"/>
      <c r="Y40" s="344"/>
      <c r="Z40" s="344"/>
      <c r="AA40" s="344"/>
      <c r="AB40" s="344"/>
      <c r="AC40" s="344"/>
      <c r="AD40" s="344"/>
      <c r="AE40" s="344"/>
      <c r="AF40" s="344"/>
      <c r="AG40" s="344"/>
      <c r="AH40" s="344"/>
    </row>
    <row r="41" spans="1:34" ht="27" customHeight="1" x14ac:dyDescent="0.3">
      <c r="A41" s="344"/>
      <c r="B41" s="345"/>
      <c r="C41" s="358"/>
      <c r="D41" s="354" t="s">
        <v>373</v>
      </c>
      <c r="E41" s="383" t="s">
        <v>306</v>
      </c>
      <c r="F41" s="383"/>
      <c r="G41" s="352">
        <v>30</v>
      </c>
      <c r="H41" s="357"/>
      <c r="I41" s="356"/>
      <c r="J41" s="344"/>
      <c r="K41" s="344"/>
      <c r="L41" s="344"/>
      <c r="M41" s="344"/>
      <c r="N41" s="344"/>
      <c r="O41" s="344"/>
      <c r="P41" s="344"/>
      <c r="Q41" s="344"/>
      <c r="R41" s="344"/>
      <c r="S41" s="344"/>
      <c r="T41" s="344"/>
      <c r="U41" s="344"/>
      <c r="V41" s="344"/>
      <c r="W41" s="344"/>
      <c r="X41" s="344"/>
      <c r="Y41" s="344"/>
      <c r="Z41" s="344"/>
      <c r="AA41" s="344"/>
      <c r="AB41" s="344"/>
      <c r="AC41" s="344"/>
      <c r="AD41" s="344"/>
      <c r="AE41" s="344"/>
      <c r="AF41" s="344"/>
      <c r="AG41" s="344"/>
      <c r="AH41" s="344"/>
    </row>
    <row r="42" spans="1:34" ht="27" customHeight="1" x14ac:dyDescent="0.3">
      <c r="A42" s="344"/>
      <c r="B42" s="345"/>
      <c r="C42" s="358"/>
      <c r="D42" s="354" t="s">
        <v>374</v>
      </c>
      <c r="E42" s="383" t="s">
        <v>306</v>
      </c>
      <c r="F42" s="383"/>
      <c r="G42" s="352">
        <v>30</v>
      </c>
      <c r="H42" s="357"/>
      <c r="I42" s="356"/>
      <c r="J42" s="344"/>
      <c r="K42" s="344"/>
      <c r="L42" s="344"/>
      <c r="M42" s="344"/>
      <c r="N42" s="344"/>
      <c r="O42" s="344"/>
      <c r="P42" s="344"/>
      <c r="Q42" s="344"/>
      <c r="R42" s="344"/>
      <c r="S42" s="344"/>
      <c r="T42" s="344"/>
      <c r="U42" s="344"/>
      <c r="V42" s="344"/>
      <c r="W42" s="344"/>
      <c r="X42" s="344"/>
      <c r="Y42" s="344"/>
      <c r="Z42" s="344"/>
      <c r="AA42" s="344"/>
      <c r="AB42" s="344"/>
      <c r="AC42" s="344"/>
      <c r="AD42" s="344"/>
      <c r="AE42" s="344"/>
      <c r="AF42" s="344"/>
      <c r="AG42" s="344"/>
      <c r="AH42" s="344"/>
    </row>
    <row r="43" spans="1:34" ht="27" customHeight="1" thickBot="1" x14ac:dyDescent="0.35">
      <c r="A43" s="344"/>
      <c r="B43" s="345"/>
      <c r="C43" s="363"/>
      <c r="D43" s="348" t="s">
        <v>375</v>
      </c>
      <c r="E43" s="383" t="s">
        <v>306</v>
      </c>
      <c r="F43" s="383"/>
      <c r="G43" s="346">
        <v>7.92</v>
      </c>
      <c r="H43" s="357"/>
      <c r="I43" s="356"/>
      <c r="J43" s="344"/>
      <c r="K43" s="344"/>
      <c r="L43" s="344"/>
      <c r="M43" s="344"/>
      <c r="N43" s="344"/>
      <c r="O43" s="344"/>
      <c r="P43" s="344"/>
      <c r="Q43" s="344"/>
      <c r="R43" s="344"/>
      <c r="S43" s="344"/>
      <c r="T43" s="344"/>
      <c r="U43" s="344"/>
      <c r="V43" s="344"/>
      <c r="W43" s="344"/>
      <c r="X43" s="344"/>
      <c r="Y43" s="344"/>
      <c r="Z43" s="344"/>
      <c r="AA43" s="344"/>
      <c r="AB43" s="344"/>
      <c r="AC43" s="344"/>
      <c r="AD43" s="344"/>
      <c r="AE43" s="344"/>
      <c r="AF43" s="344"/>
      <c r="AG43" s="344"/>
      <c r="AH43" s="344"/>
    </row>
    <row r="44" spans="1:34" ht="27" customHeight="1" thickBot="1" x14ac:dyDescent="0.35">
      <c r="A44" s="344"/>
      <c r="B44" s="345"/>
      <c r="C44" s="371" t="s">
        <v>376</v>
      </c>
      <c r="D44" s="370" t="s">
        <v>376</v>
      </c>
      <c r="E44" s="369" t="s">
        <v>306</v>
      </c>
      <c r="F44" s="369"/>
      <c r="G44" s="368">
        <v>29.25</v>
      </c>
      <c r="H44" s="357"/>
      <c r="I44" s="356"/>
      <c r="J44" s="344"/>
      <c r="K44" s="344"/>
      <c r="L44" s="344"/>
      <c r="M44" s="344"/>
      <c r="N44" s="344"/>
      <c r="O44" s="344"/>
      <c r="P44" s="344"/>
      <c r="Q44" s="344"/>
      <c r="R44" s="344"/>
      <c r="S44" s="344"/>
      <c r="T44" s="344"/>
      <c r="U44" s="344"/>
      <c r="V44" s="344"/>
      <c r="W44" s="344"/>
      <c r="X44" s="344"/>
      <c r="Y44" s="344"/>
      <c r="Z44" s="344"/>
      <c r="AA44" s="344"/>
      <c r="AB44" s="344"/>
      <c r="AC44" s="344"/>
      <c r="AD44" s="344"/>
      <c r="AE44" s="344"/>
      <c r="AF44" s="344"/>
      <c r="AG44" s="344"/>
      <c r="AH44" s="344"/>
    </row>
    <row r="45" spans="1:34" ht="27" customHeight="1" x14ac:dyDescent="0.3">
      <c r="A45" s="344"/>
      <c r="B45" s="345"/>
      <c r="C45" s="382" t="s">
        <v>377</v>
      </c>
      <c r="D45" s="381" t="s">
        <v>378</v>
      </c>
      <c r="E45" s="380" t="s">
        <v>306</v>
      </c>
      <c r="F45" s="380"/>
      <c r="G45" s="352">
        <v>15</v>
      </c>
      <c r="H45" s="357"/>
      <c r="I45" s="356"/>
      <c r="J45" s="344"/>
      <c r="K45" s="344"/>
      <c r="L45" s="344"/>
      <c r="M45" s="344"/>
      <c r="N45" s="344"/>
      <c r="O45" s="344"/>
      <c r="P45" s="344"/>
      <c r="Q45" s="344"/>
      <c r="R45" s="344"/>
      <c r="S45" s="344"/>
      <c r="T45" s="344"/>
      <c r="U45" s="344"/>
      <c r="V45" s="344"/>
      <c r="W45" s="344"/>
      <c r="X45" s="344"/>
      <c r="Y45" s="344"/>
      <c r="Z45" s="344"/>
      <c r="AA45" s="344"/>
      <c r="AB45" s="344"/>
      <c r="AC45" s="344"/>
      <c r="AD45" s="344"/>
      <c r="AE45" s="344"/>
      <c r="AF45" s="344"/>
      <c r="AG45" s="344"/>
      <c r="AH45" s="344"/>
    </row>
    <row r="46" spans="1:34" ht="27" customHeight="1" x14ac:dyDescent="0.3">
      <c r="A46" s="344"/>
      <c r="B46" s="345"/>
      <c r="C46" s="358"/>
      <c r="D46" s="354" t="s">
        <v>379</v>
      </c>
      <c r="E46" s="380" t="s">
        <v>306</v>
      </c>
      <c r="F46" s="380"/>
      <c r="G46" s="352">
        <v>10</v>
      </c>
      <c r="H46" s="357"/>
      <c r="I46" s="356"/>
      <c r="J46" s="344"/>
      <c r="K46" s="344"/>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row>
    <row r="47" spans="1:34" ht="27" customHeight="1" x14ac:dyDescent="0.3">
      <c r="A47" s="344"/>
      <c r="B47" s="345"/>
      <c r="C47" s="358"/>
      <c r="D47" s="354" t="s">
        <v>380</v>
      </c>
      <c r="E47" s="380" t="s">
        <v>306</v>
      </c>
      <c r="F47" s="380"/>
      <c r="G47" s="352">
        <v>29.25</v>
      </c>
      <c r="H47" s="357"/>
      <c r="I47" s="356"/>
      <c r="J47" s="344"/>
      <c r="K47" s="344"/>
      <c r="L47" s="344"/>
      <c r="M47" s="344"/>
      <c r="N47" s="344"/>
      <c r="O47" s="344"/>
      <c r="P47" s="344"/>
      <c r="Q47" s="344"/>
      <c r="R47" s="344"/>
      <c r="S47" s="344"/>
      <c r="T47" s="344"/>
      <c r="U47" s="344"/>
      <c r="V47" s="344"/>
      <c r="W47" s="344"/>
      <c r="X47" s="344"/>
      <c r="Y47" s="344"/>
      <c r="Z47" s="344"/>
      <c r="AA47" s="344"/>
      <c r="AB47" s="344"/>
      <c r="AC47" s="344"/>
      <c r="AD47" s="344"/>
      <c r="AE47" s="344"/>
      <c r="AF47" s="344"/>
      <c r="AG47" s="344"/>
      <c r="AH47" s="344"/>
    </row>
    <row r="48" spans="1:34" ht="27" customHeight="1" x14ac:dyDescent="0.3">
      <c r="A48" s="344"/>
      <c r="B48" s="345"/>
      <c r="C48" s="358"/>
      <c r="D48" s="354" t="s">
        <v>381</v>
      </c>
      <c r="E48" s="380" t="s">
        <v>306</v>
      </c>
      <c r="F48" s="380"/>
      <c r="G48" s="352">
        <v>29.25</v>
      </c>
      <c r="H48" s="357"/>
      <c r="I48" s="356"/>
      <c r="J48" s="344"/>
      <c r="K48" s="344"/>
      <c r="L48" s="344"/>
      <c r="M48" s="344"/>
      <c r="N48" s="344"/>
      <c r="O48" s="344"/>
      <c r="P48" s="344"/>
      <c r="Q48" s="344"/>
      <c r="R48" s="344"/>
      <c r="S48" s="344"/>
      <c r="T48" s="344"/>
      <c r="U48" s="344"/>
      <c r="V48" s="344"/>
      <c r="W48" s="344"/>
      <c r="X48" s="344"/>
      <c r="Y48" s="344"/>
      <c r="Z48" s="344"/>
      <c r="AA48" s="344"/>
      <c r="AB48" s="344"/>
      <c r="AC48" s="344"/>
      <c r="AD48" s="344"/>
      <c r="AE48" s="344"/>
      <c r="AF48" s="344"/>
      <c r="AG48" s="344"/>
      <c r="AH48" s="344"/>
    </row>
    <row r="49" spans="1:34" ht="27" customHeight="1" thickBot="1" x14ac:dyDescent="0.35">
      <c r="A49" s="344"/>
      <c r="B49" s="345"/>
      <c r="C49" s="363"/>
      <c r="D49" s="348" t="s">
        <v>382</v>
      </c>
      <c r="E49" s="380" t="s">
        <v>306</v>
      </c>
      <c r="F49" s="380"/>
      <c r="G49" s="346">
        <v>8</v>
      </c>
      <c r="H49" s="357"/>
      <c r="I49" s="356"/>
      <c r="J49" s="344"/>
      <c r="K49" s="344"/>
      <c r="L49" s="344"/>
      <c r="M49" s="344"/>
      <c r="N49" s="344"/>
      <c r="O49" s="344"/>
      <c r="P49" s="344"/>
      <c r="Q49" s="344"/>
      <c r="R49" s="344"/>
      <c r="S49" s="344"/>
      <c r="T49" s="344"/>
      <c r="U49" s="344"/>
      <c r="V49" s="344"/>
      <c r="W49" s="344"/>
      <c r="X49" s="344"/>
      <c r="Y49" s="344"/>
      <c r="Z49" s="344"/>
      <c r="AA49" s="344"/>
      <c r="AB49" s="344"/>
      <c r="AC49" s="344"/>
      <c r="AD49" s="344"/>
      <c r="AE49" s="344"/>
      <c r="AF49" s="344"/>
      <c r="AG49" s="344"/>
      <c r="AH49" s="344"/>
    </row>
    <row r="50" spans="1:34" ht="27" customHeight="1" x14ac:dyDescent="0.3">
      <c r="A50" s="344"/>
      <c r="B50" s="345"/>
      <c r="C50" s="362" t="s">
        <v>383</v>
      </c>
      <c r="D50" s="361" t="s">
        <v>384</v>
      </c>
      <c r="E50" s="360" t="s">
        <v>306</v>
      </c>
      <c r="F50" s="360"/>
      <c r="G50" s="359">
        <v>9</v>
      </c>
      <c r="H50" s="357"/>
      <c r="I50" s="356"/>
      <c r="J50" s="344"/>
      <c r="K50" s="344"/>
      <c r="L50" s="344"/>
      <c r="M50" s="344"/>
      <c r="N50" s="344"/>
      <c r="O50" s="344"/>
      <c r="P50" s="344"/>
      <c r="Q50" s="344"/>
      <c r="R50" s="344"/>
      <c r="S50" s="344"/>
      <c r="T50" s="344"/>
      <c r="U50" s="344"/>
      <c r="V50" s="344"/>
      <c r="W50" s="344"/>
      <c r="X50" s="344"/>
      <c r="Y50" s="344"/>
      <c r="Z50" s="344"/>
      <c r="AA50" s="344"/>
      <c r="AB50" s="344"/>
      <c r="AC50" s="344"/>
      <c r="AD50" s="344"/>
      <c r="AE50" s="344"/>
      <c r="AF50" s="344"/>
      <c r="AG50" s="344"/>
      <c r="AH50" s="344"/>
    </row>
    <row r="51" spans="1:34" ht="27" customHeight="1" thickBot="1" x14ac:dyDescent="0.35">
      <c r="A51" s="344"/>
      <c r="B51" s="345"/>
      <c r="C51" s="363"/>
      <c r="D51" s="348" t="s">
        <v>385</v>
      </c>
      <c r="E51" s="347" t="s">
        <v>306</v>
      </c>
      <c r="F51" s="347"/>
      <c r="G51" s="346">
        <v>22.5</v>
      </c>
      <c r="H51" s="357"/>
      <c r="I51" s="356"/>
      <c r="J51" s="344"/>
      <c r="K51" s="344"/>
      <c r="L51" s="344"/>
      <c r="M51" s="344"/>
      <c r="N51" s="344"/>
      <c r="O51" s="344"/>
      <c r="P51" s="344"/>
      <c r="Q51" s="344"/>
      <c r="R51" s="344"/>
      <c r="S51" s="344"/>
      <c r="T51" s="344"/>
      <c r="U51" s="344"/>
      <c r="V51" s="344"/>
      <c r="W51" s="344"/>
      <c r="X51" s="344"/>
      <c r="Y51" s="344"/>
      <c r="Z51" s="344"/>
      <c r="AA51" s="344"/>
      <c r="AB51" s="344"/>
      <c r="AC51" s="344"/>
      <c r="AD51" s="344"/>
      <c r="AE51" s="344"/>
      <c r="AF51" s="344"/>
      <c r="AG51" s="344"/>
      <c r="AH51" s="344"/>
    </row>
    <row r="52" spans="1:34" ht="27" customHeight="1" x14ac:dyDescent="0.3">
      <c r="A52" s="344"/>
      <c r="B52" s="345"/>
      <c r="C52" s="362" t="s">
        <v>386</v>
      </c>
      <c r="D52" s="379" t="s">
        <v>387</v>
      </c>
      <c r="E52" s="378"/>
      <c r="F52" s="378" t="s">
        <v>306</v>
      </c>
      <c r="G52" s="359">
        <v>25</v>
      </c>
      <c r="H52" s="357"/>
      <c r="I52" s="356"/>
      <c r="J52" s="344"/>
      <c r="K52" s="344"/>
      <c r="L52" s="344"/>
      <c r="M52" s="344"/>
      <c r="N52" s="344"/>
      <c r="O52" s="344"/>
      <c r="P52" s="344"/>
      <c r="Q52" s="344"/>
      <c r="R52" s="344"/>
      <c r="S52" s="344"/>
      <c r="T52" s="344"/>
      <c r="U52" s="344"/>
      <c r="V52" s="344"/>
      <c r="W52" s="344"/>
      <c r="X52" s="344"/>
      <c r="Y52" s="344"/>
      <c r="Z52" s="344"/>
      <c r="AA52" s="344"/>
      <c r="AB52" s="344"/>
      <c r="AC52" s="344"/>
      <c r="AD52" s="344"/>
      <c r="AE52" s="344"/>
      <c r="AF52" s="344"/>
      <c r="AG52" s="344"/>
      <c r="AH52" s="344"/>
    </row>
    <row r="53" spans="1:34" ht="27" customHeight="1" thickBot="1" x14ac:dyDescent="0.35">
      <c r="A53" s="344"/>
      <c r="B53" s="345"/>
      <c r="C53" s="363"/>
      <c r="D53" s="377" t="s">
        <v>388</v>
      </c>
      <c r="E53" s="376"/>
      <c r="F53" s="376" t="s">
        <v>306</v>
      </c>
      <c r="G53" s="346">
        <v>13</v>
      </c>
      <c r="H53" s="357"/>
      <c r="I53" s="356"/>
      <c r="J53" s="344"/>
      <c r="K53" s="344"/>
      <c r="L53" s="344"/>
      <c r="M53" s="344"/>
      <c r="N53" s="344"/>
      <c r="O53" s="344"/>
      <c r="P53" s="344"/>
      <c r="Q53" s="344"/>
      <c r="R53" s="344"/>
      <c r="S53" s="344"/>
      <c r="T53" s="344"/>
      <c r="U53" s="344"/>
      <c r="V53" s="344"/>
      <c r="W53" s="344"/>
      <c r="X53" s="344"/>
      <c r="Y53" s="344"/>
      <c r="Z53" s="344"/>
      <c r="AA53" s="344"/>
      <c r="AB53" s="344"/>
      <c r="AC53" s="344"/>
      <c r="AD53" s="344"/>
      <c r="AE53" s="344"/>
      <c r="AF53" s="344"/>
      <c r="AG53" s="344"/>
      <c r="AH53" s="344"/>
    </row>
    <row r="54" spans="1:34" ht="27" customHeight="1" x14ac:dyDescent="0.3">
      <c r="A54" s="344"/>
      <c r="B54" s="345"/>
      <c r="C54" s="367" t="s">
        <v>389</v>
      </c>
      <c r="D54" s="366" t="s">
        <v>390</v>
      </c>
      <c r="E54" s="365"/>
      <c r="F54" s="365" t="s">
        <v>306</v>
      </c>
      <c r="G54" s="364">
        <v>10</v>
      </c>
      <c r="H54" s="357"/>
      <c r="I54" s="356"/>
      <c r="J54" s="344"/>
      <c r="K54" s="344"/>
      <c r="L54" s="344"/>
      <c r="M54" s="344"/>
      <c r="N54" s="344"/>
      <c r="O54" s="344"/>
      <c r="P54" s="344"/>
      <c r="Q54" s="344"/>
      <c r="R54" s="344"/>
      <c r="S54" s="344"/>
      <c r="T54" s="344"/>
      <c r="U54" s="344"/>
      <c r="V54" s="344"/>
      <c r="W54" s="344"/>
      <c r="X54" s="344"/>
      <c r="Y54" s="344"/>
      <c r="Z54" s="344"/>
      <c r="AA54" s="344"/>
      <c r="AB54" s="344"/>
      <c r="AC54" s="344"/>
      <c r="AD54" s="344"/>
      <c r="AE54" s="344"/>
      <c r="AF54" s="344"/>
      <c r="AG54" s="344"/>
      <c r="AH54" s="344"/>
    </row>
    <row r="55" spans="1:34" ht="27" customHeight="1" thickBot="1" x14ac:dyDescent="0.35">
      <c r="A55" s="344"/>
      <c r="B55" s="345"/>
      <c r="C55" s="363"/>
      <c r="D55" s="348" t="s">
        <v>391</v>
      </c>
      <c r="E55" s="347"/>
      <c r="F55" s="347" t="s">
        <v>306</v>
      </c>
      <c r="G55" s="346">
        <v>10.26</v>
      </c>
      <c r="H55" s="357"/>
      <c r="I55" s="356"/>
      <c r="J55" s="344"/>
      <c r="K55" s="344"/>
      <c r="L55" s="344"/>
      <c r="M55" s="344"/>
      <c r="N55" s="344"/>
      <c r="O55" s="344"/>
      <c r="P55" s="344"/>
      <c r="Q55" s="344"/>
      <c r="R55" s="344"/>
      <c r="S55" s="344"/>
      <c r="T55" s="344"/>
      <c r="U55" s="344"/>
      <c r="V55" s="344"/>
      <c r="W55" s="344"/>
      <c r="X55" s="344"/>
      <c r="Y55" s="344"/>
      <c r="Z55" s="344"/>
      <c r="AA55" s="344"/>
      <c r="AB55" s="344"/>
      <c r="AC55" s="344"/>
      <c r="AD55" s="344"/>
      <c r="AE55" s="344"/>
      <c r="AF55" s="344"/>
      <c r="AG55" s="344"/>
      <c r="AH55" s="344"/>
    </row>
    <row r="56" spans="1:34" ht="27" customHeight="1" x14ac:dyDescent="0.3">
      <c r="A56" s="344"/>
      <c r="B56" s="345"/>
      <c r="C56" s="367" t="s">
        <v>392</v>
      </c>
      <c r="D56" s="366" t="s">
        <v>393</v>
      </c>
      <c r="E56" s="365" t="s">
        <v>306</v>
      </c>
      <c r="F56" s="365" t="s">
        <v>306</v>
      </c>
      <c r="G56" s="364">
        <v>11.4</v>
      </c>
      <c r="H56" s="357"/>
      <c r="I56" s="356"/>
      <c r="J56" s="344"/>
      <c r="K56" s="344"/>
      <c r="L56" s="344"/>
      <c r="M56" s="344"/>
      <c r="N56" s="344"/>
      <c r="O56" s="344"/>
      <c r="P56" s="344"/>
      <c r="Q56" s="344"/>
      <c r="R56" s="344"/>
      <c r="S56" s="344"/>
      <c r="T56" s="344"/>
      <c r="U56" s="344"/>
      <c r="V56" s="344"/>
      <c r="W56" s="344"/>
      <c r="X56" s="344"/>
      <c r="Y56" s="344"/>
      <c r="Z56" s="344"/>
      <c r="AA56" s="344"/>
      <c r="AB56" s="344"/>
      <c r="AC56" s="344"/>
      <c r="AD56" s="344"/>
      <c r="AE56" s="344"/>
      <c r="AF56" s="344"/>
      <c r="AG56" s="344"/>
      <c r="AH56" s="344"/>
    </row>
    <row r="57" spans="1:34" ht="27" customHeight="1" x14ac:dyDescent="0.3">
      <c r="A57" s="344"/>
      <c r="B57" s="345"/>
      <c r="C57" s="358"/>
      <c r="D57" s="354" t="s">
        <v>394</v>
      </c>
      <c r="E57" s="353" t="s">
        <v>306</v>
      </c>
      <c r="F57" s="353" t="s">
        <v>306</v>
      </c>
      <c r="G57" s="352">
        <v>11.4</v>
      </c>
      <c r="H57" s="357"/>
      <c r="I57" s="356"/>
      <c r="J57" s="344"/>
      <c r="K57" s="344"/>
      <c r="L57" s="344"/>
      <c r="M57" s="344"/>
      <c r="N57" s="344"/>
      <c r="O57" s="344"/>
      <c r="P57" s="344"/>
      <c r="Q57" s="344"/>
      <c r="R57" s="344"/>
      <c r="S57" s="344"/>
      <c r="T57" s="344"/>
      <c r="U57" s="344"/>
      <c r="V57" s="344"/>
      <c r="W57" s="344"/>
      <c r="X57" s="344"/>
      <c r="Y57" s="344"/>
      <c r="Z57" s="344"/>
      <c r="AA57" s="344"/>
      <c r="AB57" s="344"/>
      <c r="AC57" s="344"/>
      <c r="AD57" s="344"/>
      <c r="AE57" s="344"/>
      <c r="AF57" s="344"/>
      <c r="AG57" s="344"/>
      <c r="AH57" s="344"/>
    </row>
    <row r="58" spans="1:34" ht="27" customHeight="1" thickBot="1" x14ac:dyDescent="0.35">
      <c r="A58" s="344"/>
      <c r="B58" s="345"/>
      <c r="C58" s="363"/>
      <c r="D58" s="348" t="s">
        <v>395</v>
      </c>
      <c r="E58" s="347" t="s">
        <v>306</v>
      </c>
      <c r="F58" s="347" t="s">
        <v>306</v>
      </c>
      <c r="G58" s="346">
        <v>10.26</v>
      </c>
      <c r="H58" s="357"/>
      <c r="I58" s="356"/>
      <c r="J58" s="344"/>
      <c r="K58" s="344"/>
      <c r="L58" s="344"/>
      <c r="M58" s="344"/>
      <c r="N58" s="344"/>
      <c r="O58" s="344"/>
      <c r="P58" s="344"/>
      <c r="Q58" s="344"/>
      <c r="R58" s="344"/>
      <c r="S58" s="344"/>
      <c r="T58" s="344"/>
      <c r="U58" s="344"/>
      <c r="V58" s="344"/>
      <c r="W58" s="344"/>
      <c r="X58" s="344"/>
      <c r="Y58" s="344"/>
      <c r="Z58" s="344"/>
      <c r="AA58" s="344"/>
      <c r="AB58" s="344"/>
      <c r="AC58" s="344"/>
      <c r="AD58" s="344"/>
      <c r="AE58" s="344"/>
      <c r="AF58" s="344"/>
      <c r="AG58" s="344"/>
      <c r="AH58" s="344"/>
    </row>
    <row r="59" spans="1:34" ht="27" customHeight="1" thickBot="1" x14ac:dyDescent="0.35">
      <c r="A59" s="344"/>
      <c r="B59" s="345"/>
      <c r="C59" s="371" t="s">
        <v>396</v>
      </c>
      <c r="D59" s="370" t="s">
        <v>397</v>
      </c>
      <c r="E59" s="369" t="s">
        <v>306</v>
      </c>
      <c r="F59" s="369" t="s">
        <v>306</v>
      </c>
      <c r="G59" s="368">
        <v>15</v>
      </c>
      <c r="H59" s="357"/>
      <c r="I59" s="356"/>
      <c r="J59" s="344"/>
      <c r="K59" s="344"/>
      <c r="L59" s="344"/>
      <c r="M59" s="344"/>
      <c r="N59" s="344"/>
      <c r="O59" s="344"/>
      <c r="P59" s="344"/>
      <c r="Q59" s="344"/>
      <c r="R59" s="344"/>
      <c r="S59" s="344"/>
      <c r="T59" s="344"/>
      <c r="U59" s="344"/>
      <c r="V59" s="344"/>
      <c r="W59" s="344"/>
      <c r="X59" s="344"/>
      <c r="Y59" s="344"/>
      <c r="Z59" s="344"/>
      <c r="AA59" s="344"/>
      <c r="AB59" s="344"/>
      <c r="AC59" s="344"/>
      <c r="AD59" s="344"/>
      <c r="AE59" s="344"/>
      <c r="AF59" s="344"/>
      <c r="AG59" s="344"/>
      <c r="AH59" s="344"/>
    </row>
    <row r="60" spans="1:34" ht="27" customHeight="1" x14ac:dyDescent="0.3">
      <c r="A60" s="344"/>
      <c r="B60" s="345"/>
      <c r="C60" s="362" t="s">
        <v>398</v>
      </c>
      <c r="D60" s="361" t="s">
        <v>399</v>
      </c>
      <c r="E60" s="360"/>
      <c r="F60" s="360" t="s">
        <v>306</v>
      </c>
      <c r="G60" s="359">
        <v>22.8</v>
      </c>
      <c r="H60" s="357"/>
      <c r="I60" s="356"/>
      <c r="J60" s="344"/>
      <c r="K60" s="344"/>
      <c r="L60" s="344"/>
      <c r="M60" s="344"/>
      <c r="N60" s="344"/>
      <c r="O60" s="344"/>
      <c r="P60" s="344"/>
      <c r="Q60" s="344"/>
      <c r="R60" s="344"/>
      <c r="S60" s="344"/>
      <c r="T60" s="344"/>
      <c r="U60" s="344"/>
      <c r="V60" s="344"/>
      <c r="W60" s="344"/>
      <c r="X60" s="344"/>
      <c r="Y60" s="344"/>
      <c r="Z60" s="344"/>
      <c r="AA60" s="344"/>
      <c r="AB60" s="344"/>
      <c r="AC60" s="344"/>
      <c r="AD60" s="344"/>
      <c r="AE60" s="344"/>
      <c r="AF60" s="344"/>
      <c r="AG60" s="344"/>
      <c r="AH60" s="344"/>
    </row>
    <row r="61" spans="1:34" ht="27" customHeight="1" x14ac:dyDescent="0.3">
      <c r="A61" s="344"/>
      <c r="B61" s="345"/>
      <c r="C61" s="355"/>
      <c r="D61" s="354" t="s">
        <v>400</v>
      </c>
      <c r="E61" s="353"/>
      <c r="F61" s="353" t="s">
        <v>306</v>
      </c>
      <c r="G61" s="352">
        <v>22.5</v>
      </c>
      <c r="H61" s="357"/>
      <c r="I61" s="356"/>
      <c r="J61" s="344"/>
      <c r="K61" s="344"/>
      <c r="L61" s="344"/>
      <c r="M61" s="344"/>
      <c r="N61" s="344"/>
      <c r="O61" s="344"/>
      <c r="P61" s="344"/>
      <c r="Q61" s="344"/>
      <c r="R61" s="344"/>
      <c r="S61" s="344"/>
      <c r="T61" s="344"/>
      <c r="U61" s="344"/>
      <c r="V61" s="344"/>
      <c r="W61" s="344"/>
      <c r="X61" s="344"/>
      <c r="Y61" s="344"/>
      <c r="Z61" s="344"/>
      <c r="AA61" s="344"/>
      <c r="AB61" s="344"/>
      <c r="AC61" s="344"/>
      <c r="AD61" s="344"/>
      <c r="AE61" s="344"/>
      <c r="AF61" s="344"/>
      <c r="AG61" s="344"/>
      <c r="AH61" s="344"/>
    </row>
    <row r="62" spans="1:34" ht="27" customHeight="1" thickBot="1" x14ac:dyDescent="0.35">
      <c r="A62" s="344"/>
      <c r="B62" s="345"/>
      <c r="C62" s="375"/>
      <c r="D62" s="374" t="s">
        <v>401</v>
      </c>
      <c r="E62" s="373"/>
      <c r="F62" s="373" t="s">
        <v>306</v>
      </c>
      <c r="G62" s="372">
        <v>17.600000000000001</v>
      </c>
      <c r="H62" s="357"/>
      <c r="I62" s="356"/>
      <c r="J62" s="344"/>
      <c r="K62" s="344"/>
      <c r="L62" s="344"/>
      <c r="M62" s="344"/>
      <c r="N62" s="344"/>
      <c r="O62" s="344"/>
      <c r="P62" s="344"/>
      <c r="Q62" s="344"/>
      <c r="R62" s="344"/>
      <c r="S62" s="344"/>
      <c r="T62" s="344"/>
      <c r="U62" s="344"/>
      <c r="V62" s="344"/>
      <c r="W62" s="344"/>
      <c r="X62" s="344"/>
      <c r="Y62" s="344"/>
      <c r="Z62" s="344"/>
      <c r="AA62" s="344"/>
      <c r="AB62" s="344"/>
      <c r="AC62" s="344"/>
      <c r="AD62" s="344"/>
      <c r="AE62" s="344"/>
      <c r="AF62" s="344"/>
      <c r="AG62" s="344"/>
      <c r="AH62" s="344"/>
    </row>
    <row r="63" spans="1:34" ht="27" customHeight="1" thickBot="1" x14ac:dyDescent="0.35">
      <c r="A63" s="344"/>
      <c r="B63" s="345"/>
      <c r="C63" s="371" t="s">
        <v>402</v>
      </c>
      <c r="D63" s="370" t="s">
        <v>402</v>
      </c>
      <c r="E63" s="369" t="s">
        <v>306</v>
      </c>
      <c r="F63" s="369" t="s">
        <v>306</v>
      </c>
      <c r="G63" s="368">
        <v>6.84</v>
      </c>
      <c r="H63" s="357"/>
      <c r="I63" s="356"/>
      <c r="J63" s="344"/>
      <c r="K63" s="344"/>
      <c r="L63" s="344"/>
      <c r="M63" s="344"/>
      <c r="N63" s="344"/>
      <c r="O63" s="344"/>
      <c r="P63" s="344"/>
      <c r="Q63" s="344"/>
      <c r="R63" s="344"/>
      <c r="S63" s="344"/>
      <c r="T63" s="344"/>
      <c r="U63" s="344"/>
      <c r="V63" s="344"/>
      <c r="W63" s="344"/>
      <c r="X63" s="344"/>
      <c r="Y63" s="344"/>
      <c r="Z63" s="344"/>
      <c r="AA63" s="344"/>
      <c r="AB63" s="344"/>
      <c r="AC63" s="344"/>
      <c r="AD63" s="344"/>
      <c r="AE63" s="344"/>
      <c r="AF63" s="344"/>
      <c r="AG63" s="344"/>
      <c r="AH63" s="344"/>
    </row>
    <row r="64" spans="1:34" ht="27" customHeight="1" x14ac:dyDescent="0.3">
      <c r="A64" s="344"/>
      <c r="B64" s="345"/>
      <c r="C64" s="362" t="s">
        <v>403</v>
      </c>
      <c r="D64" s="361" t="s">
        <v>404</v>
      </c>
      <c r="E64" s="360"/>
      <c r="F64" s="360" t="s">
        <v>306</v>
      </c>
      <c r="G64" s="359">
        <v>23.75</v>
      </c>
      <c r="H64" s="357"/>
      <c r="I64" s="356"/>
      <c r="J64" s="344"/>
      <c r="K64" s="344"/>
      <c r="L64" s="344"/>
      <c r="M64" s="344"/>
      <c r="N64" s="344"/>
      <c r="O64" s="344"/>
      <c r="P64" s="344"/>
      <c r="Q64" s="344"/>
      <c r="R64" s="344"/>
      <c r="S64" s="344"/>
      <c r="T64" s="344"/>
      <c r="U64" s="344"/>
      <c r="V64" s="344"/>
      <c r="W64" s="344"/>
      <c r="X64" s="344"/>
      <c r="Y64" s="344"/>
      <c r="Z64" s="344"/>
      <c r="AA64" s="344"/>
      <c r="AB64" s="344"/>
      <c r="AC64" s="344"/>
      <c r="AD64" s="344"/>
      <c r="AE64" s="344"/>
      <c r="AF64" s="344"/>
      <c r="AG64" s="344"/>
      <c r="AH64" s="344"/>
    </row>
    <row r="65" spans="1:34" ht="27" customHeight="1" x14ac:dyDescent="0.3">
      <c r="A65" s="344"/>
      <c r="B65" s="345"/>
      <c r="C65" s="358"/>
      <c r="D65" s="354" t="s">
        <v>405</v>
      </c>
      <c r="E65" s="353"/>
      <c r="F65" s="353" t="s">
        <v>306</v>
      </c>
      <c r="G65" s="352">
        <v>14.25</v>
      </c>
      <c r="H65" s="357"/>
      <c r="I65" s="356"/>
      <c r="J65" s="344"/>
      <c r="K65" s="344"/>
      <c r="L65" s="344"/>
      <c r="M65" s="344"/>
      <c r="N65" s="344"/>
      <c r="O65" s="344"/>
      <c r="P65" s="344"/>
      <c r="Q65" s="344"/>
      <c r="R65" s="344"/>
      <c r="S65" s="344"/>
      <c r="T65" s="344"/>
      <c r="U65" s="344"/>
      <c r="V65" s="344"/>
      <c r="W65" s="344"/>
      <c r="X65" s="344"/>
      <c r="Y65" s="344"/>
      <c r="Z65" s="344"/>
      <c r="AA65" s="344"/>
      <c r="AB65" s="344"/>
      <c r="AC65" s="344"/>
      <c r="AD65" s="344"/>
      <c r="AE65" s="344"/>
      <c r="AF65" s="344"/>
      <c r="AG65" s="344"/>
      <c r="AH65" s="344"/>
    </row>
    <row r="66" spans="1:34" ht="27" customHeight="1" x14ac:dyDescent="0.3">
      <c r="A66" s="344"/>
      <c r="B66" s="345"/>
      <c r="C66" s="355"/>
      <c r="D66" s="354" t="s">
        <v>406</v>
      </c>
      <c r="E66" s="353"/>
      <c r="F66" s="353" t="s">
        <v>306</v>
      </c>
      <c r="G66" s="352">
        <v>23.75</v>
      </c>
      <c r="H66" s="357"/>
      <c r="I66" s="356"/>
      <c r="J66" s="344"/>
      <c r="K66" s="344"/>
      <c r="L66" s="344"/>
      <c r="M66" s="344"/>
      <c r="N66" s="344"/>
      <c r="O66" s="344"/>
      <c r="P66" s="344"/>
      <c r="Q66" s="344"/>
      <c r="R66" s="344"/>
      <c r="S66" s="344"/>
      <c r="T66" s="344"/>
      <c r="U66" s="344"/>
      <c r="V66" s="344"/>
      <c r="W66" s="344"/>
      <c r="X66" s="344"/>
      <c r="Y66" s="344"/>
      <c r="Z66" s="344"/>
      <c r="AA66" s="344"/>
      <c r="AB66" s="344"/>
      <c r="AC66" s="344"/>
      <c r="AD66" s="344"/>
      <c r="AE66" s="344"/>
      <c r="AF66" s="344"/>
      <c r="AG66" s="344"/>
      <c r="AH66" s="344"/>
    </row>
    <row r="67" spans="1:34" ht="27" customHeight="1" x14ac:dyDescent="0.3">
      <c r="A67" s="344"/>
      <c r="B67" s="345"/>
      <c r="C67" s="355"/>
      <c r="D67" s="354" t="s">
        <v>407</v>
      </c>
      <c r="E67" s="353"/>
      <c r="F67" s="353" t="s">
        <v>306</v>
      </c>
      <c r="G67" s="352">
        <v>7.22</v>
      </c>
      <c r="H67" s="357"/>
      <c r="I67" s="356"/>
      <c r="J67" s="344"/>
      <c r="K67" s="344"/>
      <c r="L67" s="344"/>
      <c r="M67" s="344"/>
      <c r="N67" s="344"/>
      <c r="O67" s="344"/>
      <c r="P67" s="344"/>
      <c r="Q67" s="344"/>
      <c r="R67" s="344"/>
      <c r="S67" s="344"/>
      <c r="T67" s="344"/>
      <c r="U67" s="344"/>
      <c r="V67" s="344"/>
      <c r="W67" s="344"/>
      <c r="X67" s="344"/>
      <c r="Y67" s="344"/>
      <c r="Z67" s="344"/>
      <c r="AA67" s="344"/>
      <c r="AB67" s="344"/>
      <c r="AC67" s="344"/>
      <c r="AD67" s="344"/>
      <c r="AE67" s="344"/>
      <c r="AF67" s="344"/>
      <c r="AG67" s="344"/>
      <c r="AH67" s="344"/>
    </row>
    <row r="68" spans="1:34" ht="27" customHeight="1" x14ac:dyDescent="0.3">
      <c r="A68" s="344"/>
      <c r="B68" s="345"/>
      <c r="C68" s="355"/>
      <c r="D68" s="354" t="s">
        <v>408</v>
      </c>
      <c r="E68" s="353"/>
      <c r="F68" s="353" t="s">
        <v>306</v>
      </c>
      <c r="G68" s="352">
        <v>30</v>
      </c>
      <c r="H68" s="351"/>
      <c r="I68" s="350"/>
      <c r="J68" s="344"/>
      <c r="K68" s="344"/>
      <c r="L68" s="344"/>
      <c r="M68" s="344"/>
      <c r="N68" s="344"/>
      <c r="O68" s="344"/>
      <c r="P68" s="344"/>
      <c r="Q68" s="344"/>
      <c r="R68" s="344"/>
      <c r="S68" s="344"/>
      <c r="T68" s="344"/>
      <c r="U68" s="344"/>
      <c r="V68" s="344"/>
      <c r="W68" s="344"/>
      <c r="X68" s="344"/>
      <c r="Y68" s="344"/>
      <c r="Z68" s="344"/>
      <c r="AA68" s="344"/>
      <c r="AB68" s="344"/>
      <c r="AC68" s="344"/>
      <c r="AD68" s="344"/>
      <c r="AE68" s="344"/>
      <c r="AF68" s="344"/>
      <c r="AG68" s="344"/>
      <c r="AH68" s="344"/>
    </row>
    <row r="69" spans="1:34" ht="27" customHeight="1" thickBot="1" x14ac:dyDescent="0.35">
      <c r="A69" s="344"/>
      <c r="B69" s="345"/>
      <c r="C69" s="349"/>
      <c r="D69" s="348" t="s">
        <v>409</v>
      </c>
      <c r="E69" s="347"/>
      <c r="F69" s="347" t="s">
        <v>306</v>
      </c>
      <c r="G69" s="346">
        <v>6.84</v>
      </c>
      <c r="H69" s="345"/>
      <c r="I69" s="344"/>
      <c r="J69" s="344"/>
      <c r="K69" s="344"/>
      <c r="L69" s="344"/>
      <c r="M69" s="344"/>
      <c r="N69" s="344"/>
      <c r="O69" s="344"/>
      <c r="P69" s="344"/>
      <c r="Q69" s="344"/>
      <c r="R69" s="344"/>
      <c r="S69" s="344"/>
      <c r="T69" s="344"/>
      <c r="U69" s="344"/>
      <c r="V69" s="344"/>
      <c r="W69" s="344"/>
      <c r="X69" s="344"/>
      <c r="Y69" s="344"/>
      <c r="Z69" s="344"/>
      <c r="AA69" s="344"/>
      <c r="AB69" s="344"/>
      <c r="AC69" s="344"/>
      <c r="AD69" s="344"/>
      <c r="AE69" s="344"/>
      <c r="AF69" s="344"/>
      <c r="AG69" s="344"/>
      <c r="AH69" s="344"/>
    </row>
    <row r="70" spans="1:34" ht="27" customHeight="1" thickBot="1" x14ac:dyDescent="0.35">
      <c r="A70" s="344"/>
      <c r="B70" s="345"/>
      <c r="C70" s="1032" t="s">
        <v>410</v>
      </c>
      <c r="D70" s="1033"/>
      <c r="E70" s="772"/>
      <c r="F70" s="772"/>
      <c r="G70" s="773"/>
      <c r="H70" s="345"/>
      <c r="I70" s="344"/>
      <c r="J70" s="344"/>
      <c r="K70" s="344"/>
      <c r="L70" s="344"/>
      <c r="M70" s="344"/>
      <c r="N70" s="344"/>
      <c r="O70" s="344"/>
      <c r="P70" s="344"/>
      <c r="Q70" s="344"/>
      <c r="R70" s="344"/>
      <c r="S70" s="344"/>
      <c r="T70" s="344"/>
      <c r="U70" s="344"/>
      <c r="V70" s="344"/>
      <c r="W70" s="344"/>
      <c r="X70" s="344"/>
      <c r="Y70" s="344"/>
      <c r="Z70" s="344"/>
      <c r="AA70" s="344"/>
      <c r="AB70" s="344"/>
      <c r="AC70" s="344"/>
      <c r="AD70" s="344"/>
      <c r="AE70" s="344"/>
      <c r="AF70" s="344"/>
      <c r="AG70" s="344"/>
      <c r="AH70" s="344"/>
    </row>
    <row r="71" spans="1:34" ht="27" customHeight="1" thickBot="1" x14ac:dyDescent="0.35">
      <c r="A71" s="344"/>
      <c r="B71" s="345"/>
      <c r="C71" s="401" t="s">
        <v>49</v>
      </c>
      <c r="D71" s="400" t="s">
        <v>299</v>
      </c>
      <c r="E71" s="399" t="s">
        <v>300</v>
      </c>
      <c r="F71" s="399" t="s">
        <v>301</v>
      </c>
      <c r="G71" s="398" t="s">
        <v>317</v>
      </c>
      <c r="H71" s="345"/>
      <c r="I71" s="344"/>
      <c r="J71" s="344"/>
      <c r="K71" s="344"/>
      <c r="L71" s="344"/>
      <c r="M71" s="344"/>
      <c r="N71" s="344"/>
      <c r="O71" s="344"/>
      <c r="P71" s="344"/>
      <c r="Q71" s="344"/>
      <c r="R71" s="344"/>
      <c r="S71" s="344"/>
      <c r="T71" s="344"/>
      <c r="U71" s="344"/>
      <c r="V71" s="344"/>
      <c r="W71" s="344"/>
      <c r="X71" s="344"/>
      <c r="Y71" s="344"/>
      <c r="Z71" s="344"/>
      <c r="AA71" s="344"/>
      <c r="AB71" s="344"/>
      <c r="AC71" s="344"/>
      <c r="AD71" s="344"/>
      <c r="AE71" s="344"/>
      <c r="AF71" s="344"/>
      <c r="AG71" s="344"/>
      <c r="AH71" s="344"/>
    </row>
    <row r="72" spans="1:34" ht="27" customHeight="1" x14ac:dyDescent="0.3">
      <c r="A72" s="344"/>
      <c r="B72" s="345"/>
      <c r="C72" s="397" t="s">
        <v>411</v>
      </c>
      <c r="D72" s="361" t="s">
        <v>412</v>
      </c>
      <c r="E72" s="360"/>
      <c r="F72" s="360"/>
      <c r="G72" s="359" t="s">
        <v>413</v>
      </c>
      <c r="H72" s="345"/>
      <c r="I72" s="344"/>
      <c r="J72" s="344"/>
      <c r="K72" s="344"/>
      <c r="L72" s="344"/>
      <c r="M72" s="344"/>
      <c r="N72" s="344"/>
      <c r="O72" s="344"/>
      <c r="P72" s="344"/>
      <c r="Q72" s="344"/>
      <c r="R72" s="344"/>
      <c r="S72" s="344"/>
      <c r="T72" s="344"/>
      <c r="U72" s="344"/>
      <c r="V72" s="344"/>
      <c r="W72" s="344"/>
      <c r="X72" s="344"/>
      <c r="Y72" s="344"/>
      <c r="Z72" s="344"/>
      <c r="AA72" s="344"/>
      <c r="AB72" s="344"/>
      <c r="AC72" s="344"/>
      <c r="AD72" s="344"/>
      <c r="AE72" s="344"/>
      <c r="AF72" s="344"/>
      <c r="AG72" s="344"/>
      <c r="AH72" s="344"/>
    </row>
    <row r="73" spans="1:34" ht="27" customHeight="1" thickBot="1" x14ac:dyDescent="0.35">
      <c r="A73" s="344"/>
      <c r="B73" s="345"/>
      <c r="C73" s="396"/>
      <c r="D73" s="395" t="s">
        <v>414</v>
      </c>
      <c r="E73" s="392"/>
      <c r="F73" s="383"/>
      <c r="G73" s="394" t="s">
        <v>413</v>
      </c>
      <c r="H73" s="345"/>
      <c r="I73" s="344"/>
      <c r="J73" s="344"/>
      <c r="K73" s="344"/>
      <c r="L73" s="344"/>
      <c r="M73" s="344"/>
      <c r="N73" s="344"/>
      <c r="O73" s="344"/>
      <c r="P73" s="344"/>
      <c r="Q73" s="344"/>
      <c r="R73" s="344"/>
      <c r="S73" s="344"/>
      <c r="T73" s="344"/>
      <c r="U73" s="344"/>
      <c r="V73" s="344"/>
      <c r="W73" s="344"/>
      <c r="X73" s="344"/>
      <c r="Y73" s="344"/>
      <c r="Z73" s="344"/>
      <c r="AA73" s="344"/>
      <c r="AB73" s="344"/>
      <c r="AC73" s="344"/>
      <c r="AD73" s="344"/>
      <c r="AE73" s="344"/>
      <c r="AF73" s="344"/>
      <c r="AG73" s="344"/>
      <c r="AH73" s="344"/>
    </row>
    <row r="74" spans="1:34" ht="27" customHeight="1" x14ac:dyDescent="0.3">
      <c r="A74" s="344"/>
      <c r="B74" s="345"/>
      <c r="C74" s="397" t="s">
        <v>415</v>
      </c>
      <c r="D74" s="361" t="s">
        <v>416</v>
      </c>
      <c r="E74" s="360"/>
      <c r="F74" s="360"/>
      <c r="G74" s="359" t="s">
        <v>413</v>
      </c>
      <c r="H74" s="345"/>
      <c r="I74" s="344"/>
      <c r="J74" s="344"/>
      <c r="K74" s="344"/>
      <c r="L74" s="344"/>
      <c r="M74" s="344"/>
      <c r="N74" s="344"/>
      <c r="O74" s="344"/>
      <c r="P74" s="344"/>
      <c r="Q74" s="344"/>
      <c r="R74" s="344"/>
      <c r="S74" s="344"/>
      <c r="T74" s="344"/>
      <c r="U74" s="344"/>
      <c r="V74" s="344"/>
      <c r="W74" s="344"/>
      <c r="X74" s="344"/>
      <c r="Y74" s="344"/>
      <c r="Z74" s="344"/>
      <c r="AA74" s="344"/>
      <c r="AB74" s="344"/>
      <c r="AC74" s="344"/>
      <c r="AD74" s="344"/>
      <c r="AE74" s="344"/>
      <c r="AF74" s="344"/>
      <c r="AG74" s="344"/>
      <c r="AH74" s="344"/>
    </row>
    <row r="75" spans="1:34" ht="27" customHeight="1" thickBot="1" x14ac:dyDescent="0.35">
      <c r="A75" s="344"/>
      <c r="B75" s="345"/>
      <c r="C75" s="349"/>
      <c r="D75" s="776" t="s">
        <v>417</v>
      </c>
      <c r="E75" s="346"/>
      <c r="F75" s="346"/>
      <c r="G75" s="346" t="s">
        <v>413</v>
      </c>
      <c r="H75" s="345"/>
      <c r="I75" s="344"/>
      <c r="J75" s="344"/>
      <c r="K75" s="344"/>
      <c r="L75" s="344"/>
      <c r="M75" s="344"/>
      <c r="N75" s="344"/>
      <c r="O75" s="344"/>
      <c r="P75" s="344"/>
      <c r="Q75" s="344"/>
      <c r="R75" s="344"/>
      <c r="S75" s="344"/>
      <c r="T75" s="344"/>
      <c r="U75" s="344"/>
      <c r="V75" s="344"/>
      <c r="W75" s="344"/>
      <c r="X75" s="344"/>
      <c r="Y75" s="344"/>
      <c r="Z75" s="344"/>
      <c r="AA75" s="344"/>
      <c r="AB75" s="344"/>
      <c r="AC75" s="344"/>
      <c r="AD75" s="344"/>
      <c r="AE75" s="344"/>
      <c r="AF75" s="344"/>
      <c r="AG75" s="344"/>
      <c r="AH75" s="344"/>
    </row>
    <row r="76" spans="1:34" ht="27" customHeight="1" x14ac:dyDescent="0.3">
      <c r="A76" s="344"/>
      <c r="B76" s="345"/>
      <c r="C76" s="345"/>
      <c r="D76" s="345"/>
      <c r="E76" s="345"/>
      <c r="F76" s="345"/>
      <c r="G76" s="345"/>
      <c r="H76" s="345"/>
      <c r="I76" s="344"/>
      <c r="J76" s="344"/>
      <c r="K76" s="344"/>
      <c r="L76" s="344"/>
      <c r="M76" s="344"/>
      <c r="N76" s="344"/>
      <c r="O76" s="344"/>
      <c r="P76" s="344"/>
      <c r="Q76" s="344"/>
      <c r="R76" s="344"/>
      <c r="S76" s="344"/>
      <c r="T76" s="344"/>
      <c r="U76" s="344"/>
      <c r="V76" s="344"/>
      <c r="W76" s="344"/>
      <c r="X76" s="344"/>
      <c r="Y76" s="344"/>
      <c r="Z76" s="344"/>
      <c r="AA76" s="344"/>
      <c r="AB76" s="344"/>
      <c r="AC76" s="344"/>
      <c r="AD76" s="344"/>
      <c r="AE76" s="344"/>
      <c r="AF76" s="344"/>
      <c r="AG76" s="344"/>
      <c r="AH76" s="344"/>
    </row>
    <row r="77" spans="1:34" ht="27" customHeight="1" x14ac:dyDescent="0.3">
      <c r="A77" s="344"/>
      <c r="B77" s="344"/>
      <c r="C77" s="344"/>
      <c r="D77" s="344"/>
      <c r="E77" s="344"/>
      <c r="F77" s="344"/>
      <c r="G77" s="344"/>
      <c r="H77" s="344"/>
      <c r="I77" s="344"/>
      <c r="J77" s="344"/>
      <c r="K77" s="344"/>
      <c r="L77" s="344"/>
      <c r="M77" s="344"/>
      <c r="N77" s="344"/>
      <c r="O77" s="344"/>
      <c r="P77" s="344"/>
      <c r="Q77" s="344"/>
      <c r="R77" s="344"/>
      <c r="S77" s="344"/>
      <c r="T77" s="344"/>
      <c r="U77" s="344"/>
      <c r="V77" s="344"/>
      <c r="W77" s="344"/>
      <c r="X77" s="344"/>
      <c r="Y77" s="344"/>
      <c r="Z77" s="344"/>
      <c r="AA77" s="344"/>
      <c r="AB77" s="344"/>
      <c r="AC77" s="344"/>
      <c r="AD77" s="344"/>
      <c r="AE77" s="344"/>
      <c r="AF77" s="344"/>
      <c r="AG77" s="344"/>
      <c r="AH77" s="344"/>
    </row>
    <row r="78" spans="1:34" ht="27" customHeight="1" x14ac:dyDescent="0.3">
      <c r="A78" s="344"/>
      <c r="B78" s="344"/>
      <c r="C78" s="344"/>
      <c r="D78" s="344"/>
      <c r="E78" s="344"/>
      <c r="F78" s="344"/>
      <c r="G78" s="344"/>
      <c r="H78" s="344"/>
      <c r="I78" s="344"/>
      <c r="J78" s="344"/>
      <c r="K78" s="344"/>
      <c r="L78" s="344"/>
      <c r="M78" s="344"/>
      <c r="N78" s="344"/>
      <c r="O78" s="344"/>
      <c r="P78" s="344"/>
      <c r="Q78" s="344"/>
      <c r="R78" s="344"/>
      <c r="S78" s="344"/>
      <c r="T78" s="344"/>
      <c r="U78" s="344"/>
      <c r="V78" s="344"/>
      <c r="W78" s="344"/>
      <c r="X78" s="344"/>
      <c r="Y78" s="344"/>
      <c r="Z78" s="344"/>
      <c r="AA78" s="344"/>
      <c r="AB78" s="344"/>
      <c r="AC78" s="344"/>
      <c r="AD78" s="344"/>
      <c r="AE78" s="344"/>
      <c r="AF78" s="344"/>
      <c r="AG78" s="344"/>
      <c r="AH78" s="344"/>
    </row>
    <row r="79" spans="1:34" ht="27" customHeight="1" x14ac:dyDescent="0.3">
      <c r="A79" s="344"/>
      <c r="B79" s="344"/>
      <c r="C79" s="344"/>
      <c r="D79" s="344"/>
      <c r="E79" s="344"/>
      <c r="F79" s="344"/>
      <c r="G79" s="344"/>
      <c r="H79" s="344"/>
      <c r="I79" s="344"/>
      <c r="J79" s="344"/>
      <c r="K79" s="344"/>
      <c r="L79" s="344"/>
      <c r="M79" s="344"/>
      <c r="N79" s="344"/>
      <c r="O79" s="344"/>
      <c r="P79" s="344"/>
      <c r="Q79" s="344"/>
      <c r="R79" s="344"/>
      <c r="S79" s="344"/>
      <c r="T79" s="344"/>
      <c r="U79" s="344"/>
      <c r="V79" s="344"/>
      <c r="W79" s="344"/>
      <c r="X79" s="344"/>
      <c r="Y79" s="344"/>
      <c r="Z79" s="344"/>
      <c r="AA79" s="344"/>
      <c r="AB79" s="344"/>
      <c r="AC79" s="344"/>
      <c r="AD79" s="344"/>
      <c r="AE79" s="344"/>
      <c r="AF79" s="344"/>
      <c r="AG79" s="344"/>
      <c r="AH79" s="344"/>
    </row>
    <row r="80" spans="1:34" ht="27" customHeight="1" x14ac:dyDescent="0.3">
      <c r="A80" s="344"/>
      <c r="B80" s="344"/>
      <c r="C80" s="344"/>
      <c r="D80" s="344"/>
      <c r="E80" s="344"/>
      <c r="F80" s="344"/>
      <c r="G80" s="344"/>
      <c r="H80" s="344"/>
      <c r="I80" s="344"/>
      <c r="J80" s="344"/>
      <c r="K80" s="344"/>
      <c r="L80" s="344"/>
      <c r="M80" s="344"/>
      <c r="N80" s="344"/>
      <c r="O80" s="344"/>
      <c r="P80" s="344"/>
      <c r="Q80" s="344"/>
      <c r="R80" s="344"/>
      <c r="S80" s="344"/>
      <c r="T80" s="344"/>
      <c r="U80" s="344"/>
      <c r="V80" s="344"/>
      <c r="W80" s="344"/>
      <c r="X80" s="344"/>
      <c r="Y80" s="344"/>
      <c r="Z80" s="344"/>
      <c r="AA80" s="344"/>
      <c r="AB80" s="344"/>
      <c r="AC80" s="344"/>
      <c r="AD80" s="344"/>
      <c r="AE80" s="344"/>
      <c r="AF80" s="344"/>
      <c r="AG80" s="344"/>
      <c r="AH80" s="344"/>
    </row>
    <row r="81" spans="1:34" ht="27" customHeight="1" x14ac:dyDescent="0.3">
      <c r="A81" s="344"/>
      <c r="B81" s="344"/>
      <c r="C81" s="344"/>
      <c r="D81" s="344"/>
      <c r="E81" s="344"/>
      <c r="F81" s="344"/>
      <c r="G81" s="344"/>
      <c r="H81" s="344"/>
      <c r="I81" s="344"/>
      <c r="J81" s="344"/>
      <c r="K81" s="344"/>
      <c r="L81" s="344"/>
      <c r="M81" s="344"/>
      <c r="N81" s="344"/>
      <c r="O81" s="344"/>
      <c r="P81" s="344"/>
      <c r="Q81" s="344"/>
      <c r="R81" s="344"/>
      <c r="S81" s="344"/>
      <c r="T81" s="344"/>
      <c r="U81" s="344"/>
      <c r="V81" s="344"/>
      <c r="W81" s="344"/>
      <c r="X81" s="344"/>
      <c r="Y81" s="344"/>
      <c r="Z81" s="344"/>
      <c r="AA81" s="344"/>
      <c r="AB81" s="344"/>
      <c r="AC81" s="344"/>
      <c r="AD81" s="344"/>
      <c r="AE81" s="344"/>
      <c r="AF81" s="344"/>
      <c r="AG81" s="344"/>
      <c r="AH81" s="344"/>
    </row>
    <row r="82" spans="1:34" ht="27" customHeight="1" x14ac:dyDescent="0.3">
      <c r="A82" s="344"/>
      <c r="B82" s="344"/>
      <c r="C82" s="344"/>
      <c r="D82" s="344"/>
      <c r="E82" s="344"/>
      <c r="F82" s="344"/>
      <c r="G82" s="344"/>
      <c r="H82" s="344"/>
      <c r="I82" s="344"/>
      <c r="J82" s="344"/>
      <c r="K82" s="344"/>
      <c r="L82" s="344"/>
      <c r="M82" s="344"/>
      <c r="N82" s="344"/>
      <c r="O82" s="344"/>
      <c r="P82" s="344"/>
      <c r="Q82" s="344"/>
      <c r="R82" s="344"/>
      <c r="S82" s="344"/>
      <c r="T82" s="344"/>
      <c r="U82" s="344"/>
      <c r="V82" s="344"/>
      <c r="W82" s="344"/>
      <c r="X82" s="344"/>
      <c r="Y82" s="344"/>
      <c r="Z82" s="344"/>
      <c r="AA82" s="344"/>
      <c r="AB82" s="344"/>
      <c r="AC82" s="344"/>
      <c r="AD82" s="344"/>
      <c r="AE82" s="344"/>
      <c r="AF82" s="344"/>
      <c r="AG82" s="344"/>
      <c r="AH82" s="344"/>
    </row>
    <row r="83" spans="1:34" ht="27" customHeight="1" x14ac:dyDescent="0.3">
      <c r="A83" s="344"/>
      <c r="B83" s="344"/>
      <c r="C83" s="344"/>
      <c r="D83" s="344"/>
      <c r="E83" s="344"/>
      <c r="F83" s="344"/>
      <c r="G83" s="344"/>
      <c r="H83" s="344"/>
      <c r="I83" s="344"/>
      <c r="J83" s="344"/>
      <c r="K83" s="344"/>
      <c r="L83" s="344"/>
      <c r="M83" s="344"/>
      <c r="N83" s="344"/>
      <c r="O83" s="344"/>
      <c r="P83" s="344"/>
      <c r="Q83" s="344"/>
      <c r="R83" s="344"/>
      <c r="S83" s="344"/>
      <c r="T83" s="344"/>
      <c r="U83" s="344"/>
      <c r="V83" s="344"/>
      <c r="W83" s="344"/>
      <c r="X83" s="344"/>
      <c r="Y83" s="344"/>
      <c r="Z83" s="344"/>
      <c r="AA83" s="344"/>
      <c r="AB83" s="344"/>
      <c r="AC83" s="344"/>
      <c r="AD83" s="344"/>
      <c r="AE83" s="344"/>
      <c r="AF83" s="344"/>
      <c r="AG83" s="344"/>
      <c r="AH83" s="344"/>
    </row>
    <row r="84" spans="1:34" ht="27" customHeight="1" x14ac:dyDescent="0.3">
      <c r="A84" s="344"/>
      <c r="B84" s="344"/>
      <c r="C84" s="344"/>
      <c r="D84" s="344"/>
      <c r="E84" s="344"/>
      <c r="F84" s="344"/>
      <c r="G84" s="344"/>
      <c r="H84" s="344"/>
      <c r="I84" s="344"/>
      <c r="J84" s="344"/>
      <c r="K84" s="344"/>
      <c r="L84" s="344"/>
      <c r="M84" s="344"/>
      <c r="N84" s="344"/>
      <c r="O84" s="344"/>
      <c r="P84" s="344"/>
      <c r="Q84" s="344"/>
      <c r="R84" s="344"/>
      <c r="S84" s="344"/>
      <c r="T84" s="344"/>
      <c r="U84" s="344"/>
      <c r="V84" s="344"/>
      <c r="W84" s="344"/>
      <c r="X84" s="344"/>
      <c r="Y84" s="344"/>
      <c r="Z84" s="344"/>
      <c r="AA84" s="344"/>
      <c r="AB84" s="344"/>
      <c r="AC84" s="344"/>
      <c r="AD84" s="344"/>
      <c r="AE84" s="344"/>
      <c r="AF84" s="344"/>
      <c r="AG84" s="344"/>
      <c r="AH84" s="344"/>
    </row>
    <row r="85" spans="1:34" ht="27" customHeight="1" x14ac:dyDescent="0.3">
      <c r="A85" s="344"/>
      <c r="B85" s="344"/>
      <c r="C85" s="344"/>
      <c r="D85" s="344"/>
      <c r="E85" s="344"/>
      <c r="F85" s="344"/>
      <c r="G85" s="344"/>
      <c r="H85" s="344"/>
      <c r="I85" s="344"/>
      <c r="J85" s="344"/>
      <c r="K85" s="344"/>
      <c r="L85" s="344"/>
      <c r="M85" s="344"/>
      <c r="N85" s="344"/>
      <c r="O85" s="344"/>
      <c r="P85" s="344"/>
      <c r="Q85" s="344"/>
      <c r="R85" s="344"/>
      <c r="S85" s="344"/>
      <c r="T85" s="344"/>
      <c r="U85" s="344"/>
      <c r="V85" s="344"/>
      <c r="W85" s="344"/>
      <c r="X85" s="344"/>
      <c r="Y85" s="344"/>
      <c r="Z85" s="344"/>
      <c r="AA85" s="344"/>
      <c r="AB85" s="344"/>
      <c r="AC85" s="344"/>
      <c r="AD85" s="344"/>
      <c r="AE85" s="344"/>
      <c r="AF85" s="344"/>
      <c r="AG85" s="344"/>
      <c r="AH85" s="344"/>
    </row>
    <row r="86" spans="1:34" ht="27" customHeight="1" x14ac:dyDescent="0.3">
      <c r="A86" s="344"/>
      <c r="B86" s="344"/>
      <c r="C86" s="344"/>
      <c r="D86" s="344"/>
      <c r="E86" s="344"/>
      <c r="F86" s="344"/>
      <c r="G86" s="344"/>
      <c r="H86" s="344"/>
      <c r="I86" s="344"/>
      <c r="J86" s="344"/>
      <c r="K86" s="344"/>
      <c r="L86" s="344"/>
      <c r="M86" s="344"/>
      <c r="N86" s="344"/>
      <c r="O86" s="344"/>
      <c r="P86" s="344"/>
      <c r="Q86" s="344"/>
      <c r="R86" s="344"/>
      <c r="S86" s="344"/>
      <c r="T86" s="344"/>
      <c r="U86" s="344"/>
      <c r="V86" s="344"/>
      <c r="W86" s="344"/>
      <c r="X86" s="344"/>
      <c r="Y86" s="344"/>
      <c r="Z86" s="344"/>
      <c r="AA86" s="344"/>
      <c r="AB86" s="344"/>
      <c r="AC86" s="344"/>
      <c r="AD86" s="344"/>
      <c r="AE86" s="344"/>
      <c r="AF86" s="344"/>
      <c r="AG86" s="344"/>
      <c r="AH86" s="344"/>
    </row>
    <row r="87" spans="1:34" ht="27" customHeight="1" x14ac:dyDescent="0.3">
      <c r="A87" s="344"/>
      <c r="B87" s="344"/>
      <c r="C87" s="344"/>
      <c r="D87" s="344"/>
      <c r="E87" s="344"/>
      <c r="F87" s="344"/>
      <c r="G87" s="344"/>
      <c r="H87" s="344"/>
      <c r="I87" s="344"/>
      <c r="J87" s="344"/>
      <c r="K87" s="344"/>
      <c r="L87" s="344"/>
      <c r="M87" s="344"/>
      <c r="N87" s="344"/>
      <c r="O87" s="344"/>
      <c r="P87" s="344"/>
      <c r="Q87" s="344"/>
      <c r="R87" s="344"/>
      <c r="S87" s="344"/>
      <c r="T87" s="344"/>
      <c r="U87" s="344"/>
      <c r="V87" s="344"/>
      <c r="W87" s="344"/>
      <c r="X87" s="344"/>
      <c r="Y87" s="344"/>
      <c r="Z87" s="344"/>
      <c r="AA87" s="344"/>
      <c r="AB87" s="344"/>
      <c r="AC87" s="344"/>
      <c r="AD87" s="344"/>
      <c r="AE87" s="344"/>
      <c r="AF87" s="344"/>
      <c r="AG87" s="344"/>
      <c r="AH87" s="344"/>
    </row>
    <row r="88" spans="1:34" ht="27" customHeight="1" x14ac:dyDescent="0.3">
      <c r="A88" s="344"/>
      <c r="B88" s="344"/>
      <c r="C88" s="344"/>
      <c r="D88" s="344"/>
      <c r="E88" s="344"/>
      <c r="F88" s="344"/>
      <c r="G88" s="344"/>
      <c r="H88" s="344"/>
      <c r="I88" s="344"/>
      <c r="J88" s="344"/>
      <c r="K88" s="344"/>
      <c r="L88" s="344"/>
      <c r="M88" s="344"/>
      <c r="N88" s="344"/>
      <c r="O88" s="344"/>
      <c r="P88" s="344"/>
      <c r="Q88" s="344"/>
      <c r="R88" s="344"/>
      <c r="S88" s="344"/>
      <c r="T88" s="344"/>
      <c r="U88" s="344"/>
      <c r="V88" s="344"/>
      <c r="W88" s="344"/>
      <c r="X88" s="344"/>
      <c r="Y88" s="344"/>
      <c r="Z88" s="344"/>
      <c r="AA88" s="344"/>
      <c r="AB88" s="344"/>
      <c r="AC88" s="344"/>
      <c r="AD88" s="344"/>
      <c r="AE88" s="344"/>
      <c r="AF88" s="344"/>
      <c r="AG88" s="344"/>
      <c r="AH88" s="344"/>
    </row>
    <row r="89" spans="1:34" ht="27" customHeight="1" x14ac:dyDescent="0.3">
      <c r="A89" s="344"/>
      <c r="B89" s="344"/>
      <c r="C89" s="344"/>
      <c r="D89" s="344"/>
      <c r="E89" s="344"/>
      <c r="F89" s="344"/>
      <c r="G89" s="344"/>
      <c r="H89" s="344"/>
      <c r="I89" s="344"/>
      <c r="J89" s="344"/>
      <c r="K89" s="344"/>
      <c r="L89" s="344"/>
      <c r="M89" s="344"/>
      <c r="N89" s="344"/>
      <c r="O89" s="344"/>
      <c r="P89" s="344"/>
      <c r="Q89" s="344"/>
      <c r="R89" s="344"/>
      <c r="S89" s="344"/>
      <c r="T89" s="344"/>
      <c r="U89" s="344"/>
      <c r="V89" s="344"/>
      <c r="W89" s="344"/>
      <c r="X89" s="344"/>
      <c r="Y89" s="344"/>
      <c r="Z89" s="344"/>
      <c r="AA89" s="344"/>
      <c r="AB89" s="344"/>
      <c r="AC89" s="344"/>
      <c r="AD89" s="344"/>
      <c r="AE89" s="344"/>
      <c r="AF89" s="344"/>
      <c r="AG89" s="344"/>
      <c r="AH89" s="344"/>
    </row>
    <row r="90" spans="1:34" ht="27" customHeight="1" x14ac:dyDescent="0.3">
      <c r="A90" s="344"/>
      <c r="B90" s="344"/>
      <c r="C90" s="344"/>
      <c r="D90" s="344"/>
      <c r="E90" s="344"/>
      <c r="F90" s="344"/>
      <c r="G90" s="344"/>
      <c r="H90" s="344"/>
      <c r="I90" s="344"/>
      <c r="J90" s="344"/>
      <c r="K90" s="344"/>
      <c r="L90" s="344"/>
      <c r="M90" s="344"/>
      <c r="N90" s="344"/>
      <c r="O90" s="344"/>
      <c r="P90" s="344"/>
      <c r="Q90" s="344"/>
      <c r="R90" s="344"/>
      <c r="S90" s="344"/>
      <c r="T90" s="344"/>
      <c r="U90" s="344"/>
      <c r="V90" s="344"/>
      <c r="W90" s="344"/>
      <c r="X90" s="344"/>
      <c r="Y90" s="344"/>
      <c r="Z90" s="344"/>
      <c r="AA90" s="344"/>
      <c r="AB90" s="344"/>
      <c r="AC90" s="344"/>
      <c r="AD90" s="344"/>
      <c r="AE90" s="344"/>
      <c r="AF90" s="344"/>
      <c r="AG90" s="344"/>
      <c r="AH90" s="344"/>
    </row>
    <row r="91" spans="1:34" ht="27" customHeight="1" x14ac:dyDescent="0.3">
      <c r="A91" s="344"/>
      <c r="B91" s="344"/>
      <c r="C91" s="344"/>
      <c r="D91" s="344"/>
      <c r="E91" s="344"/>
      <c r="F91" s="344"/>
      <c r="G91" s="344"/>
      <c r="H91" s="344"/>
      <c r="I91" s="344"/>
      <c r="J91" s="344"/>
      <c r="K91" s="344"/>
      <c r="L91" s="344"/>
      <c r="M91" s="344"/>
      <c r="N91" s="344"/>
      <c r="O91" s="344"/>
      <c r="P91" s="344"/>
      <c r="Q91" s="344"/>
      <c r="R91" s="344"/>
      <c r="S91" s="344"/>
      <c r="T91" s="344"/>
      <c r="U91" s="344"/>
      <c r="V91" s="344"/>
      <c r="W91" s="344"/>
      <c r="X91" s="344"/>
      <c r="Y91" s="344"/>
      <c r="Z91" s="344"/>
      <c r="AA91" s="344"/>
      <c r="AB91" s="344"/>
      <c r="AC91" s="344"/>
      <c r="AD91" s="344"/>
      <c r="AE91" s="344"/>
      <c r="AF91" s="344"/>
      <c r="AG91" s="344"/>
      <c r="AH91" s="344"/>
    </row>
    <row r="92" spans="1:34" ht="27" customHeight="1" x14ac:dyDescent="0.3">
      <c r="A92" s="344"/>
      <c r="B92" s="344"/>
      <c r="C92" s="344"/>
      <c r="D92" s="344"/>
      <c r="E92" s="344"/>
      <c r="F92" s="344"/>
      <c r="G92" s="344"/>
      <c r="H92" s="344"/>
      <c r="I92" s="344"/>
      <c r="J92" s="344"/>
      <c r="K92" s="344"/>
      <c r="L92" s="344"/>
      <c r="M92" s="344"/>
      <c r="N92" s="344"/>
      <c r="O92" s="344"/>
      <c r="P92" s="344"/>
      <c r="Q92" s="344"/>
      <c r="R92" s="344"/>
      <c r="S92" s="344"/>
      <c r="T92" s="344"/>
      <c r="U92" s="344"/>
      <c r="V92" s="344"/>
      <c r="W92" s="344"/>
      <c r="X92" s="344"/>
      <c r="Y92" s="344"/>
      <c r="Z92" s="344"/>
      <c r="AA92" s="344"/>
      <c r="AB92" s="344"/>
      <c r="AC92" s="344"/>
      <c r="AD92" s="344"/>
      <c r="AE92" s="344"/>
      <c r="AF92" s="344"/>
      <c r="AG92" s="344"/>
      <c r="AH92" s="344"/>
    </row>
    <row r="93" spans="1:34" ht="27" customHeight="1" x14ac:dyDescent="0.3">
      <c r="A93" s="344"/>
      <c r="B93" s="344"/>
      <c r="C93" s="344"/>
      <c r="D93" s="344"/>
      <c r="E93" s="344"/>
      <c r="F93" s="344"/>
      <c r="G93" s="344"/>
      <c r="H93" s="344"/>
      <c r="I93" s="344"/>
      <c r="J93" s="344"/>
      <c r="K93" s="344"/>
      <c r="L93" s="344"/>
      <c r="M93" s="344"/>
      <c r="N93" s="344"/>
      <c r="O93" s="344"/>
      <c r="P93" s="344"/>
      <c r="Q93" s="344"/>
      <c r="R93" s="344"/>
      <c r="S93" s="344"/>
      <c r="T93" s="344"/>
      <c r="U93" s="344"/>
      <c r="V93" s="344"/>
      <c r="W93" s="344"/>
      <c r="X93" s="344"/>
      <c r="Y93" s="344"/>
      <c r="Z93" s="344"/>
      <c r="AA93" s="344"/>
      <c r="AB93" s="344"/>
      <c r="AC93" s="344"/>
      <c r="AD93" s="344"/>
      <c r="AE93" s="344"/>
      <c r="AF93" s="344"/>
      <c r="AG93" s="344"/>
      <c r="AH93" s="344"/>
    </row>
    <row r="94" spans="1:34" ht="27" customHeight="1" x14ac:dyDescent="0.3">
      <c r="A94" s="344"/>
      <c r="B94" s="344"/>
      <c r="C94" s="344"/>
      <c r="D94" s="344"/>
      <c r="E94" s="344"/>
      <c r="F94" s="344"/>
      <c r="G94" s="344"/>
      <c r="H94" s="344"/>
      <c r="I94" s="344"/>
      <c r="J94" s="344"/>
      <c r="K94" s="344"/>
      <c r="L94" s="344"/>
      <c r="M94" s="344"/>
      <c r="N94" s="344"/>
      <c r="O94" s="344"/>
      <c r="P94" s="344"/>
      <c r="Q94" s="344"/>
      <c r="R94" s="344"/>
      <c r="S94" s="344"/>
      <c r="T94" s="344"/>
      <c r="U94" s="344"/>
      <c r="V94" s="344"/>
      <c r="W94" s="344"/>
      <c r="X94" s="344"/>
      <c r="Y94" s="344"/>
      <c r="Z94" s="344"/>
      <c r="AA94" s="344"/>
      <c r="AB94" s="344"/>
      <c r="AC94" s="344"/>
      <c r="AD94" s="344"/>
      <c r="AE94" s="344"/>
      <c r="AF94" s="344"/>
      <c r="AG94" s="344"/>
      <c r="AH94" s="344"/>
    </row>
    <row r="95" spans="1:34" ht="27" customHeight="1" x14ac:dyDescent="0.3">
      <c r="A95" s="344"/>
      <c r="B95" s="344"/>
      <c r="C95" s="344"/>
      <c r="D95" s="344"/>
      <c r="E95" s="344"/>
      <c r="F95" s="344"/>
      <c r="G95" s="344"/>
      <c r="H95" s="344"/>
      <c r="I95" s="344"/>
      <c r="J95" s="344"/>
      <c r="K95" s="344"/>
      <c r="L95" s="344"/>
      <c r="M95" s="344"/>
      <c r="N95" s="344"/>
      <c r="O95" s="344"/>
      <c r="P95" s="344"/>
      <c r="Q95" s="344"/>
      <c r="R95" s="344"/>
      <c r="S95" s="344"/>
      <c r="T95" s="344"/>
      <c r="U95" s="344"/>
      <c r="V95" s="344"/>
      <c r="W95" s="344"/>
      <c r="X95" s="344"/>
      <c r="Y95" s="344"/>
      <c r="Z95" s="344"/>
      <c r="AA95" s="344"/>
      <c r="AB95" s="344"/>
      <c r="AC95" s="344"/>
      <c r="AD95" s="344"/>
      <c r="AE95" s="344"/>
      <c r="AF95" s="344"/>
      <c r="AG95" s="344"/>
      <c r="AH95" s="344"/>
    </row>
    <row r="96" spans="1:34" ht="27" customHeight="1" x14ac:dyDescent="0.3">
      <c r="A96" s="344"/>
      <c r="B96" s="344"/>
      <c r="C96" s="344"/>
      <c r="D96" s="344"/>
      <c r="E96" s="344"/>
      <c r="F96" s="344"/>
      <c r="G96" s="344"/>
      <c r="H96" s="344"/>
      <c r="I96" s="344"/>
      <c r="J96" s="344"/>
      <c r="K96" s="344"/>
      <c r="L96" s="344"/>
      <c r="M96" s="344"/>
      <c r="N96" s="344"/>
      <c r="O96" s="344"/>
      <c r="P96" s="344"/>
      <c r="Q96" s="344"/>
      <c r="R96" s="344"/>
      <c r="S96" s="344"/>
      <c r="T96" s="344"/>
      <c r="U96" s="344"/>
      <c r="V96" s="344"/>
      <c r="W96" s="344"/>
      <c r="X96" s="344"/>
      <c r="Y96" s="344"/>
      <c r="Z96" s="344"/>
      <c r="AA96" s="344"/>
      <c r="AB96" s="344"/>
      <c r="AC96" s="344"/>
      <c r="AD96" s="344"/>
      <c r="AE96" s="344"/>
      <c r="AF96" s="344"/>
      <c r="AG96" s="344"/>
      <c r="AH96" s="344"/>
    </row>
    <row r="97" spans="1:34" ht="27" customHeight="1" x14ac:dyDescent="0.3">
      <c r="A97" s="344"/>
      <c r="B97" s="344"/>
      <c r="C97" s="344"/>
      <c r="D97" s="344"/>
      <c r="E97" s="344"/>
      <c r="F97" s="344"/>
      <c r="G97" s="344"/>
      <c r="H97" s="344"/>
      <c r="I97" s="344"/>
      <c r="J97" s="344"/>
      <c r="K97" s="344"/>
      <c r="L97" s="344"/>
      <c r="M97" s="344"/>
      <c r="N97" s="344"/>
      <c r="O97" s="344"/>
      <c r="P97" s="344"/>
      <c r="Q97" s="344"/>
      <c r="R97" s="344"/>
      <c r="S97" s="344"/>
      <c r="T97" s="344"/>
      <c r="U97" s="344"/>
      <c r="V97" s="344"/>
      <c r="W97" s="344"/>
      <c r="X97" s="344"/>
      <c r="Y97" s="344"/>
      <c r="Z97" s="344"/>
      <c r="AA97" s="344"/>
      <c r="AB97" s="344"/>
      <c r="AC97" s="344"/>
      <c r="AD97" s="344"/>
      <c r="AE97" s="344"/>
      <c r="AF97" s="344"/>
      <c r="AG97" s="344"/>
      <c r="AH97" s="344"/>
    </row>
    <row r="98" spans="1:34" ht="27" customHeight="1" x14ac:dyDescent="0.3">
      <c r="A98" s="344"/>
      <c r="B98" s="344"/>
      <c r="C98" s="344"/>
      <c r="D98" s="344"/>
      <c r="E98" s="344"/>
      <c r="F98" s="344"/>
      <c r="G98" s="344"/>
      <c r="H98" s="344"/>
      <c r="I98" s="344"/>
      <c r="J98" s="344"/>
      <c r="K98" s="344"/>
      <c r="L98" s="344"/>
      <c r="M98" s="344"/>
      <c r="N98" s="344"/>
      <c r="O98" s="344"/>
      <c r="P98" s="344"/>
      <c r="Q98" s="344"/>
      <c r="R98" s="344"/>
      <c r="S98" s="344"/>
      <c r="T98" s="344"/>
      <c r="U98" s="344"/>
      <c r="V98" s="344"/>
      <c r="W98" s="344"/>
      <c r="X98" s="344"/>
      <c r="Y98" s="344"/>
      <c r="Z98" s="344"/>
      <c r="AA98" s="344"/>
      <c r="AB98" s="344"/>
      <c r="AC98" s="344"/>
      <c r="AD98" s="344"/>
      <c r="AE98" s="344"/>
      <c r="AF98" s="344"/>
      <c r="AG98" s="344"/>
      <c r="AH98" s="344"/>
    </row>
    <row r="99" spans="1:34" ht="27" customHeight="1" x14ac:dyDescent="0.3">
      <c r="A99" s="344"/>
      <c r="B99" s="344"/>
      <c r="C99" s="344"/>
      <c r="D99" s="344"/>
      <c r="E99" s="344"/>
      <c r="F99" s="344"/>
      <c r="G99" s="344"/>
      <c r="H99" s="344"/>
      <c r="I99" s="344"/>
      <c r="J99" s="344"/>
      <c r="K99" s="344"/>
      <c r="L99" s="344"/>
      <c r="M99" s="344"/>
      <c r="N99" s="344"/>
      <c r="O99" s="344"/>
      <c r="P99" s="344"/>
      <c r="Q99" s="344"/>
      <c r="R99" s="344"/>
      <c r="S99" s="344"/>
      <c r="T99" s="344"/>
      <c r="U99" s="344"/>
      <c r="V99" s="344"/>
      <c r="W99" s="344"/>
      <c r="X99" s="344"/>
      <c r="Y99" s="344"/>
      <c r="Z99" s="344"/>
      <c r="AA99" s="344"/>
      <c r="AB99" s="344"/>
      <c r="AC99" s="344"/>
      <c r="AD99" s="344"/>
      <c r="AE99" s="344"/>
      <c r="AF99" s="344"/>
      <c r="AG99" s="344"/>
      <c r="AH99" s="344"/>
    </row>
    <row r="100" spans="1:34" ht="27" customHeight="1" x14ac:dyDescent="0.3">
      <c r="A100" s="344"/>
      <c r="B100" s="344"/>
      <c r="C100" s="344"/>
      <c r="D100" s="344"/>
      <c r="E100" s="344"/>
      <c r="F100" s="344"/>
      <c r="G100" s="344"/>
      <c r="H100" s="344"/>
      <c r="I100" s="344"/>
      <c r="J100" s="344"/>
      <c r="K100" s="344"/>
      <c r="L100" s="344"/>
      <c r="M100" s="344"/>
      <c r="N100" s="344"/>
      <c r="O100" s="344"/>
      <c r="P100" s="344"/>
      <c r="Q100" s="344"/>
      <c r="R100" s="344"/>
      <c r="S100" s="344"/>
      <c r="T100" s="344"/>
      <c r="U100" s="344"/>
      <c r="V100" s="344"/>
      <c r="W100" s="344"/>
      <c r="X100" s="344"/>
      <c r="Y100" s="344"/>
      <c r="Z100" s="344"/>
      <c r="AA100" s="344"/>
      <c r="AB100" s="344"/>
      <c r="AC100" s="344"/>
      <c r="AD100" s="344"/>
      <c r="AE100" s="344"/>
      <c r="AF100" s="344"/>
      <c r="AG100" s="344"/>
      <c r="AH100" s="344"/>
    </row>
    <row r="101" spans="1:34" ht="27" customHeight="1" x14ac:dyDescent="0.3">
      <c r="A101" s="344"/>
      <c r="B101" s="344"/>
      <c r="C101" s="344"/>
      <c r="D101" s="344"/>
      <c r="E101" s="344"/>
      <c r="F101" s="344"/>
      <c r="G101" s="344"/>
      <c r="H101" s="344"/>
      <c r="I101" s="344"/>
      <c r="J101" s="344"/>
      <c r="K101" s="344"/>
      <c r="L101" s="344"/>
      <c r="M101" s="344"/>
      <c r="N101" s="344"/>
      <c r="O101" s="344"/>
      <c r="P101" s="344"/>
      <c r="Q101" s="344"/>
      <c r="R101" s="344"/>
      <c r="S101" s="344"/>
      <c r="T101" s="344"/>
      <c r="U101" s="344"/>
      <c r="V101" s="344"/>
      <c r="W101" s="344"/>
      <c r="X101" s="344"/>
      <c r="Y101" s="344"/>
      <c r="Z101" s="344"/>
      <c r="AA101" s="344"/>
      <c r="AB101" s="344"/>
      <c r="AC101" s="344"/>
      <c r="AD101" s="344"/>
      <c r="AE101" s="344"/>
      <c r="AF101" s="344"/>
      <c r="AG101" s="344"/>
      <c r="AH101" s="344"/>
    </row>
    <row r="102" spans="1:34" ht="27" customHeight="1" x14ac:dyDescent="0.3">
      <c r="A102" s="344"/>
      <c r="B102" s="344"/>
      <c r="C102" s="344"/>
      <c r="D102" s="344"/>
      <c r="E102" s="344"/>
      <c r="F102" s="344"/>
      <c r="G102" s="344"/>
      <c r="H102" s="344"/>
      <c r="I102" s="344"/>
      <c r="J102" s="344"/>
      <c r="K102" s="344"/>
      <c r="L102" s="344"/>
      <c r="M102" s="344"/>
      <c r="N102" s="344"/>
      <c r="O102" s="344"/>
      <c r="P102" s="344"/>
      <c r="Q102" s="344"/>
      <c r="R102" s="344"/>
      <c r="S102" s="344"/>
      <c r="T102" s="344"/>
      <c r="U102" s="344"/>
      <c r="V102" s="344"/>
      <c r="W102" s="344"/>
      <c r="X102" s="344"/>
      <c r="Y102" s="344"/>
      <c r="Z102" s="344"/>
      <c r="AA102" s="344"/>
      <c r="AB102" s="344"/>
      <c r="AC102" s="344"/>
      <c r="AD102" s="344"/>
      <c r="AE102" s="344"/>
      <c r="AF102" s="344"/>
      <c r="AG102" s="344"/>
      <c r="AH102" s="344"/>
    </row>
    <row r="103" spans="1:34" ht="27" customHeight="1" x14ac:dyDescent="0.3">
      <c r="A103" s="344"/>
      <c r="B103" s="344"/>
      <c r="C103" s="344"/>
      <c r="D103" s="344"/>
      <c r="E103" s="344"/>
      <c r="F103" s="344"/>
      <c r="G103" s="344"/>
      <c r="H103" s="344"/>
      <c r="I103" s="344"/>
      <c r="J103" s="344"/>
      <c r="K103" s="344"/>
      <c r="L103" s="344"/>
      <c r="M103" s="344"/>
      <c r="N103" s="344"/>
      <c r="O103" s="344"/>
      <c r="P103" s="344"/>
      <c r="Q103" s="344"/>
      <c r="R103" s="344"/>
      <c r="S103" s="344"/>
      <c r="T103" s="344"/>
      <c r="U103" s="344"/>
      <c r="V103" s="344"/>
      <c r="W103" s="344"/>
      <c r="X103" s="344"/>
      <c r="Y103" s="344"/>
      <c r="Z103" s="344"/>
      <c r="AA103" s="344"/>
      <c r="AB103" s="344"/>
      <c r="AC103" s="344"/>
      <c r="AD103" s="344"/>
      <c r="AE103" s="344"/>
      <c r="AF103" s="344"/>
      <c r="AG103" s="344"/>
      <c r="AH103" s="344"/>
    </row>
    <row r="104" spans="1:34" ht="27" customHeight="1" x14ac:dyDescent="0.3">
      <c r="A104" s="344"/>
      <c r="B104" s="344"/>
      <c r="C104" s="344"/>
      <c r="D104" s="344"/>
      <c r="E104" s="344"/>
      <c r="F104" s="344"/>
      <c r="G104" s="344"/>
      <c r="H104" s="344"/>
      <c r="I104" s="344"/>
      <c r="J104" s="344"/>
      <c r="K104" s="344"/>
      <c r="L104" s="344"/>
      <c r="M104" s="344"/>
      <c r="N104" s="344"/>
      <c r="O104" s="344"/>
      <c r="P104" s="344"/>
      <c r="Q104" s="344"/>
      <c r="R104" s="344"/>
      <c r="S104" s="344"/>
      <c r="T104" s="344"/>
      <c r="U104" s="344"/>
      <c r="V104" s="344"/>
      <c r="W104" s="344"/>
      <c r="X104" s="344"/>
      <c r="Y104" s="344"/>
      <c r="Z104" s="344"/>
      <c r="AA104" s="344"/>
      <c r="AB104" s="344"/>
      <c r="AC104" s="344"/>
      <c r="AD104" s="344"/>
      <c r="AE104" s="344"/>
      <c r="AF104" s="344"/>
      <c r="AG104" s="344"/>
      <c r="AH104" s="344"/>
    </row>
    <row r="105" spans="1:34" ht="27" customHeight="1" x14ac:dyDescent="0.3">
      <c r="A105" s="344"/>
      <c r="B105" s="344"/>
      <c r="C105" s="344"/>
      <c r="D105" s="344"/>
      <c r="E105" s="344"/>
      <c r="F105" s="344"/>
      <c r="G105" s="344"/>
      <c r="H105" s="344"/>
      <c r="I105" s="344"/>
      <c r="J105" s="344"/>
      <c r="K105" s="344"/>
      <c r="L105" s="344"/>
      <c r="M105" s="344"/>
      <c r="N105" s="344"/>
      <c r="O105" s="344"/>
      <c r="P105" s="344"/>
      <c r="Q105" s="344"/>
      <c r="R105" s="344"/>
      <c r="S105" s="344"/>
      <c r="T105" s="344"/>
      <c r="U105" s="344"/>
      <c r="V105" s="344"/>
      <c r="W105" s="344"/>
      <c r="X105" s="344"/>
      <c r="Y105" s="344"/>
      <c r="Z105" s="344"/>
      <c r="AA105" s="344"/>
      <c r="AB105" s="344"/>
      <c r="AC105" s="344"/>
      <c r="AD105" s="344"/>
      <c r="AE105" s="344"/>
      <c r="AF105" s="344"/>
      <c r="AG105" s="344"/>
      <c r="AH105" s="344"/>
    </row>
    <row r="106" spans="1:34" ht="27" customHeight="1" x14ac:dyDescent="0.3">
      <c r="A106" s="344"/>
      <c r="B106" s="344"/>
      <c r="C106" s="344"/>
      <c r="D106" s="344"/>
      <c r="E106" s="344"/>
      <c r="F106" s="344"/>
      <c r="G106" s="344"/>
      <c r="H106" s="344"/>
      <c r="I106" s="344"/>
      <c r="J106" s="344"/>
      <c r="K106" s="344"/>
      <c r="L106" s="344"/>
      <c r="M106" s="344"/>
      <c r="N106" s="344"/>
      <c r="O106" s="344"/>
      <c r="P106" s="344"/>
      <c r="Q106" s="344"/>
      <c r="R106" s="344"/>
      <c r="S106" s="344"/>
      <c r="T106" s="344"/>
      <c r="U106" s="344"/>
      <c r="V106" s="344"/>
      <c r="W106" s="344"/>
      <c r="X106" s="344"/>
      <c r="Y106" s="344"/>
      <c r="Z106" s="344"/>
      <c r="AA106" s="344"/>
      <c r="AB106" s="344"/>
      <c r="AC106" s="344"/>
      <c r="AD106" s="344"/>
      <c r="AE106" s="344"/>
      <c r="AF106" s="344"/>
      <c r="AG106" s="344"/>
      <c r="AH106" s="344"/>
    </row>
    <row r="107" spans="1:34" ht="27" customHeight="1" x14ac:dyDescent="0.3">
      <c r="A107" s="344"/>
      <c r="B107" s="344"/>
      <c r="C107" s="344"/>
      <c r="D107" s="344"/>
      <c r="E107" s="344"/>
      <c r="F107" s="344"/>
      <c r="G107" s="344"/>
      <c r="H107" s="344"/>
      <c r="I107" s="344"/>
      <c r="J107" s="344"/>
      <c r="K107" s="344"/>
      <c r="L107" s="344"/>
      <c r="M107" s="344"/>
      <c r="N107" s="344"/>
      <c r="O107" s="344"/>
      <c r="P107" s="344"/>
      <c r="Q107" s="344"/>
      <c r="R107" s="344"/>
      <c r="S107" s="344"/>
      <c r="T107" s="344"/>
      <c r="U107" s="344"/>
      <c r="V107" s="344"/>
      <c r="W107" s="344"/>
      <c r="X107" s="344"/>
      <c r="Y107" s="344"/>
      <c r="Z107" s="344"/>
      <c r="AA107" s="344"/>
      <c r="AB107" s="344"/>
      <c r="AC107" s="344"/>
      <c r="AD107" s="344"/>
      <c r="AE107" s="344"/>
      <c r="AF107" s="344"/>
      <c r="AG107" s="344"/>
      <c r="AH107" s="344"/>
    </row>
    <row r="108" spans="1:34" ht="27" customHeight="1" x14ac:dyDescent="0.3">
      <c r="A108" s="344"/>
      <c r="B108" s="344"/>
      <c r="C108" s="344"/>
      <c r="D108" s="344"/>
      <c r="E108" s="344"/>
      <c r="F108" s="344"/>
      <c r="G108" s="344"/>
      <c r="H108" s="344"/>
      <c r="I108" s="344"/>
      <c r="J108" s="344"/>
      <c r="K108" s="344"/>
      <c r="L108" s="344"/>
      <c r="M108" s="344"/>
      <c r="N108" s="344"/>
      <c r="O108" s="344"/>
      <c r="P108" s="344"/>
      <c r="Q108" s="344"/>
      <c r="R108" s="344"/>
      <c r="S108" s="344"/>
      <c r="T108" s="344"/>
      <c r="U108" s="344"/>
      <c r="V108" s="344"/>
      <c r="W108" s="344"/>
      <c r="X108" s="344"/>
      <c r="Y108" s="344"/>
      <c r="Z108" s="344"/>
      <c r="AA108" s="344"/>
      <c r="AB108" s="344"/>
      <c r="AC108" s="344"/>
      <c r="AD108" s="344"/>
      <c r="AE108" s="344"/>
      <c r="AF108" s="344"/>
      <c r="AG108" s="344"/>
      <c r="AH108" s="344"/>
    </row>
    <row r="109" spans="1:34" ht="27" customHeight="1" x14ac:dyDescent="0.3">
      <c r="A109" s="344"/>
      <c r="B109" s="344"/>
      <c r="C109" s="344"/>
      <c r="D109" s="344"/>
      <c r="E109" s="344"/>
      <c r="F109" s="344"/>
      <c r="G109" s="344"/>
      <c r="H109" s="344"/>
      <c r="I109" s="344"/>
      <c r="J109" s="344"/>
      <c r="K109" s="344"/>
      <c r="L109" s="344"/>
      <c r="M109" s="344"/>
      <c r="N109" s="344"/>
      <c r="O109" s="344"/>
      <c r="P109" s="344"/>
      <c r="Q109" s="344"/>
      <c r="R109" s="344"/>
      <c r="S109" s="344"/>
      <c r="T109" s="344"/>
      <c r="U109" s="344"/>
      <c r="V109" s="344"/>
      <c r="W109" s="344"/>
      <c r="X109" s="344"/>
      <c r="Y109" s="344"/>
      <c r="Z109" s="344"/>
      <c r="AA109" s="344"/>
      <c r="AB109" s="344"/>
      <c r="AC109" s="344"/>
      <c r="AD109" s="344"/>
      <c r="AE109" s="344"/>
      <c r="AF109" s="344"/>
      <c r="AG109" s="344"/>
      <c r="AH109" s="344"/>
    </row>
    <row r="110" spans="1:34" ht="27" customHeight="1" x14ac:dyDescent="0.3">
      <c r="A110" s="344"/>
      <c r="B110" s="344"/>
      <c r="C110" s="344"/>
      <c r="D110" s="344"/>
      <c r="E110" s="344"/>
      <c r="F110" s="344"/>
      <c r="G110" s="344"/>
      <c r="H110" s="344"/>
      <c r="I110" s="344"/>
      <c r="J110" s="344"/>
      <c r="K110" s="344"/>
      <c r="L110" s="344"/>
      <c r="M110" s="344"/>
      <c r="N110" s="344"/>
      <c r="O110" s="344"/>
      <c r="P110" s="344"/>
      <c r="Q110" s="344"/>
      <c r="R110" s="344"/>
      <c r="S110" s="344"/>
      <c r="T110" s="344"/>
      <c r="U110" s="344"/>
      <c r="V110" s="344"/>
      <c r="W110" s="344"/>
      <c r="X110" s="344"/>
      <c r="Y110" s="344"/>
      <c r="Z110" s="344"/>
      <c r="AA110" s="344"/>
      <c r="AB110" s="344"/>
      <c r="AC110" s="344"/>
      <c r="AD110" s="344"/>
      <c r="AE110" s="344"/>
      <c r="AF110" s="344"/>
      <c r="AG110" s="344"/>
      <c r="AH110" s="344"/>
    </row>
    <row r="111" spans="1:34" ht="27" customHeight="1" x14ac:dyDescent="0.3">
      <c r="A111" s="344"/>
      <c r="B111" s="344"/>
      <c r="C111" s="344"/>
      <c r="D111" s="344"/>
      <c r="E111" s="344"/>
      <c r="F111" s="344"/>
      <c r="G111" s="344"/>
      <c r="H111" s="344"/>
      <c r="I111" s="344"/>
      <c r="J111" s="344"/>
      <c r="K111" s="344"/>
      <c r="L111" s="344"/>
      <c r="M111" s="344"/>
      <c r="N111" s="344"/>
      <c r="O111" s="344"/>
      <c r="P111" s="344"/>
      <c r="Q111" s="344"/>
      <c r="R111" s="344"/>
      <c r="S111" s="344"/>
      <c r="T111" s="344"/>
      <c r="U111" s="344"/>
      <c r="V111" s="344"/>
      <c r="W111" s="344"/>
      <c r="X111" s="344"/>
      <c r="Y111" s="344"/>
      <c r="Z111" s="344"/>
      <c r="AA111" s="344"/>
      <c r="AB111" s="344"/>
      <c r="AC111" s="344"/>
      <c r="AD111" s="344"/>
      <c r="AE111" s="344"/>
      <c r="AF111" s="344"/>
      <c r="AG111" s="344"/>
      <c r="AH111" s="344"/>
    </row>
    <row r="112" spans="1:34" ht="27" customHeight="1" x14ac:dyDescent="0.3">
      <c r="A112" s="344"/>
      <c r="B112" s="344"/>
      <c r="C112" s="344"/>
      <c r="D112" s="344"/>
      <c r="E112" s="344"/>
      <c r="F112" s="344"/>
      <c r="G112" s="344"/>
      <c r="H112" s="344"/>
      <c r="I112" s="344"/>
      <c r="J112" s="344"/>
      <c r="K112" s="344"/>
      <c r="L112" s="344"/>
      <c r="M112" s="344"/>
      <c r="N112" s="344"/>
      <c r="O112" s="344"/>
      <c r="P112" s="344"/>
      <c r="Q112" s="344"/>
      <c r="R112" s="344"/>
      <c r="S112" s="344"/>
      <c r="T112" s="344"/>
      <c r="U112" s="344"/>
      <c r="V112" s="344"/>
      <c r="W112" s="344"/>
      <c r="X112" s="344"/>
      <c r="Y112" s="344"/>
      <c r="Z112" s="344"/>
      <c r="AA112" s="344"/>
      <c r="AB112" s="344"/>
      <c r="AC112" s="344"/>
      <c r="AD112" s="344"/>
      <c r="AE112" s="344"/>
      <c r="AF112" s="344"/>
      <c r="AG112" s="344"/>
      <c r="AH112" s="344"/>
    </row>
    <row r="113" spans="1:34" ht="27" customHeight="1" x14ac:dyDescent="0.3">
      <c r="A113" s="344"/>
      <c r="B113" s="344"/>
      <c r="C113" s="344"/>
      <c r="D113" s="344"/>
      <c r="E113" s="344"/>
      <c r="F113" s="344"/>
      <c r="G113" s="344"/>
      <c r="H113" s="344"/>
      <c r="I113" s="344"/>
      <c r="J113" s="344"/>
      <c r="K113" s="344"/>
      <c r="L113" s="344"/>
      <c r="M113" s="344"/>
      <c r="N113" s="344"/>
      <c r="O113" s="344"/>
      <c r="P113" s="344"/>
      <c r="Q113" s="344"/>
      <c r="R113" s="344"/>
      <c r="S113" s="344"/>
      <c r="T113" s="344"/>
      <c r="U113" s="344"/>
      <c r="V113" s="344"/>
      <c r="W113" s="344"/>
      <c r="X113" s="344"/>
      <c r="Y113" s="344"/>
      <c r="Z113" s="344"/>
      <c r="AA113" s="344"/>
      <c r="AB113" s="344"/>
      <c r="AC113" s="344"/>
      <c r="AD113" s="344"/>
      <c r="AE113" s="344"/>
      <c r="AF113" s="344"/>
      <c r="AG113" s="344"/>
      <c r="AH113" s="344"/>
    </row>
    <row r="114" spans="1:34" ht="27" customHeight="1" x14ac:dyDescent="0.3">
      <c r="A114" s="344"/>
      <c r="B114" s="344"/>
      <c r="C114" s="344"/>
      <c r="D114" s="344"/>
      <c r="E114" s="344"/>
      <c r="F114" s="344"/>
      <c r="G114" s="344"/>
      <c r="H114" s="344"/>
      <c r="I114" s="344"/>
      <c r="J114" s="344"/>
      <c r="K114" s="344"/>
      <c r="L114" s="344"/>
      <c r="M114" s="344"/>
      <c r="N114" s="344"/>
      <c r="O114" s="344"/>
      <c r="P114" s="344"/>
      <c r="Q114" s="344"/>
      <c r="R114" s="344"/>
      <c r="S114" s="344"/>
      <c r="T114" s="344"/>
      <c r="U114" s="344"/>
      <c r="V114" s="344"/>
      <c r="W114" s="344"/>
      <c r="X114" s="344"/>
      <c r="Y114" s="344"/>
      <c r="Z114" s="344"/>
      <c r="AA114" s="344"/>
      <c r="AB114" s="344"/>
      <c r="AC114" s="344"/>
      <c r="AD114" s="344"/>
      <c r="AE114" s="344"/>
      <c r="AF114" s="344"/>
      <c r="AG114" s="344"/>
      <c r="AH114" s="344"/>
    </row>
    <row r="115" spans="1:34" ht="27" customHeight="1" x14ac:dyDescent="0.3">
      <c r="A115" s="344"/>
      <c r="B115" s="344"/>
      <c r="C115" s="344"/>
      <c r="D115" s="344"/>
      <c r="E115" s="344"/>
      <c r="F115" s="344"/>
      <c r="G115" s="344"/>
      <c r="H115" s="344"/>
      <c r="I115" s="344"/>
      <c r="J115" s="344"/>
      <c r="K115" s="344"/>
      <c r="L115" s="344"/>
      <c r="M115" s="344"/>
      <c r="N115" s="344"/>
      <c r="O115" s="344"/>
      <c r="P115" s="344"/>
      <c r="Q115" s="344"/>
      <c r="R115" s="344"/>
      <c r="S115" s="344"/>
      <c r="T115" s="344"/>
      <c r="U115" s="344"/>
      <c r="V115" s="344"/>
      <c r="W115" s="344"/>
      <c r="X115" s="344"/>
      <c r="Y115" s="344"/>
      <c r="Z115" s="344"/>
      <c r="AA115" s="344"/>
      <c r="AB115" s="344"/>
      <c r="AC115" s="344"/>
      <c r="AD115" s="344"/>
      <c r="AE115" s="344"/>
      <c r="AF115" s="344"/>
      <c r="AG115" s="344"/>
      <c r="AH115" s="344"/>
    </row>
    <row r="116" spans="1:34" ht="27" customHeight="1" x14ac:dyDescent="0.3">
      <c r="A116" s="344"/>
      <c r="B116" s="344"/>
      <c r="C116" s="344"/>
      <c r="D116" s="344"/>
      <c r="E116" s="344"/>
      <c r="F116" s="344"/>
      <c r="G116" s="344"/>
      <c r="H116" s="344"/>
      <c r="I116" s="344"/>
      <c r="J116" s="344"/>
      <c r="K116" s="344"/>
      <c r="L116" s="344"/>
      <c r="M116" s="344"/>
      <c r="N116" s="344"/>
      <c r="O116" s="344"/>
      <c r="P116" s="344"/>
      <c r="Q116" s="344"/>
      <c r="R116" s="344"/>
      <c r="S116" s="344"/>
      <c r="T116" s="344"/>
      <c r="U116" s="344"/>
      <c r="V116" s="344"/>
      <c r="W116" s="344"/>
      <c r="X116" s="344"/>
      <c r="Y116" s="344"/>
      <c r="Z116" s="344"/>
      <c r="AA116" s="344"/>
      <c r="AB116" s="344"/>
      <c r="AC116" s="344"/>
      <c r="AD116" s="344"/>
      <c r="AE116" s="344"/>
      <c r="AF116" s="344"/>
      <c r="AG116" s="344"/>
      <c r="AH116" s="344"/>
    </row>
    <row r="117" spans="1:34" ht="27" customHeight="1" x14ac:dyDescent="0.3">
      <c r="A117" s="344"/>
      <c r="B117" s="344"/>
      <c r="C117" s="344"/>
      <c r="D117" s="344"/>
      <c r="E117" s="344"/>
      <c r="F117" s="344"/>
      <c r="G117" s="344"/>
      <c r="H117" s="344"/>
      <c r="I117" s="344"/>
      <c r="J117" s="344"/>
      <c r="K117" s="344"/>
      <c r="L117" s="344"/>
      <c r="M117" s="344"/>
      <c r="N117" s="344"/>
      <c r="O117" s="344"/>
      <c r="P117" s="344"/>
      <c r="Q117" s="344"/>
      <c r="R117" s="344"/>
      <c r="S117" s="344"/>
      <c r="T117" s="344"/>
      <c r="U117" s="344"/>
      <c r="V117" s="344"/>
      <c r="W117" s="344"/>
      <c r="X117" s="344"/>
      <c r="Y117" s="344"/>
      <c r="Z117" s="344"/>
      <c r="AA117" s="344"/>
      <c r="AB117" s="344"/>
      <c r="AC117" s="344"/>
      <c r="AD117" s="344"/>
      <c r="AE117" s="344"/>
      <c r="AF117" s="344"/>
      <c r="AG117" s="344"/>
      <c r="AH117" s="344"/>
    </row>
    <row r="118" spans="1:34" ht="27" customHeight="1" x14ac:dyDescent="0.3">
      <c r="A118" s="344"/>
      <c r="B118" s="344"/>
      <c r="C118" s="344"/>
      <c r="D118" s="344"/>
      <c r="E118" s="344"/>
      <c r="F118" s="344"/>
      <c r="G118" s="344"/>
      <c r="H118" s="344"/>
      <c r="I118" s="344"/>
      <c r="J118" s="344"/>
      <c r="K118" s="344"/>
      <c r="L118" s="344"/>
      <c r="M118" s="344"/>
      <c r="N118" s="344"/>
      <c r="O118" s="344"/>
      <c r="P118" s="344"/>
      <c r="Q118" s="344"/>
      <c r="R118" s="344"/>
      <c r="S118" s="344"/>
      <c r="T118" s="344"/>
      <c r="U118" s="344"/>
      <c r="V118" s="344"/>
      <c r="W118" s="344"/>
      <c r="X118" s="344"/>
      <c r="Y118" s="344"/>
      <c r="Z118" s="344"/>
      <c r="AA118" s="344"/>
      <c r="AB118" s="344"/>
      <c r="AC118" s="344"/>
      <c r="AD118" s="344"/>
      <c r="AE118" s="344"/>
      <c r="AF118" s="344"/>
      <c r="AG118" s="344"/>
      <c r="AH118" s="344"/>
    </row>
    <row r="119" spans="1:34" ht="27" customHeight="1" x14ac:dyDescent="0.3">
      <c r="A119" s="344"/>
      <c r="B119" s="344"/>
      <c r="C119" s="344"/>
      <c r="D119" s="344"/>
      <c r="E119" s="344"/>
      <c r="F119" s="344"/>
      <c r="G119" s="344"/>
      <c r="H119" s="344"/>
      <c r="I119" s="344"/>
      <c r="J119" s="344"/>
      <c r="K119" s="344"/>
      <c r="L119" s="344"/>
      <c r="M119" s="344"/>
      <c r="N119" s="344"/>
      <c r="O119" s="344"/>
      <c r="P119" s="344"/>
      <c r="Q119" s="344"/>
      <c r="R119" s="344"/>
      <c r="S119" s="344"/>
      <c r="T119" s="344"/>
      <c r="U119" s="344"/>
      <c r="V119" s="344"/>
      <c r="W119" s="344"/>
      <c r="X119" s="344"/>
      <c r="Y119" s="344"/>
      <c r="Z119" s="344"/>
      <c r="AA119" s="344"/>
      <c r="AB119" s="344"/>
      <c r="AC119" s="344"/>
      <c r="AD119" s="344"/>
      <c r="AE119" s="344"/>
      <c r="AF119" s="344"/>
      <c r="AG119" s="344"/>
      <c r="AH119" s="344"/>
    </row>
    <row r="120" spans="1:34" ht="27" customHeight="1" x14ac:dyDescent="0.3">
      <c r="A120" s="344"/>
      <c r="B120" s="344"/>
      <c r="C120" s="344"/>
      <c r="D120" s="344"/>
      <c r="E120" s="344"/>
      <c r="F120" s="344"/>
      <c r="G120" s="344"/>
      <c r="H120" s="344"/>
      <c r="I120" s="344"/>
      <c r="J120" s="344"/>
      <c r="K120" s="344"/>
      <c r="L120" s="344"/>
      <c r="M120" s="344"/>
      <c r="N120" s="344"/>
      <c r="O120" s="344"/>
      <c r="P120" s="344"/>
      <c r="Q120" s="344"/>
      <c r="R120" s="344"/>
      <c r="S120" s="344"/>
      <c r="T120" s="344"/>
      <c r="U120" s="344"/>
      <c r="V120" s="344"/>
      <c r="W120" s="344"/>
      <c r="X120" s="344"/>
      <c r="Y120" s="344"/>
      <c r="Z120" s="344"/>
      <c r="AA120" s="344"/>
      <c r="AB120" s="344"/>
      <c r="AC120" s="344"/>
      <c r="AD120" s="344"/>
      <c r="AE120" s="344"/>
      <c r="AF120" s="344"/>
      <c r="AG120" s="344"/>
      <c r="AH120" s="344"/>
    </row>
    <row r="121" spans="1:34" ht="27" customHeight="1" x14ac:dyDescent="0.3">
      <c r="A121" s="344"/>
      <c r="B121" s="344"/>
      <c r="C121" s="344"/>
      <c r="D121" s="344"/>
      <c r="E121" s="344"/>
      <c r="F121" s="344"/>
      <c r="G121" s="344"/>
      <c r="H121" s="344"/>
      <c r="I121" s="344"/>
      <c r="J121" s="344"/>
      <c r="K121" s="344"/>
      <c r="L121" s="344"/>
      <c r="M121" s="344"/>
      <c r="N121" s="344"/>
      <c r="O121" s="344"/>
      <c r="P121" s="344"/>
      <c r="Q121" s="344"/>
      <c r="R121" s="344"/>
      <c r="S121" s="344"/>
      <c r="T121" s="344"/>
      <c r="U121" s="344"/>
      <c r="V121" s="344"/>
      <c r="W121" s="344"/>
      <c r="X121" s="344"/>
      <c r="Y121" s="344"/>
      <c r="Z121" s="344"/>
      <c r="AA121" s="344"/>
      <c r="AB121" s="344"/>
      <c r="AC121" s="344"/>
      <c r="AD121" s="344"/>
      <c r="AE121" s="344"/>
      <c r="AF121" s="344"/>
      <c r="AG121" s="344"/>
      <c r="AH121" s="344"/>
    </row>
    <row r="122" spans="1:34" ht="27" customHeight="1" x14ac:dyDescent="0.3">
      <c r="A122" s="344"/>
      <c r="B122" s="344"/>
      <c r="C122" s="344"/>
      <c r="D122" s="344"/>
      <c r="E122" s="344"/>
      <c r="F122" s="344"/>
      <c r="G122" s="344"/>
      <c r="H122" s="344"/>
      <c r="I122" s="344"/>
      <c r="J122" s="344"/>
      <c r="K122" s="344"/>
      <c r="L122" s="344"/>
      <c r="M122" s="344"/>
      <c r="N122" s="344"/>
      <c r="O122" s="344"/>
      <c r="P122" s="344"/>
      <c r="Q122" s="344"/>
      <c r="R122" s="344"/>
      <c r="S122" s="344"/>
      <c r="T122" s="344"/>
      <c r="U122" s="344"/>
      <c r="V122" s="344"/>
      <c r="W122" s="344"/>
      <c r="X122" s="344"/>
      <c r="Y122" s="344"/>
      <c r="Z122" s="344"/>
      <c r="AA122" s="344"/>
      <c r="AB122" s="344"/>
      <c r="AC122" s="344"/>
      <c r="AD122" s="344"/>
      <c r="AE122" s="344"/>
      <c r="AF122" s="344"/>
      <c r="AG122" s="344"/>
      <c r="AH122" s="344"/>
    </row>
    <row r="123" spans="1:34" ht="27" customHeight="1" x14ac:dyDescent="0.3">
      <c r="A123" s="344"/>
      <c r="B123" s="344"/>
      <c r="C123" s="344"/>
      <c r="D123" s="344"/>
      <c r="E123" s="344"/>
      <c r="F123" s="344"/>
      <c r="G123" s="344"/>
      <c r="H123" s="344"/>
      <c r="I123" s="344"/>
      <c r="J123" s="344"/>
      <c r="K123" s="344"/>
      <c r="L123" s="344"/>
      <c r="M123" s="344"/>
      <c r="N123" s="344"/>
      <c r="O123" s="344"/>
      <c r="P123" s="344"/>
      <c r="Q123" s="344"/>
      <c r="R123" s="344"/>
      <c r="S123" s="344"/>
      <c r="T123" s="344"/>
      <c r="U123" s="344"/>
      <c r="V123" s="344"/>
      <c r="W123" s="344"/>
      <c r="X123" s="344"/>
      <c r="Y123" s="344"/>
      <c r="Z123" s="344"/>
      <c r="AA123" s="344"/>
      <c r="AB123" s="344"/>
      <c r="AC123" s="344"/>
      <c r="AD123" s="344"/>
      <c r="AE123" s="344"/>
      <c r="AF123" s="344"/>
      <c r="AG123" s="344"/>
      <c r="AH123" s="344"/>
    </row>
    <row r="124" spans="1:34" ht="27" customHeight="1" x14ac:dyDescent="0.3">
      <c r="A124" s="344"/>
      <c r="B124" s="344"/>
      <c r="C124" s="344"/>
      <c r="D124" s="344"/>
      <c r="E124" s="344"/>
      <c r="F124" s="344"/>
      <c r="G124" s="344"/>
      <c r="H124" s="344"/>
      <c r="I124" s="344"/>
      <c r="J124" s="344"/>
      <c r="K124" s="344"/>
      <c r="L124" s="344"/>
      <c r="M124" s="344"/>
      <c r="N124" s="344"/>
      <c r="O124" s="344"/>
      <c r="P124" s="344"/>
      <c r="Q124" s="344"/>
      <c r="R124" s="344"/>
      <c r="S124" s="344"/>
      <c r="T124" s="344"/>
      <c r="U124" s="344"/>
      <c r="V124" s="344"/>
      <c r="W124" s="344"/>
      <c r="X124" s="344"/>
      <c r="Y124" s="344"/>
      <c r="Z124" s="344"/>
      <c r="AA124" s="344"/>
      <c r="AB124" s="344"/>
      <c r="AC124" s="344"/>
      <c r="AD124" s="344"/>
      <c r="AE124" s="344"/>
      <c r="AF124" s="344"/>
      <c r="AG124" s="344"/>
      <c r="AH124" s="344"/>
    </row>
    <row r="125" spans="1:34" ht="27" customHeight="1" x14ac:dyDescent="0.3">
      <c r="A125" s="344"/>
      <c r="B125" s="344"/>
      <c r="C125" s="344"/>
      <c r="D125" s="344"/>
      <c r="E125" s="344"/>
      <c r="F125" s="344"/>
      <c r="G125" s="344"/>
      <c r="H125" s="344"/>
      <c r="I125" s="344"/>
      <c r="J125" s="344"/>
      <c r="K125" s="344"/>
      <c r="L125" s="344"/>
      <c r="M125" s="344"/>
      <c r="N125" s="344"/>
      <c r="O125" s="344"/>
      <c r="P125" s="344"/>
      <c r="Q125" s="344"/>
      <c r="R125" s="344"/>
      <c r="S125" s="344"/>
      <c r="T125" s="344"/>
      <c r="U125" s="344"/>
      <c r="V125" s="344"/>
      <c r="W125" s="344"/>
      <c r="X125" s="344"/>
      <c r="Y125" s="344"/>
      <c r="Z125" s="344"/>
      <c r="AA125" s="344"/>
      <c r="AB125" s="344"/>
      <c r="AC125" s="344"/>
      <c r="AD125" s="344"/>
      <c r="AE125" s="344"/>
      <c r="AF125" s="344"/>
      <c r="AG125" s="344"/>
      <c r="AH125" s="344"/>
    </row>
    <row r="126" spans="1:34" ht="27" customHeight="1" x14ac:dyDescent="0.3">
      <c r="A126" s="344"/>
      <c r="B126" s="344"/>
      <c r="C126" s="344"/>
      <c r="D126" s="344"/>
      <c r="E126" s="344"/>
      <c r="F126" s="344"/>
      <c r="G126" s="344"/>
      <c r="H126" s="344"/>
      <c r="I126" s="344"/>
      <c r="J126" s="344"/>
      <c r="K126" s="344"/>
      <c r="L126" s="344"/>
      <c r="M126" s="344"/>
      <c r="N126" s="344"/>
      <c r="O126" s="344"/>
      <c r="P126" s="344"/>
      <c r="Q126" s="344"/>
      <c r="R126" s="344"/>
      <c r="S126" s="344"/>
      <c r="T126" s="344"/>
      <c r="U126" s="344"/>
      <c r="V126" s="344"/>
      <c r="W126" s="344"/>
      <c r="X126" s="344"/>
      <c r="Y126" s="344"/>
      <c r="Z126" s="344"/>
      <c r="AA126" s="344"/>
      <c r="AB126" s="344"/>
      <c r="AC126" s="344"/>
      <c r="AD126" s="344"/>
      <c r="AE126" s="344"/>
      <c r="AF126" s="344"/>
      <c r="AG126" s="344"/>
      <c r="AH126" s="344"/>
    </row>
    <row r="127" spans="1:34" ht="27" customHeight="1" x14ac:dyDescent="0.3">
      <c r="A127" s="344"/>
      <c r="B127" s="344"/>
      <c r="C127" s="344"/>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row>
    <row r="128" spans="1:34" ht="27" customHeight="1" x14ac:dyDescent="0.3">
      <c r="A128" s="344"/>
      <c r="B128" s="344"/>
      <c r="C128" s="344"/>
      <c r="D128" s="344"/>
      <c r="E128" s="344"/>
      <c r="F128" s="344"/>
      <c r="G128" s="344"/>
      <c r="H128" s="344"/>
      <c r="I128" s="344"/>
      <c r="J128" s="344"/>
      <c r="K128" s="344"/>
      <c r="L128" s="344"/>
      <c r="M128" s="344"/>
      <c r="N128" s="344"/>
      <c r="O128" s="344"/>
      <c r="P128" s="344"/>
      <c r="Q128" s="344"/>
      <c r="R128" s="344"/>
      <c r="S128" s="344"/>
      <c r="T128" s="344"/>
      <c r="U128" s="344"/>
      <c r="V128" s="344"/>
      <c r="W128" s="344"/>
      <c r="X128" s="344"/>
      <c r="Y128" s="344"/>
      <c r="Z128" s="344"/>
      <c r="AA128" s="344"/>
      <c r="AB128" s="344"/>
      <c r="AC128" s="344"/>
      <c r="AD128" s="344"/>
      <c r="AE128" s="344"/>
      <c r="AF128" s="344"/>
      <c r="AG128" s="344"/>
      <c r="AH128" s="344"/>
    </row>
    <row r="129" spans="1:34" ht="27" customHeight="1" x14ac:dyDescent="0.3">
      <c r="A129" s="344"/>
      <c r="B129" s="344"/>
      <c r="C129" s="344"/>
      <c r="D129" s="344"/>
      <c r="E129" s="344"/>
      <c r="F129" s="344"/>
      <c r="G129" s="344"/>
      <c r="H129" s="344"/>
      <c r="I129" s="344"/>
      <c r="J129" s="344"/>
      <c r="K129" s="344"/>
      <c r="L129" s="344"/>
      <c r="M129" s="344"/>
      <c r="N129" s="344"/>
      <c r="O129" s="344"/>
      <c r="P129" s="344"/>
      <c r="Q129" s="344"/>
      <c r="R129" s="344"/>
      <c r="S129" s="344"/>
      <c r="T129" s="344"/>
      <c r="U129" s="344"/>
      <c r="V129" s="344"/>
      <c r="W129" s="344"/>
      <c r="X129" s="344"/>
      <c r="Y129" s="344"/>
      <c r="Z129" s="344"/>
      <c r="AA129" s="344"/>
      <c r="AB129" s="344"/>
      <c r="AC129" s="344"/>
      <c r="AD129" s="344"/>
      <c r="AE129" s="344"/>
      <c r="AF129" s="344"/>
      <c r="AG129" s="344"/>
      <c r="AH129" s="344"/>
    </row>
    <row r="130" spans="1:34" ht="27" customHeight="1" x14ac:dyDescent="0.3">
      <c r="A130" s="344"/>
      <c r="B130" s="344"/>
      <c r="C130" s="344"/>
      <c r="D130" s="344"/>
      <c r="E130" s="344"/>
      <c r="F130" s="344"/>
      <c r="G130" s="344"/>
      <c r="H130" s="344"/>
      <c r="I130" s="344"/>
      <c r="J130" s="344"/>
      <c r="K130" s="344"/>
      <c r="L130" s="344"/>
      <c r="M130" s="344"/>
      <c r="N130" s="344"/>
      <c r="O130" s="344"/>
      <c r="P130" s="344"/>
      <c r="Q130" s="344"/>
      <c r="R130" s="344"/>
      <c r="S130" s="344"/>
      <c r="T130" s="344"/>
      <c r="U130" s="344"/>
      <c r="V130" s="344"/>
      <c r="W130" s="344"/>
      <c r="X130" s="344"/>
      <c r="Y130" s="344"/>
      <c r="Z130" s="344"/>
      <c r="AA130" s="344"/>
      <c r="AB130" s="344"/>
      <c r="AC130" s="344"/>
      <c r="AD130" s="344"/>
      <c r="AE130" s="344"/>
      <c r="AF130" s="344"/>
      <c r="AG130" s="344"/>
      <c r="AH130" s="344"/>
    </row>
    <row r="131" spans="1:34" ht="27" customHeight="1" x14ac:dyDescent="0.3">
      <c r="A131" s="344"/>
      <c r="B131" s="344"/>
      <c r="C131" s="344"/>
      <c r="D131" s="344"/>
      <c r="E131" s="344"/>
      <c r="F131" s="344"/>
      <c r="G131" s="344"/>
      <c r="H131" s="344"/>
      <c r="I131" s="344"/>
      <c r="J131" s="344"/>
      <c r="K131" s="344"/>
      <c r="L131" s="344"/>
      <c r="M131" s="344"/>
      <c r="N131" s="344"/>
      <c r="O131" s="344"/>
      <c r="P131" s="344"/>
      <c r="Q131" s="344"/>
      <c r="R131" s="344"/>
      <c r="S131" s="344"/>
      <c r="T131" s="344"/>
      <c r="U131" s="344"/>
      <c r="V131" s="344"/>
      <c r="W131" s="344"/>
      <c r="X131" s="344"/>
      <c r="Y131" s="344"/>
      <c r="Z131" s="344"/>
      <c r="AA131" s="344"/>
      <c r="AB131" s="344"/>
      <c r="AC131" s="344"/>
      <c r="AD131" s="344"/>
      <c r="AE131" s="344"/>
      <c r="AF131" s="344"/>
      <c r="AG131" s="344"/>
      <c r="AH131" s="344"/>
    </row>
    <row r="132" spans="1:34" ht="27" customHeight="1" x14ac:dyDescent="0.3">
      <c r="A132" s="344"/>
      <c r="B132" s="344"/>
      <c r="C132" s="344"/>
      <c r="D132" s="344"/>
      <c r="E132" s="344"/>
      <c r="F132" s="344"/>
      <c r="G132" s="344"/>
      <c r="H132" s="344"/>
      <c r="I132" s="344"/>
      <c r="J132" s="344"/>
      <c r="K132" s="344"/>
      <c r="L132" s="344"/>
      <c r="M132" s="344"/>
      <c r="N132" s="344"/>
      <c r="O132" s="344"/>
      <c r="P132" s="344"/>
      <c r="Q132" s="344"/>
      <c r="R132" s="344"/>
      <c r="S132" s="344"/>
      <c r="T132" s="344"/>
      <c r="U132" s="344"/>
      <c r="V132" s="344"/>
      <c r="W132" s="344"/>
      <c r="X132" s="344"/>
      <c r="Y132" s="344"/>
      <c r="Z132" s="344"/>
      <c r="AA132" s="344"/>
      <c r="AB132" s="344"/>
      <c r="AC132" s="344"/>
      <c r="AD132" s="344"/>
      <c r="AE132" s="344"/>
      <c r="AF132" s="344"/>
      <c r="AG132" s="344"/>
      <c r="AH132" s="344"/>
    </row>
    <row r="133" spans="1:34" ht="27" customHeight="1" x14ac:dyDescent="0.3">
      <c r="A133" s="344"/>
      <c r="B133" s="344"/>
      <c r="C133" s="344"/>
      <c r="D133" s="344"/>
      <c r="E133" s="344"/>
      <c r="F133" s="344"/>
      <c r="G133" s="344"/>
      <c r="H133" s="344"/>
      <c r="I133" s="344"/>
      <c r="J133" s="344"/>
      <c r="K133" s="344"/>
      <c r="L133" s="344"/>
      <c r="M133" s="344"/>
      <c r="N133" s="344"/>
      <c r="O133" s="344"/>
      <c r="P133" s="344"/>
      <c r="Q133" s="344"/>
      <c r="R133" s="344"/>
      <c r="S133" s="344"/>
      <c r="T133" s="344"/>
      <c r="U133" s="344"/>
      <c r="V133" s="344"/>
      <c r="W133" s="344"/>
      <c r="X133" s="344"/>
      <c r="Y133" s="344"/>
      <c r="Z133" s="344"/>
      <c r="AA133" s="344"/>
      <c r="AB133" s="344"/>
      <c r="AC133" s="344"/>
      <c r="AD133" s="344"/>
      <c r="AE133" s="344"/>
      <c r="AF133" s="344"/>
      <c r="AG133" s="344"/>
      <c r="AH133" s="344"/>
    </row>
    <row r="134" spans="1:34" ht="27" customHeight="1" x14ac:dyDescent="0.3">
      <c r="A134" s="344"/>
      <c r="B134" s="344"/>
      <c r="C134" s="344"/>
      <c r="D134" s="344"/>
      <c r="E134" s="344"/>
      <c r="F134" s="344"/>
      <c r="G134" s="344"/>
      <c r="H134" s="344"/>
      <c r="I134" s="344"/>
      <c r="J134" s="344"/>
      <c r="K134" s="344"/>
      <c r="L134" s="344"/>
      <c r="M134" s="344"/>
      <c r="N134" s="344"/>
      <c r="O134" s="344"/>
      <c r="P134" s="344"/>
      <c r="Q134" s="344"/>
      <c r="R134" s="344"/>
      <c r="S134" s="344"/>
      <c r="T134" s="344"/>
      <c r="U134" s="344"/>
      <c r="V134" s="344"/>
      <c r="W134" s="344"/>
      <c r="X134" s="344"/>
      <c r="Y134" s="344"/>
      <c r="Z134" s="344"/>
      <c r="AA134" s="344"/>
      <c r="AB134" s="344"/>
      <c r="AC134" s="344"/>
      <c r="AD134" s="344"/>
      <c r="AE134" s="344"/>
      <c r="AF134" s="344"/>
      <c r="AG134" s="344"/>
      <c r="AH134" s="344"/>
    </row>
    <row r="135" spans="1:34" ht="27" customHeight="1" x14ac:dyDescent="0.3">
      <c r="A135" s="344"/>
      <c r="B135" s="344"/>
      <c r="C135" s="344"/>
      <c r="D135" s="344"/>
      <c r="E135" s="344"/>
      <c r="F135" s="344"/>
      <c r="G135" s="344"/>
      <c r="H135" s="344"/>
      <c r="I135" s="344"/>
      <c r="J135" s="344"/>
      <c r="K135" s="344"/>
      <c r="L135" s="344"/>
      <c r="M135" s="344"/>
      <c r="N135" s="344"/>
      <c r="O135" s="344"/>
      <c r="P135" s="344"/>
      <c r="Q135" s="344"/>
      <c r="R135" s="344"/>
      <c r="S135" s="344"/>
      <c r="T135" s="344"/>
      <c r="U135" s="344"/>
      <c r="V135" s="344"/>
      <c r="W135" s="344"/>
      <c r="X135" s="344"/>
      <c r="Y135" s="344"/>
      <c r="Z135" s="344"/>
      <c r="AA135" s="344"/>
      <c r="AB135" s="344"/>
      <c r="AC135" s="344"/>
      <c r="AD135" s="344"/>
      <c r="AE135" s="344"/>
      <c r="AF135" s="344"/>
      <c r="AG135" s="344"/>
      <c r="AH135" s="344"/>
    </row>
    <row r="136" spans="1:34" ht="27" customHeight="1" x14ac:dyDescent="0.3">
      <c r="A136" s="344"/>
      <c r="B136" s="344"/>
      <c r="C136" s="344"/>
      <c r="D136" s="344"/>
      <c r="E136" s="344"/>
      <c r="F136" s="344"/>
      <c r="G136" s="344"/>
      <c r="H136" s="344"/>
      <c r="I136" s="344"/>
      <c r="J136" s="344"/>
      <c r="K136" s="344"/>
      <c r="L136" s="344"/>
      <c r="M136" s="344"/>
      <c r="N136" s="344"/>
      <c r="O136" s="344"/>
      <c r="P136" s="344"/>
      <c r="Q136" s="344"/>
      <c r="R136" s="344"/>
      <c r="S136" s="344"/>
      <c r="T136" s="344"/>
      <c r="U136" s="344"/>
      <c r="V136" s="344"/>
      <c r="W136" s="344"/>
      <c r="X136" s="344"/>
      <c r="Y136" s="344"/>
      <c r="Z136" s="344"/>
      <c r="AA136" s="344"/>
      <c r="AB136" s="344"/>
      <c r="AC136" s="344"/>
      <c r="AD136" s="344"/>
      <c r="AE136" s="344"/>
      <c r="AF136" s="344"/>
      <c r="AG136" s="344"/>
      <c r="AH136" s="344"/>
    </row>
    <row r="137" spans="1:34" ht="27" customHeight="1" x14ac:dyDescent="0.3">
      <c r="A137" s="344"/>
      <c r="B137" s="344"/>
      <c r="C137" s="344"/>
      <c r="D137" s="344"/>
      <c r="E137" s="344"/>
      <c r="F137" s="344"/>
      <c r="G137" s="344"/>
      <c r="H137" s="344"/>
      <c r="I137" s="344"/>
      <c r="J137" s="344"/>
      <c r="K137" s="344"/>
      <c r="L137" s="344"/>
      <c r="M137" s="344"/>
      <c r="N137" s="344"/>
      <c r="O137" s="344"/>
      <c r="P137" s="344"/>
      <c r="Q137" s="344"/>
      <c r="R137" s="344"/>
      <c r="S137" s="344"/>
      <c r="T137" s="344"/>
      <c r="U137" s="344"/>
      <c r="V137" s="344"/>
      <c r="W137" s="344"/>
      <c r="X137" s="344"/>
      <c r="Y137" s="344"/>
      <c r="Z137" s="344"/>
      <c r="AA137" s="344"/>
      <c r="AB137" s="344"/>
      <c r="AC137" s="344"/>
      <c r="AD137" s="344"/>
      <c r="AE137" s="344"/>
      <c r="AF137" s="344"/>
      <c r="AG137" s="344"/>
      <c r="AH137" s="344"/>
    </row>
    <row r="138" spans="1:34" ht="27" customHeight="1" x14ac:dyDescent="0.3">
      <c r="A138" s="344"/>
      <c r="B138" s="344"/>
      <c r="C138" s="344"/>
      <c r="D138" s="344"/>
      <c r="E138" s="344"/>
      <c r="F138" s="344"/>
      <c r="G138" s="344"/>
      <c r="H138" s="344"/>
      <c r="I138" s="344"/>
      <c r="J138" s="344"/>
      <c r="K138" s="344"/>
      <c r="L138" s="344"/>
      <c r="M138" s="344"/>
      <c r="N138" s="344"/>
      <c r="O138" s="344"/>
      <c r="P138" s="344"/>
      <c r="Q138" s="344"/>
      <c r="R138" s="344"/>
      <c r="S138" s="344"/>
      <c r="T138" s="344"/>
      <c r="U138" s="344"/>
      <c r="V138" s="344"/>
      <c r="W138" s="344"/>
      <c r="X138" s="344"/>
      <c r="Y138" s="344"/>
      <c r="Z138" s="344"/>
      <c r="AA138" s="344"/>
      <c r="AB138" s="344"/>
      <c r="AC138" s="344"/>
      <c r="AD138" s="344"/>
      <c r="AE138" s="344"/>
      <c r="AF138" s="344"/>
      <c r="AG138" s="344"/>
      <c r="AH138" s="344"/>
    </row>
    <row r="139" spans="1:34" ht="27" customHeight="1" x14ac:dyDescent="0.3">
      <c r="A139" s="344"/>
      <c r="B139" s="344"/>
      <c r="C139" s="344"/>
      <c r="D139" s="344"/>
      <c r="E139" s="344"/>
      <c r="F139" s="344"/>
      <c r="G139" s="344"/>
      <c r="H139" s="344"/>
      <c r="I139" s="344"/>
      <c r="J139" s="344"/>
      <c r="K139" s="344"/>
      <c r="L139" s="344"/>
      <c r="M139" s="344"/>
      <c r="N139" s="344"/>
      <c r="O139" s="344"/>
      <c r="P139" s="344"/>
      <c r="Q139" s="344"/>
      <c r="R139" s="344"/>
      <c r="S139" s="344"/>
      <c r="T139" s="344"/>
      <c r="U139" s="344"/>
      <c r="V139" s="344"/>
      <c r="W139" s="344"/>
      <c r="X139" s="344"/>
      <c r="Y139" s="344"/>
      <c r="Z139" s="344"/>
      <c r="AA139" s="344"/>
      <c r="AB139" s="344"/>
      <c r="AC139" s="344"/>
      <c r="AD139" s="344"/>
      <c r="AE139" s="344"/>
      <c r="AF139" s="344"/>
      <c r="AG139" s="344"/>
      <c r="AH139" s="344"/>
    </row>
    <row r="140" spans="1:34" ht="27" customHeight="1" x14ac:dyDescent="0.3">
      <c r="A140" s="344"/>
      <c r="B140" s="344"/>
      <c r="C140" s="344"/>
      <c r="D140" s="344"/>
      <c r="E140" s="344"/>
      <c r="F140" s="344"/>
      <c r="G140" s="344"/>
      <c r="H140" s="344"/>
      <c r="I140" s="344"/>
      <c r="J140" s="344"/>
      <c r="K140" s="344"/>
      <c r="L140" s="344"/>
      <c r="M140" s="344"/>
      <c r="N140" s="344"/>
      <c r="O140" s="344"/>
      <c r="P140" s="344"/>
      <c r="Q140" s="344"/>
      <c r="R140" s="344"/>
      <c r="S140" s="344"/>
      <c r="T140" s="344"/>
      <c r="U140" s="344"/>
      <c r="V140" s="344"/>
      <c r="W140" s="344"/>
      <c r="X140" s="344"/>
      <c r="Y140" s="344"/>
      <c r="Z140" s="344"/>
      <c r="AA140" s="344"/>
      <c r="AB140" s="344"/>
      <c r="AC140" s="344"/>
      <c r="AD140" s="344"/>
      <c r="AE140" s="344"/>
      <c r="AF140" s="344"/>
      <c r="AG140" s="344"/>
      <c r="AH140" s="344"/>
    </row>
    <row r="141" spans="1:34" ht="27" customHeight="1" x14ac:dyDescent="0.3">
      <c r="C141" s="344"/>
      <c r="D141" s="344"/>
      <c r="E141" s="344"/>
      <c r="F141" s="344"/>
      <c r="G141" s="344"/>
    </row>
    <row r="142" spans="1:34" ht="27" customHeight="1" x14ac:dyDescent="0.3">
      <c r="C142" s="344"/>
      <c r="D142" s="344"/>
      <c r="E142" s="344"/>
      <c r="F142" s="344"/>
      <c r="G142" s="344"/>
    </row>
  </sheetData>
  <sheetProtection algorithmName="SHA-512" hashValue="PZ8jbGgJRpe77DYB4/46R+nwwhtHsPco8fJDA5TaetiwVuRY2xoBNakEMSg43hvECESla+1gaYBR/NKM2siIWA==" saltValue="zLd0j76WvXtn582kP9gZpA==" spinCount="100000" sheet="1" objects="1" scenarios="1"/>
  <mergeCells count="6">
    <mergeCell ref="C70:D70"/>
    <mergeCell ref="K27:N27"/>
    <mergeCell ref="C3:D4"/>
    <mergeCell ref="C5:G5"/>
    <mergeCell ref="J7:N11"/>
    <mergeCell ref="J6:N6"/>
  </mergeCells>
  <dataValidations disablePrompts="1" count="1">
    <dataValidation allowBlank="1" showErrorMessage="1" sqref="D30:F30" xr:uid="{E5329E75-B241-484C-ABEB-3A74B84234D5}"/>
  </dataValidations>
  <pageMargins left="0.70866141732283472" right="0.31496062992125984" top="0.51181102362204722" bottom="0.35433070866141736" header="0.31496062992125984" footer="0.31496062992125984"/>
  <pageSetup paperSize="8" scale="60" fitToHeight="2" orientation="portrait" r:id="rId1"/>
  <headerFooter>
    <oddFooter>&amp;C_x000D_&amp;1#&amp;"Calibri"&amp;10&amp;K000000 AtkinsRéalis - Baseline / Référence</oddFooter>
  </headerFooter>
  <customProperties>
    <customPr name="GUID" r:id="rId2"/>
  </customPropertie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ACEACF"/>
  </sheetPr>
  <dimension ref="A1:V146"/>
  <sheetViews>
    <sheetView topLeftCell="J1" zoomScaleNormal="100" workbookViewId="0">
      <selection activeCell="L30" sqref="L30"/>
    </sheetView>
  </sheetViews>
  <sheetFormatPr defaultColWidth="9.28515625" defaultRowHeight="12.75" x14ac:dyDescent="0.2"/>
  <cols>
    <col min="1" max="1" width="27.28515625" style="16" bestFit="1" customWidth="1"/>
    <col min="2" max="3" width="27.7109375" style="23" customWidth="1"/>
    <col min="4" max="4" width="22.28515625" style="16" bestFit="1" customWidth="1"/>
    <col min="5" max="5" width="29.7109375" style="23" bestFit="1" customWidth="1"/>
    <col min="6" max="6" width="30.42578125" style="23" bestFit="1" customWidth="1"/>
    <col min="7" max="7" width="43.28515625" style="23" customWidth="1"/>
    <col min="8" max="8" width="22.42578125" style="23" customWidth="1"/>
    <col min="9" max="9" width="48" style="23" bestFit="1" customWidth="1"/>
    <col min="10" max="10" width="41.42578125" style="23" bestFit="1" customWidth="1"/>
    <col min="11" max="11" width="17.42578125" style="23" bestFit="1" customWidth="1"/>
    <col min="12" max="12" width="43.7109375" style="23" bestFit="1" customWidth="1"/>
    <col min="13" max="13" width="32.7109375" style="54" bestFit="1" customWidth="1"/>
    <col min="14" max="14" width="31.42578125" style="23" bestFit="1" customWidth="1"/>
    <col min="15" max="15" width="8.7109375" style="23" customWidth="1"/>
    <col min="16" max="16" width="11" style="23" customWidth="1"/>
    <col min="17" max="17" width="16.28515625" style="23" bestFit="1" customWidth="1"/>
    <col min="18" max="19" width="8.7109375" style="23" customWidth="1"/>
    <col min="20" max="20" width="10.5703125" style="23" customWidth="1"/>
    <col min="21" max="21" width="10.5703125" style="801" bestFit="1" customWidth="1"/>
    <col min="22" max="22" width="10.42578125" style="23" bestFit="1" customWidth="1"/>
    <col min="23" max="16384" width="9.28515625" style="23"/>
  </cols>
  <sheetData>
    <row r="1" spans="1:22" x14ac:dyDescent="0.2">
      <c r="A1" s="53"/>
      <c r="B1" s="53"/>
    </row>
    <row r="2" spans="1:22" s="24" customFormat="1" ht="21" customHeight="1" x14ac:dyDescent="0.2">
      <c r="A2" s="55" t="s">
        <v>49</v>
      </c>
      <c r="B2" s="55" t="s">
        <v>418</v>
      </c>
      <c r="D2" s="56"/>
      <c r="E2" s="57"/>
      <c r="F2" s="57"/>
      <c r="G2" s="57"/>
      <c r="H2" s="57"/>
      <c r="K2" s="57" t="s">
        <v>419</v>
      </c>
      <c r="L2" s="57" t="s">
        <v>420</v>
      </c>
      <c r="M2" s="58" t="s">
        <v>421</v>
      </c>
      <c r="N2" s="57" t="s">
        <v>422</v>
      </c>
      <c r="P2" s="24" t="s">
        <v>423</v>
      </c>
      <c r="Q2" s="24" t="s">
        <v>424</v>
      </c>
      <c r="R2" s="24" t="s">
        <v>425</v>
      </c>
      <c r="S2" s="24" t="s">
        <v>426</v>
      </c>
      <c r="T2" s="24" t="s">
        <v>427</v>
      </c>
      <c r="U2" s="802" t="s">
        <v>428</v>
      </c>
    </row>
    <row r="3" spans="1:22" ht="18.75" customHeight="1" x14ac:dyDescent="0.2">
      <c r="A3" s="59" t="s">
        <v>429</v>
      </c>
      <c r="B3" s="53" t="s">
        <v>430</v>
      </c>
      <c r="E3" s="54"/>
      <c r="K3" s="23" t="s">
        <v>68</v>
      </c>
      <c r="L3" s="23" t="s">
        <v>431</v>
      </c>
      <c r="M3" s="54">
        <f>'Project Compliance Tool'!D5</f>
        <v>0</v>
      </c>
      <c r="N3" s="23" t="str">
        <f>IF(ISERROR(VLOOKUP(M3,$K$3:$L$9,2,FALSE)),"",VLOOKUP(M3,$K$3:$L$9,2,FALSE))</f>
        <v/>
      </c>
      <c r="P3" s="23">
        <f>IF(Project_Completion_Date&lt;DATE(YEAR(Project_Completion_Date),2,28),YEAR(Project_Completion_Date)-1,YEAR(Project_Completion_Date))</f>
        <v>1899</v>
      </c>
      <c r="Q3" s="23" t="str">
        <f>_xlfn.XLOOKUP(1,TLoan[Hide - Final Payment Year],TLoan[PFY],"N/A",0,-1)</f>
        <v>N/A</v>
      </c>
      <c r="R3" s="23">
        <f>IF(Drawdown_1_Date&lt;DATE(YEAR(Drawdown_1_Date),2,28),YEAR(Drawdown_1_Date)-1,YEAR(Drawdown_1_Date))</f>
        <v>1899</v>
      </c>
      <c r="S3" s="23">
        <f>IF(Drawdown_2_Date&lt;DATE(YEAR(Drawdown_2_Date),2,28),YEAR(Drawdown_2_Date)-1,YEAR(Drawdown_2_Date))</f>
        <v>1899</v>
      </c>
      <c r="T3" s="23">
        <f>IF(Drawdown_3_Date&lt;DATE(YEAR(Drawdown_3_Date),2,28),YEAR(Drawdown_3_Date)-1,YEAR(Drawdown_3_Date))</f>
        <v>1899</v>
      </c>
      <c r="U3" s="801">
        <f>EOMONTH(Submission_Date,MOD(3-MONTH(Submission_Date),3))</f>
        <v>91</v>
      </c>
      <c r="V3" s="801"/>
    </row>
    <row r="4" spans="1:22" ht="18.75" customHeight="1" x14ac:dyDescent="0.2">
      <c r="A4" s="59" t="s">
        <v>329</v>
      </c>
      <c r="B4" s="53" t="s">
        <v>329</v>
      </c>
      <c r="E4" s="54"/>
      <c r="K4" s="23" t="s">
        <v>432</v>
      </c>
      <c r="L4" s="23" t="s">
        <v>433</v>
      </c>
      <c r="T4" s="801"/>
      <c r="U4" s="804"/>
    </row>
    <row r="5" spans="1:22" ht="18.75" customHeight="1" x14ac:dyDescent="0.2">
      <c r="A5" s="59" t="s">
        <v>345</v>
      </c>
      <c r="B5" s="53" t="s">
        <v>434</v>
      </c>
      <c r="D5" s="56" t="s">
        <v>435</v>
      </c>
      <c r="E5" s="57" t="s">
        <v>436</v>
      </c>
      <c r="F5" s="57" t="s">
        <v>418</v>
      </c>
      <c r="G5" s="57" t="s">
        <v>437</v>
      </c>
      <c r="H5" s="57" t="s">
        <v>438</v>
      </c>
      <c r="I5" s="24" t="s">
        <v>439</v>
      </c>
      <c r="K5" s="23" t="s">
        <v>440</v>
      </c>
      <c r="L5" s="23" t="s">
        <v>441</v>
      </c>
      <c r="U5" s="804">
        <f>EDATE(U3,3)</f>
        <v>182</v>
      </c>
    </row>
    <row r="6" spans="1:22" ht="18.75" customHeight="1" x14ac:dyDescent="0.2">
      <c r="A6" s="59" t="s">
        <v>351</v>
      </c>
      <c r="B6" s="53" t="s">
        <v>351</v>
      </c>
      <c r="D6" s="16">
        <f>'Project Compliance Tool'!A12</f>
        <v>1</v>
      </c>
      <c r="E6" s="54">
        <f>'Project Compliance Tool'!H12</f>
        <v>0</v>
      </c>
      <c r="F6" s="23" t="str">
        <f>IF(ISERROR(VLOOKUP(E6,$A$3:$B$20,2,FALSE)),"",VLOOKUP(E6,$A$3:$B$20,2,FALSE))</f>
        <v/>
      </c>
      <c r="G6" s="23">
        <f>'Project Compliance Tool'!I12</f>
        <v>0</v>
      </c>
      <c r="H6" s="23" t="str">
        <f t="shared" ref="H6:H12" ca="1" si="0">IF(AND(F6&lt;&gt;0,G6=0),"OK",IF(ISERROR(VLOOKUP(G6,INDIRECT(F6),1,FALSE)),"Work Type","OK"))</f>
        <v>OK</v>
      </c>
      <c r="I6" s="23">
        <f ca="1">IF(H6="OK",1,0)</f>
        <v>1</v>
      </c>
      <c r="K6" s="23" t="s">
        <v>71</v>
      </c>
      <c r="L6" s="23" t="s">
        <v>442</v>
      </c>
      <c r="U6" s="804">
        <f t="shared" ref="U6:U20" si="1">EDATE(U5,3)</f>
        <v>274</v>
      </c>
    </row>
    <row r="7" spans="1:22" ht="18.75" customHeight="1" x14ac:dyDescent="0.2">
      <c r="A7" s="59" t="s">
        <v>363</v>
      </c>
      <c r="B7" s="53" t="s">
        <v>443</v>
      </c>
      <c r="D7" s="16">
        <f>'Project Compliance Tool'!A13</f>
        <v>2</v>
      </c>
      <c r="E7" s="54">
        <f>'Project Compliance Tool'!H13</f>
        <v>0</v>
      </c>
      <c r="F7" s="23" t="str">
        <f t="shared" ref="F7:F55" si="2">IF(ISERROR(VLOOKUP(E7,$A$3:$B$20,2,FALSE)),"",VLOOKUP(E7,$A$3:$B$20,2,FALSE))</f>
        <v/>
      </c>
      <c r="G7" s="23">
        <f>'Project Compliance Tool'!I13</f>
        <v>0</v>
      </c>
      <c r="H7" s="23" t="str">
        <f t="shared" ca="1" si="0"/>
        <v>OK</v>
      </c>
      <c r="I7" s="23">
        <f t="shared" ref="I7:I55" ca="1" si="3">IF(H7="OK",1,0)</f>
        <v>1</v>
      </c>
      <c r="K7" s="23" t="s">
        <v>72</v>
      </c>
      <c r="L7" s="23" t="s">
        <v>72</v>
      </c>
      <c r="P7" s="801"/>
      <c r="T7" s="803"/>
      <c r="U7" s="804">
        <f t="shared" si="1"/>
        <v>365</v>
      </c>
    </row>
    <row r="8" spans="1:22" ht="18.75" customHeight="1" x14ac:dyDescent="0.2">
      <c r="A8" s="60" t="s">
        <v>367</v>
      </c>
      <c r="B8" s="53" t="s">
        <v>444</v>
      </c>
      <c r="D8" s="16">
        <f>'Project Compliance Tool'!A14</f>
        <v>3</v>
      </c>
      <c r="E8" s="54">
        <f>'Project Compliance Tool'!H14</f>
        <v>0</v>
      </c>
      <c r="F8" s="23" t="str">
        <f t="shared" si="2"/>
        <v/>
      </c>
      <c r="G8" s="23">
        <f>'Project Compliance Tool'!I14</f>
        <v>0</v>
      </c>
      <c r="H8" s="23" t="str">
        <f t="shared" ca="1" si="0"/>
        <v>OK</v>
      </c>
      <c r="I8" s="23">
        <f t="shared" ca="1" si="3"/>
        <v>1</v>
      </c>
      <c r="K8" s="23" t="s">
        <v>73</v>
      </c>
      <c r="L8" s="23" t="s">
        <v>445</v>
      </c>
      <c r="U8" s="804">
        <f t="shared" si="1"/>
        <v>455</v>
      </c>
    </row>
    <row r="9" spans="1:22" ht="18.75" customHeight="1" x14ac:dyDescent="0.2">
      <c r="A9" s="59" t="s">
        <v>376</v>
      </c>
      <c r="B9" s="53" t="s">
        <v>446</v>
      </c>
      <c r="D9" s="16">
        <f>'Project Compliance Tool'!A15</f>
        <v>4</v>
      </c>
      <c r="E9" s="54">
        <f>'Project Compliance Tool'!H15</f>
        <v>0</v>
      </c>
      <c r="F9" s="23" t="str">
        <f t="shared" si="2"/>
        <v/>
      </c>
      <c r="G9" s="23">
        <f>'Project Compliance Tool'!I15</f>
        <v>0</v>
      </c>
      <c r="H9" s="23" t="str">
        <f t="shared" ca="1" si="0"/>
        <v>OK</v>
      </c>
      <c r="I9" s="23">
        <f t="shared" ca="1" si="3"/>
        <v>1</v>
      </c>
      <c r="K9" s="23" t="s">
        <v>74</v>
      </c>
      <c r="L9" s="23" t="s">
        <v>447</v>
      </c>
      <c r="P9" s="801"/>
      <c r="U9" s="804">
        <f t="shared" si="1"/>
        <v>547</v>
      </c>
    </row>
    <row r="10" spans="1:22" ht="18.75" customHeight="1" x14ac:dyDescent="0.2">
      <c r="A10" s="59" t="s">
        <v>377</v>
      </c>
      <c r="B10" s="53" t="s">
        <v>448</v>
      </c>
      <c r="D10" s="16">
        <f>'Project Compliance Tool'!A16</f>
        <v>5</v>
      </c>
      <c r="E10" s="54">
        <f>'Project Compliance Tool'!H16</f>
        <v>0</v>
      </c>
      <c r="F10" s="23" t="str">
        <f t="shared" si="2"/>
        <v/>
      </c>
      <c r="G10" s="23">
        <f>'Project Compliance Tool'!I16</f>
        <v>0</v>
      </c>
      <c r="H10" s="23" t="str">
        <f t="shared" ca="1" si="0"/>
        <v>OK</v>
      </c>
      <c r="I10" s="23">
        <f t="shared" ca="1" si="3"/>
        <v>1</v>
      </c>
      <c r="P10" s="801"/>
      <c r="Q10" s="801"/>
      <c r="U10" s="804">
        <f t="shared" si="1"/>
        <v>639</v>
      </c>
    </row>
    <row r="11" spans="1:22" ht="18.75" customHeight="1" x14ac:dyDescent="0.2">
      <c r="A11" s="59" t="s">
        <v>383</v>
      </c>
      <c r="B11" s="53" t="s">
        <v>449</v>
      </c>
      <c r="D11" s="16">
        <f>'Project Compliance Tool'!A17</f>
        <v>6</v>
      </c>
      <c r="E11" s="54">
        <f>'Project Compliance Tool'!H17</f>
        <v>0</v>
      </c>
      <c r="F11" s="23" t="str">
        <f t="shared" si="2"/>
        <v/>
      </c>
      <c r="G11" s="23">
        <f>'Project Compliance Tool'!I17</f>
        <v>0</v>
      </c>
      <c r="H11" s="23" t="str">
        <f t="shared" ca="1" si="0"/>
        <v>OK</v>
      </c>
      <c r="I11" s="23">
        <f t="shared" ca="1" si="3"/>
        <v>1</v>
      </c>
      <c r="U11" s="804">
        <f t="shared" si="1"/>
        <v>730</v>
      </c>
    </row>
    <row r="12" spans="1:22" ht="18.75" customHeight="1" x14ac:dyDescent="0.2">
      <c r="A12" s="59" t="s">
        <v>304</v>
      </c>
      <c r="B12" s="23" t="s">
        <v>450</v>
      </c>
      <c r="D12" s="16">
        <f>'Project Compliance Tool'!A18</f>
        <v>7</v>
      </c>
      <c r="E12" s="54">
        <f>'Project Compliance Tool'!H18</f>
        <v>0</v>
      </c>
      <c r="F12" s="23" t="str">
        <f t="shared" si="2"/>
        <v/>
      </c>
      <c r="G12" s="23">
        <f>'Project Compliance Tool'!I18</f>
        <v>0</v>
      </c>
      <c r="H12" s="23" t="str">
        <f t="shared" ca="1" si="0"/>
        <v>OK</v>
      </c>
      <c r="I12" s="23">
        <f t="shared" ca="1" si="3"/>
        <v>1</v>
      </c>
      <c r="U12" s="804">
        <f t="shared" si="1"/>
        <v>820</v>
      </c>
    </row>
    <row r="13" spans="1:22" ht="18.75" customHeight="1" x14ac:dyDescent="0.2">
      <c r="A13" s="59" t="s">
        <v>386</v>
      </c>
      <c r="B13" s="53" t="s">
        <v>451</v>
      </c>
      <c r="D13" s="16">
        <f>'Project Compliance Tool'!A19</f>
        <v>8</v>
      </c>
      <c r="E13" s="54">
        <f>'Project Compliance Tool'!H19</f>
        <v>0</v>
      </c>
      <c r="F13" s="23" t="str">
        <f t="shared" si="2"/>
        <v/>
      </c>
      <c r="G13" s="23">
        <f>'Project Compliance Tool'!I19</f>
        <v>0</v>
      </c>
      <c r="H13" s="23" t="str">
        <f ca="1">IF(AND(F13&lt;&gt;0,G13=0),"OK",IF(ISERROR(VLOOKUP(G13,INDIRECT(F13),1,FALSE)),"Work Type","OK"))</f>
        <v>OK</v>
      </c>
      <c r="I13" s="23">
        <f t="shared" ca="1" si="3"/>
        <v>1</v>
      </c>
      <c r="U13" s="804">
        <f t="shared" si="1"/>
        <v>912</v>
      </c>
    </row>
    <row r="14" spans="1:22" ht="18.75" customHeight="1" x14ac:dyDescent="0.2">
      <c r="A14" s="59" t="s">
        <v>389</v>
      </c>
      <c r="B14" s="53" t="s">
        <v>452</v>
      </c>
      <c r="D14" s="16">
        <f>'Project Compliance Tool'!A20</f>
        <v>9</v>
      </c>
      <c r="E14" s="54">
        <f>'Project Compliance Tool'!H20</f>
        <v>0</v>
      </c>
      <c r="F14" s="23" t="str">
        <f t="shared" si="2"/>
        <v/>
      </c>
      <c r="G14" s="23">
        <f>'Project Compliance Tool'!I20</f>
        <v>0</v>
      </c>
      <c r="H14" s="23" t="str">
        <f t="shared" ref="H14:H55" ca="1" si="4">IF(AND(F14&lt;&gt;0,G14=0),"OK",IF(ISERROR(VLOOKUP(G14,INDIRECT(F14),1,FALSE)),"Work Type","OK"))</f>
        <v>OK</v>
      </c>
      <c r="I14" s="23">
        <f t="shared" ca="1" si="3"/>
        <v>1</v>
      </c>
      <c r="U14" s="804">
        <f t="shared" si="1"/>
        <v>1004</v>
      </c>
    </row>
    <row r="15" spans="1:22" ht="18.75" customHeight="1" x14ac:dyDescent="0.2">
      <c r="A15" s="59" t="s">
        <v>392</v>
      </c>
      <c r="B15" s="53" t="s">
        <v>453</v>
      </c>
      <c r="D15" s="16">
        <f>'Project Compliance Tool'!A21</f>
        <v>10</v>
      </c>
      <c r="E15" s="54">
        <f>'Project Compliance Tool'!H21</f>
        <v>0</v>
      </c>
      <c r="F15" s="23" t="str">
        <f t="shared" si="2"/>
        <v/>
      </c>
      <c r="G15" s="23">
        <f>'Project Compliance Tool'!I21</f>
        <v>0</v>
      </c>
      <c r="H15" s="23" t="str">
        <f t="shared" ca="1" si="4"/>
        <v>OK</v>
      </c>
      <c r="I15" s="23">
        <f t="shared" ca="1" si="3"/>
        <v>1</v>
      </c>
      <c r="U15" s="804">
        <f t="shared" si="1"/>
        <v>1095</v>
      </c>
    </row>
    <row r="16" spans="1:22" ht="18.75" customHeight="1" x14ac:dyDescent="0.2">
      <c r="A16" s="59" t="s">
        <v>396</v>
      </c>
      <c r="B16" s="53" t="s">
        <v>454</v>
      </c>
      <c r="D16" s="16">
        <f>'Project Compliance Tool'!A22</f>
        <v>11</v>
      </c>
      <c r="E16" s="54">
        <f>'Project Compliance Tool'!H22</f>
        <v>0</v>
      </c>
      <c r="F16" s="23" t="str">
        <f t="shared" si="2"/>
        <v/>
      </c>
      <c r="G16" s="23">
        <f>'Project Compliance Tool'!I22</f>
        <v>0</v>
      </c>
      <c r="H16" s="23" t="str">
        <f t="shared" ca="1" si="4"/>
        <v>OK</v>
      </c>
      <c r="I16" s="23">
        <f t="shared" ca="1" si="3"/>
        <v>1</v>
      </c>
      <c r="U16" s="804">
        <f t="shared" si="1"/>
        <v>1185</v>
      </c>
    </row>
    <row r="17" spans="1:21" ht="18.75" customHeight="1" x14ac:dyDescent="0.2">
      <c r="A17" s="59" t="s">
        <v>398</v>
      </c>
      <c r="B17" s="53" t="s">
        <v>455</v>
      </c>
      <c r="D17" s="16">
        <f>'Project Compliance Tool'!A23</f>
        <v>12</v>
      </c>
      <c r="E17" s="54">
        <f>'Project Compliance Tool'!H23</f>
        <v>0</v>
      </c>
      <c r="F17" s="23" t="str">
        <f t="shared" si="2"/>
        <v/>
      </c>
      <c r="G17" s="23">
        <f>'Project Compliance Tool'!I23</f>
        <v>0</v>
      </c>
      <c r="H17" s="23" t="str">
        <f t="shared" ca="1" si="4"/>
        <v>OK</v>
      </c>
      <c r="I17" s="23">
        <f t="shared" ca="1" si="3"/>
        <v>1</v>
      </c>
      <c r="U17" s="804">
        <f t="shared" si="1"/>
        <v>1277</v>
      </c>
    </row>
    <row r="18" spans="1:21" ht="18.75" customHeight="1" x14ac:dyDescent="0.2">
      <c r="A18" s="59" t="s">
        <v>402</v>
      </c>
      <c r="B18" s="53" t="s">
        <v>456</v>
      </c>
      <c r="D18" s="16">
        <f>'Project Compliance Tool'!A24</f>
        <v>13</v>
      </c>
      <c r="E18" s="54">
        <f>'Project Compliance Tool'!H24</f>
        <v>0</v>
      </c>
      <c r="F18" s="23" t="str">
        <f t="shared" si="2"/>
        <v/>
      </c>
      <c r="G18" s="23">
        <f>'Project Compliance Tool'!I24</f>
        <v>0</v>
      </c>
      <c r="H18" s="23" t="str">
        <f t="shared" ca="1" si="4"/>
        <v>OK</v>
      </c>
      <c r="I18" s="23">
        <f t="shared" ca="1" si="3"/>
        <v>1</v>
      </c>
      <c r="U18" s="804">
        <f t="shared" si="1"/>
        <v>1369</v>
      </c>
    </row>
    <row r="19" spans="1:21" ht="18.75" customHeight="1" x14ac:dyDescent="0.2">
      <c r="A19" s="59" t="s">
        <v>457</v>
      </c>
      <c r="B19" s="53" t="s">
        <v>457</v>
      </c>
      <c r="D19" s="16">
        <f>'Project Compliance Tool'!A25</f>
        <v>14</v>
      </c>
      <c r="E19" s="54">
        <f>'Project Compliance Tool'!H25</f>
        <v>0</v>
      </c>
      <c r="F19" s="23" t="str">
        <f t="shared" si="2"/>
        <v/>
      </c>
      <c r="G19" s="23">
        <f>'Project Compliance Tool'!I25</f>
        <v>0</v>
      </c>
      <c r="H19" s="23" t="str">
        <f t="shared" ca="1" si="4"/>
        <v>OK</v>
      </c>
      <c r="I19" s="23">
        <f t="shared" ca="1" si="3"/>
        <v>1</v>
      </c>
      <c r="U19" s="804">
        <f t="shared" si="1"/>
        <v>1460</v>
      </c>
    </row>
    <row r="20" spans="1:21" ht="18.75" customHeight="1" x14ac:dyDescent="0.2">
      <c r="A20" s="59" t="s">
        <v>403</v>
      </c>
      <c r="B20" s="53" t="s">
        <v>403</v>
      </c>
      <c r="D20" s="16">
        <f>'Project Compliance Tool'!A26</f>
        <v>15</v>
      </c>
      <c r="E20" s="54">
        <f>'Project Compliance Tool'!H26</f>
        <v>0</v>
      </c>
      <c r="F20" s="23" t="str">
        <f t="shared" si="2"/>
        <v/>
      </c>
      <c r="G20" s="23">
        <f>'Project Compliance Tool'!I26</f>
        <v>0</v>
      </c>
      <c r="H20" s="23" t="str">
        <f t="shared" ca="1" si="4"/>
        <v>OK</v>
      </c>
      <c r="I20" s="23">
        <f t="shared" ca="1" si="3"/>
        <v>1</v>
      </c>
      <c r="U20" s="804">
        <f t="shared" si="1"/>
        <v>1551</v>
      </c>
    </row>
    <row r="21" spans="1:21" ht="18.75" customHeight="1" x14ac:dyDescent="0.2">
      <c r="A21" s="59"/>
      <c r="B21" s="53"/>
      <c r="D21" s="16">
        <f>'Project Compliance Tool'!A27</f>
        <v>16</v>
      </c>
      <c r="E21" s="54">
        <f>'Project Compliance Tool'!H27</f>
        <v>0</v>
      </c>
      <c r="F21" s="23" t="str">
        <f t="shared" si="2"/>
        <v/>
      </c>
      <c r="G21" s="23">
        <f>'Project Compliance Tool'!I27</f>
        <v>0</v>
      </c>
      <c r="H21" s="23" t="str">
        <f t="shared" ca="1" si="4"/>
        <v>OK</v>
      </c>
      <c r="I21" s="23">
        <f t="shared" ca="1" si="3"/>
        <v>1</v>
      </c>
    </row>
    <row r="22" spans="1:21" ht="18.75" customHeight="1" x14ac:dyDescent="0.2">
      <c r="A22" s="59" t="s">
        <v>458</v>
      </c>
      <c r="B22" s="53"/>
      <c r="D22" s="16">
        <f>'Project Compliance Tool'!A28</f>
        <v>17</v>
      </c>
      <c r="E22" s="54">
        <f>'Project Compliance Tool'!H28</f>
        <v>0</v>
      </c>
      <c r="F22" s="23" t="str">
        <f t="shared" si="2"/>
        <v/>
      </c>
      <c r="G22" s="23">
        <f>'Project Compliance Tool'!I28</f>
        <v>0</v>
      </c>
      <c r="H22" s="23" t="str">
        <f t="shared" ca="1" si="4"/>
        <v>OK</v>
      </c>
      <c r="I22" s="23">
        <f t="shared" ca="1" si="3"/>
        <v>1</v>
      </c>
    </row>
    <row r="23" spans="1:21" ht="18.75" customHeight="1" x14ac:dyDescent="0.2">
      <c r="A23" s="59" t="s">
        <v>411</v>
      </c>
      <c r="B23" s="53"/>
      <c r="D23" s="16">
        <f>'Project Compliance Tool'!A29</f>
        <v>18</v>
      </c>
      <c r="E23" s="54">
        <f>'Project Compliance Tool'!H29</f>
        <v>0</v>
      </c>
      <c r="F23" s="23" t="str">
        <f t="shared" si="2"/>
        <v/>
      </c>
      <c r="G23" s="23">
        <f>'Project Compliance Tool'!I29</f>
        <v>0</v>
      </c>
      <c r="H23" s="23" t="str">
        <f t="shared" ca="1" si="4"/>
        <v>OK</v>
      </c>
      <c r="I23" s="23">
        <f t="shared" ca="1" si="3"/>
        <v>1</v>
      </c>
    </row>
    <row r="24" spans="1:21" ht="18.75" customHeight="1" x14ac:dyDescent="0.2">
      <c r="A24" s="59" t="s">
        <v>415</v>
      </c>
      <c r="B24" s="59"/>
      <c r="D24" s="16">
        <f>'Project Compliance Tool'!A30</f>
        <v>19</v>
      </c>
      <c r="E24" s="54">
        <f>'Project Compliance Tool'!H30</f>
        <v>0</v>
      </c>
      <c r="F24" s="23" t="str">
        <f t="shared" si="2"/>
        <v/>
      </c>
      <c r="G24" s="23">
        <f>'Project Compliance Tool'!I30</f>
        <v>0</v>
      </c>
      <c r="H24" s="23" t="str">
        <f t="shared" ca="1" si="4"/>
        <v>OK</v>
      </c>
      <c r="I24" s="23">
        <f t="shared" ca="1" si="3"/>
        <v>1</v>
      </c>
    </row>
    <row r="25" spans="1:21" ht="18.75" customHeight="1" x14ac:dyDescent="0.2">
      <c r="A25" s="59"/>
      <c r="B25" s="53"/>
      <c r="D25" s="16">
        <f>'Project Compliance Tool'!A31</f>
        <v>20</v>
      </c>
      <c r="E25" s="54">
        <f>'Project Compliance Tool'!H31</f>
        <v>0</v>
      </c>
      <c r="F25" s="23" t="str">
        <f t="shared" si="2"/>
        <v/>
      </c>
      <c r="G25" s="23">
        <f>'Project Compliance Tool'!I31</f>
        <v>0</v>
      </c>
      <c r="H25" s="23" t="str">
        <f t="shared" ca="1" si="4"/>
        <v>OK</v>
      </c>
      <c r="I25" s="23">
        <f t="shared" ca="1" si="3"/>
        <v>1</v>
      </c>
    </row>
    <row r="26" spans="1:21" ht="18.75" customHeight="1" x14ac:dyDescent="0.2">
      <c r="A26" s="59" t="s">
        <v>411</v>
      </c>
      <c r="B26" s="53"/>
      <c r="D26" s="16">
        <f>'Project Compliance Tool'!A32</f>
        <v>21</v>
      </c>
      <c r="E26" s="54">
        <f>'Project Compliance Tool'!H32</f>
        <v>0</v>
      </c>
      <c r="F26" s="23" t="str">
        <f t="shared" si="2"/>
        <v/>
      </c>
      <c r="G26" s="23">
        <f>'Project Compliance Tool'!I32</f>
        <v>0</v>
      </c>
      <c r="H26" s="23" t="str">
        <f t="shared" ca="1" si="4"/>
        <v>OK</v>
      </c>
      <c r="I26" s="23">
        <f t="shared" ca="1" si="3"/>
        <v>1</v>
      </c>
    </row>
    <row r="27" spans="1:21" ht="18.75" customHeight="1" x14ac:dyDescent="0.2">
      <c r="A27" s="53" t="s">
        <v>412</v>
      </c>
      <c r="B27" s="53"/>
      <c r="D27" s="16">
        <f>'Project Compliance Tool'!A33</f>
        <v>22</v>
      </c>
      <c r="E27" s="54">
        <f>'Project Compliance Tool'!H33</f>
        <v>0</v>
      </c>
      <c r="F27" s="23" t="str">
        <f t="shared" si="2"/>
        <v/>
      </c>
      <c r="G27" s="23">
        <f>'Project Compliance Tool'!I33</f>
        <v>0</v>
      </c>
      <c r="H27" s="23" t="str">
        <f t="shared" ca="1" si="4"/>
        <v>OK</v>
      </c>
      <c r="I27" s="23">
        <f t="shared" ca="1" si="3"/>
        <v>1</v>
      </c>
    </row>
    <row r="28" spans="1:21" ht="18.75" customHeight="1" x14ac:dyDescent="0.2">
      <c r="A28" s="53" t="s">
        <v>414</v>
      </c>
      <c r="B28" s="53"/>
      <c r="D28" s="16">
        <f>'Project Compliance Tool'!A34</f>
        <v>23</v>
      </c>
      <c r="E28" s="54">
        <f>'Project Compliance Tool'!H34</f>
        <v>0</v>
      </c>
      <c r="F28" s="23" t="str">
        <f t="shared" si="2"/>
        <v/>
      </c>
      <c r="G28" s="23">
        <f>'Project Compliance Tool'!I34</f>
        <v>0</v>
      </c>
      <c r="H28" s="23" t="str">
        <f t="shared" ca="1" si="4"/>
        <v>OK</v>
      </c>
      <c r="I28" s="23">
        <f t="shared" ca="1" si="3"/>
        <v>1</v>
      </c>
    </row>
    <row r="29" spans="1:21" ht="18.75" customHeight="1" x14ac:dyDescent="0.2">
      <c r="A29" s="53"/>
      <c r="B29" s="53"/>
      <c r="D29" s="16">
        <f>'Project Compliance Tool'!A35</f>
        <v>24</v>
      </c>
      <c r="E29" s="54">
        <f>'Project Compliance Tool'!H35</f>
        <v>0</v>
      </c>
      <c r="F29" s="23" t="str">
        <f t="shared" si="2"/>
        <v/>
      </c>
      <c r="G29" s="23">
        <f>'Project Compliance Tool'!I35</f>
        <v>0</v>
      </c>
      <c r="H29" s="23" t="str">
        <f t="shared" ca="1" si="4"/>
        <v>OK</v>
      </c>
      <c r="I29" s="23">
        <f t="shared" ca="1" si="3"/>
        <v>1</v>
      </c>
    </row>
    <row r="30" spans="1:21" ht="18.75" customHeight="1" x14ac:dyDescent="0.2">
      <c r="A30" s="53" t="s">
        <v>415</v>
      </c>
      <c r="B30" s="53"/>
      <c r="D30" s="16">
        <f>'Project Compliance Tool'!A36</f>
        <v>25</v>
      </c>
      <c r="E30" s="54">
        <f>'Project Compliance Tool'!H36</f>
        <v>0</v>
      </c>
      <c r="F30" s="23" t="str">
        <f t="shared" si="2"/>
        <v/>
      </c>
      <c r="G30" s="23">
        <f>'Project Compliance Tool'!I36</f>
        <v>0</v>
      </c>
      <c r="H30" s="23" t="str">
        <f t="shared" ca="1" si="4"/>
        <v>OK</v>
      </c>
      <c r="I30" s="23">
        <f t="shared" ca="1" si="3"/>
        <v>1</v>
      </c>
    </row>
    <row r="31" spans="1:21" ht="18.75" customHeight="1" x14ac:dyDescent="0.2">
      <c r="A31" s="53" t="s">
        <v>416</v>
      </c>
      <c r="B31" s="53"/>
      <c r="D31" s="16">
        <f>'Project Compliance Tool'!A37</f>
        <v>26</v>
      </c>
      <c r="E31" s="54">
        <f>'Project Compliance Tool'!H37</f>
        <v>0</v>
      </c>
      <c r="F31" s="23" t="str">
        <f t="shared" si="2"/>
        <v/>
      </c>
      <c r="G31" s="23">
        <f>'Project Compliance Tool'!I37</f>
        <v>0</v>
      </c>
      <c r="H31" s="23" t="str">
        <f t="shared" ca="1" si="4"/>
        <v>OK</v>
      </c>
      <c r="I31" s="23">
        <f t="shared" ca="1" si="3"/>
        <v>1</v>
      </c>
    </row>
    <row r="32" spans="1:21" ht="18.75" customHeight="1" x14ac:dyDescent="0.2">
      <c r="A32" s="53" t="s">
        <v>417</v>
      </c>
      <c r="B32" s="53"/>
      <c r="D32" s="16">
        <f>'Project Compliance Tool'!A38</f>
        <v>27</v>
      </c>
      <c r="E32" s="54">
        <f>'Project Compliance Tool'!H38</f>
        <v>0</v>
      </c>
      <c r="F32" s="23" t="str">
        <f t="shared" si="2"/>
        <v/>
      </c>
      <c r="G32" s="23">
        <f>'Project Compliance Tool'!I38</f>
        <v>0</v>
      </c>
      <c r="H32" s="23" t="str">
        <f t="shared" ca="1" si="4"/>
        <v>OK</v>
      </c>
      <c r="I32" s="23">
        <f t="shared" ca="1" si="3"/>
        <v>1</v>
      </c>
    </row>
    <row r="33" spans="1:14" ht="18.75" customHeight="1" x14ac:dyDescent="0.2">
      <c r="A33" s="53"/>
      <c r="B33" s="53" t="s">
        <v>459</v>
      </c>
      <c r="D33" s="16">
        <f>'Project Compliance Tool'!A39</f>
        <v>28</v>
      </c>
      <c r="E33" s="54">
        <f>'Project Compliance Tool'!H39</f>
        <v>0</v>
      </c>
      <c r="F33" s="23" t="str">
        <f t="shared" si="2"/>
        <v/>
      </c>
      <c r="G33" s="23">
        <f>'Project Compliance Tool'!I39</f>
        <v>0</v>
      </c>
      <c r="H33" s="23" t="str">
        <f t="shared" ca="1" si="4"/>
        <v>OK</v>
      </c>
      <c r="I33" s="23">
        <f t="shared" ca="1" si="3"/>
        <v>1</v>
      </c>
    </row>
    <row r="34" spans="1:14" ht="18.75" customHeight="1" x14ac:dyDescent="0.2">
      <c r="D34" s="16">
        <f>'Project Compliance Tool'!A40</f>
        <v>29</v>
      </c>
      <c r="E34" s="54">
        <f>'Project Compliance Tool'!H40</f>
        <v>0</v>
      </c>
      <c r="F34" s="23" t="str">
        <f t="shared" si="2"/>
        <v/>
      </c>
      <c r="G34" s="23">
        <f>'Project Compliance Tool'!I40</f>
        <v>0</v>
      </c>
      <c r="H34" s="23" t="str">
        <f t="shared" ca="1" si="4"/>
        <v>OK</v>
      </c>
      <c r="I34" s="23">
        <f t="shared" ca="1" si="3"/>
        <v>1</v>
      </c>
      <c r="M34" s="23"/>
      <c r="N34" s="54"/>
    </row>
    <row r="35" spans="1:14" ht="18.75" customHeight="1" x14ac:dyDescent="0.2">
      <c r="D35" s="16">
        <f>'Project Compliance Tool'!A41</f>
        <v>30</v>
      </c>
      <c r="E35" s="54">
        <f>'Project Compliance Tool'!H41</f>
        <v>0</v>
      </c>
      <c r="F35" s="23" t="str">
        <f t="shared" si="2"/>
        <v/>
      </c>
      <c r="G35" s="23">
        <f>'Project Compliance Tool'!I41</f>
        <v>0</v>
      </c>
      <c r="H35" s="23" t="str">
        <f t="shared" ca="1" si="4"/>
        <v>OK</v>
      </c>
      <c r="I35" s="23">
        <f t="shared" ca="1" si="3"/>
        <v>1</v>
      </c>
      <c r="M35" s="23"/>
      <c r="N35" s="54"/>
    </row>
    <row r="36" spans="1:14" ht="18.75" customHeight="1" x14ac:dyDescent="0.2">
      <c r="D36" s="16">
        <f>'Project Compliance Tool'!A42</f>
        <v>31</v>
      </c>
      <c r="E36" s="54">
        <f>'Project Compliance Tool'!H42</f>
        <v>0</v>
      </c>
      <c r="F36" s="23" t="str">
        <f t="shared" si="2"/>
        <v/>
      </c>
      <c r="G36" s="23">
        <f>'Project Compliance Tool'!I42</f>
        <v>0</v>
      </c>
      <c r="H36" s="23" t="str">
        <f t="shared" ca="1" si="4"/>
        <v>OK</v>
      </c>
      <c r="I36" s="23">
        <f t="shared" ca="1" si="3"/>
        <v>1</v>
      </c>
      <c r="M36" s="23"/>
      <c r="N36" s="54"/>
    </row>
    <row r="37" spans="1:14" ht="18.75" customHeight="1" x14ac:dyDescent="0.2">
      <c r="D37" s="16">
        <f>'Project Compliance Tool'!A43</f>
        <v>32</v>
      </c>
      <c r="E37" s="54">
        <f>'Project Compliance Tool'!H43</f>
        <v>0</v>
      </c>
      <c r="F37" s="23" t="str">
        <f t="shared" si="2"/>
        <v/>
      </c>
      <c r="G37" s="23">
        <f>'Project Compliance Tool'!I43</f>
        <v>0</v>
      </c>
      <c r="H37" s="23" t="str">
        <f t="shared" ca="1" si="4"/>
        <v>OK</v>
      </c>
      <c r="I37" s="23">
        <f t="shared" ca="1" si="3"/>
        <v>1</v>
      </c>
      <c r="M37" s="23"/>
      <c r="N37" s="54"/>
    </row>
    <row r="38" spans="1:14" ht="18.75" customHeight="1" x14ac:dyDescent="0.2">
      <c r="D38" s="16">
        <f>'Project Compliance Tool'!A44</f>
        <v>33</v>
      </c>
      <c r="E38" s="54">
        <f>'Project Compliance Tool'!H44</f>
        <v>0</v>
      </c>
      <c r="F38" s="23" t="str">
        <f t="shared" si="2"/>
        <v/>
      </c>
      <c r="G38" s="23">
        <f>'Project Compliance Tool'!I44</f>
        <v>0</v>
      </c>
      <c r="H38" s="23" t="str">
        <f t="shared" ca="1" si="4"/>
        <v>OK</v>
      </c>
      <c r="I38" s="23">
        <f t="shared" ca="1" si="3"/>
        <v>1</v>
      </c>
      <c r="M38" s="23"/>
      <c r="N38" s="54"/>
    </row>
    <row r="39" spans="1:14" ht="18.75" customHeight="1" x14ac:dyDescent="0.2">
      <c r="D39" s="16">
        <f>'Project Compliance Tool'!A45</f>
        <v>34</v>
      </c>
      <c r="E39" s="54">
        <f>'Project Compliance Tool'!H45</f>
        <v>0</v>
      </c>
      <c r="F39" s="23" t="str">
        <f t="shared" si="2"/>
        <v/>
      </c>
      <c r="G39" s="23">
        <f>'Project Compliance Tool'!I45</f>
        <v>0</v>
      </c>
      <c r="H39" s="23" t="str">
        <f t="shared" ca="1" si="4"/>
        <v>OK</v>
      </c>
      <c r="I39" s="23">
        <f t="shared" ca="1" si="3"/>
        <v>1</v>
      </c>
      <c r="M39" s="23"/>
      <c r="N39" s="54"/>
    </row>
    <row r="40" spans="1:14" ht="18.75" customHeight="1" x14ac:dyDescent="0.2">
      <c r="D40" s="16">
        <f>'Project Compliance Tool'!A46</f>
        <v>35</v>
      </c>
      <c r="E40" s="54">
        <f>'Project Compliance Tool'!H46</f>
        <v>0</v>
      </c>
      <c r="F40" s="23" t="str">
        <f t="shared" si="2"/>
        <v/>
      </c>
      <c r="G40" s="23">
        <f>'Project Compliance Tool'!I46</f>
        <v>0</v>
      </c>
      <c r="H40" s="23" t="str">
        <f t="shared" ca="1" si="4"/>
        <v>OK</v>
      </c>
      <c r="I40" s="23">
        <f t="shared" ca="1" si="3"/>
        <v>1</v>
      </c>
      <c r="M40" s="23"/>
      <c r="N40" s="54"/>
    </row>
    <row r="41" spans="1:14" ht="18.75" customHeight="1" x14ac:dyDescent="0.2">
      <c r="D41" s="16">
        <f>'Project Compliance Tool'!A47</f>
        <v>36</v>
      </c>
      <c r="E41" s="54">
        <f>'Project Compliance Tool'!H47</f>
        <v>0</v>
      </c>
      <c r="F41" s="23" t="str">
        <f t="shared" si="2"/>
        <v/>
      </c>
      <c r="G41" s="23">
        <f>'Project Compliance Tool'!I47</f>
        <v>0</v>
      </c>
      <c r="H41" s="23" t="str">
        <f t="shared" ca="1" si="4"/>
        <v>OK</v>
      </c>
      <c r="I41" s="23">
        <f t="shared" ca="1" si="3"/>
        <v>1</v>
      </c>
      <c r="M41" s="23"/>
      <c r="N41" s="54"/>
    </row>
    <row r="42" spans="1:14" ht="18.75" customHeight="1" x14ac:dyDescent="0.2">
      <c r="D42" s="16">
        <f>'Project Compliance Tool'!A48</f>
        <v>37</v>
      </c>
      <c r="E42" s="54">
        <f>'Project Compliance Tool'!H48</f>
        <v>0</v>
      </c>
      <c r="F42" s="23" t="str">
        <f t="shared" si="2"/>
        <v/>
      </c>
      <c r="G42" s="23">
        <f>'Project Compliance Tool'!I48</f>
        <v>0</v>
      </c>
      <c r="H42" s="23" t="str">
        <f t="shared" ca="1" si="4"/>
        <v>OK</v>
      </c>
      <c r="I42" s="23">
        <f t="shared" ca="1" si="3"/>
        <v>1</v>
      </c>
      <c r="M42" s="23"/>
      <c r="N42" s="54"/>
    </row>
    <row r="43" spans="1:14" ht="18.75" customHeight="1" x14ac:dyDescent="0.2">
      <c r="D43" s="16">
        <f>'Project Compliance Tool'!A49</f>
        <v>38</v>
      </c>
      <c r="E43" s="54">
        <f>'Project Compliance Tool'!H49</f>
        <v>0</v>
      </c>
      <c r="F43" s="23" t="str">
        <f t="shared" si="2"/>
        <v/>
      </c>
      <c r="G43" s="23">
        <f>'Project Compliance Tool'!I49</f>
        <v>0</v>
      </c>
      <c r="H43" s="23" t="str">
        <f t="shared" ca="1" si="4"/>
        <v>OK</v>
      </c>
      <c r="I43" s="23">
        <f t="shared" ca="1" si="3"/>
        <v>1</v>
      </c>
      <c r="M43" s="23"/>
      <c r="N43" s="54"/>
    </row>
    <row r="44" spans="1:14" ht="18.75" customHeight="1" x14ac:dyDescent="0.2">
      <c r="D44" s="16">
        <f>'Project Compliance Tool'!A50</f>
        <v>39</v>
      </c>
      <c r="E44" s="54">
        <f>'Project Compliance Tool'!H50</f>
        <v>0</v>
      </c>
      <c r="F44" s="23" t="str">
        <f t="shared" si="2"/>
        <v/>
      </c>
      <c r="G44" s="23">
        <f>'Project Compliance Tool'!I50</f>
        <v>0</v>
      </c>
      <c r="H44" s="23" t="str">
        <f t="shared" ca="1" si="4"/>
        <v>OK</v>
      </c>
      <c r="I44" s="23">
        <f t="shared" ca="1" si="3"/>
        <v>1</v>
      </c>
      <c r="M44" s="23"/>
      <c r="N44" s="54"/>
    </row>
    <row r="45" spans="1:14" ht="18.75" customHeight="1" x14ac:dyDescent="0.2">
      <c r="D45" s="16">
        <f>'Project Compliance Tool'!A51</f>
        <v>40</v>
      </c>
      <c r="E45" s="54">
        <f>'Project Compliance Tool'!H51</f>
        <v>0</v>
      </c>
      <c r="F45" s="23" t="str">
        <f t="shared" si="2"/>
        <v/>
      </c>
      <c r="G45" s="23">
        <f>'Project Compliance Tool'!I51</f>
        <v>0</v>
      </c>
      <c r="H45" s="23" t="str">
        <f t="shared" ca="1" si="4"/>
        <v>OK</v>
      </c>
      <c r="I45" s="23">
        <f t="shared" ca="1" si="3"/>
        <v>1</v>
      </c>
      <c r="M45" s="23"/>
      <c r="N45" s="54"/>
    </row>
    <row r="46" spans="1:14" ht="18.75" customHeight="1" x14ac:dyDescent="0.2">
      <c r="D46" s="16">
        <f>'Project Compliance Tool'!A52</f>
        <v>41</v>
      </c>
      <c r="E46" s="54">
        <f>'Project Compliance Tool'!H52</f>
        <v>0</v>
      </c>
      <c r="F46" s="23" t="str">
        <f t="shared" si="2"/>
        <v/>
      </c>
      <c r="G46" s="23">
        <f>'Project Compliance Tool'!I52</f>
        <v>0</v>
      </c>
      <c r="H46" s="23" t="str">
        <f t="shared" ca="1" si="4"/>
        <v>OK</v>
      </c>
      <c r="I46" s="23">
        <f t="shared" ca="1" si="3"/>
        <v>1</v>
      </c>
      <c r="M46" s="23"/>
      <c r="N46" s="54"/>
    </row>
    <row r="47" spans="1:14" ht="18.75" customHeight="1" x14ac:dyDescent="0.2">
      <c r="D47" s="16">
        <f>'Project Compliance Tool'!A53</f>
        <v>42</v>
      </c>
      <c r="E47" s="54">
        <f>'Project Compliance Tool'!H53</f>
        <v>0</v>
      </c>
      <c r="F47" s="23" t="str">
        <f t="shared" si="2"/>
        <v/>
      </c>
      <c r="G47" s="23">
        <f>'Project Compliance Tool'!I53</f>
        <v>0</v>
      </c>
      <c r="H47" s="23" t="str">
        <f t="shared" ca="1" si="4"/>
        <v>OK</v>
      </c>
      <c r="I47" s="23">
        <f t="shared" ca="1" si="3"/>
        <v>1</v>
      </c>
      <c r="M47" s="23"/>
      <c r="N47" s="54"/>
    </row>
    <row r="48" spans="1:14" ht="18.75" customHeight="1" x14ac:dyDescent="0.2">
      <c r="D48" s="16">
        <f>'Project Compliance Tool'!A54</f>
        <v>43</v>
      </c>
      <c r="E48" s="54">
        <f>'Project Compliance Tool'!H54</f>
        <v>0</v>
      </c>
      <c r="F48" s="23" t="str">
        <f t="shared" si="2"/>
        <v/>
      </c>
      <c r="G48" s="23">
        <f>'Project Compliance Tool'!I54</f>
        <v>0</v>
      </c>
      <c r="H48" s="23" t="str">
        <f t="shared" ca="1" si="4"/>
        <v>OK</v>
      </c>
      <c r="I48" s="23">
        <f t="shared" ca="1" si="3"/>
        <v>1</v>
      </c>
      <c r="M48" s="23"/>
      <c r="N48" s="54"/>
    </row>
    <row r="49" spans="4:14" ht="18.75" customHeight="1" x14ac:dyDescent="0.2">
      <c r="D49" s="16">
        <f>'Project Compliance Tool'!A55</f>
        <v>44</v>
      </c>
      <c r="E49" s="54">
        <f>'Project Compliance Tool'!H55</f>
        <v>0</v>
      </c>
      <c r="F49" s="23" t="str">
        <f t="shared" si="2"/>
        <v/>
      </c>
      <c r="G49" s="23">
        <f>'Project Compliance Tool'!I55</f>
        <v>0</v>
      </c>
      <c r="H49" s="23" t="str">
        <f t="shared" ca="1" si="4"/>
        <v>OK</v>
      </c>
      <c r="I49" s="23">
        <f t="shared" ca="1" si="3"/>
        <v>1</v>
      </c>
      <c r="M49" s="23"/>
      <c r="N49" s="54"/>
    </row>
    <row r="50" spans="4:14" ht="18.75" customHeight="1" x14ac:dyDescent="0.2">
      <c r="D50" s="16">
        <f>'Project Compliance Tool'!A56</f>
        <v>45</v>
      </c>
      <c r="E50" s="54">
        <f>'Project Compliance Tool'!H56</f>
        <v>0</v>
      </c>
      <c r="F50" s="23" t="str">
        <f t="shared" si="2"/>
        <v/>
      </c>
      <c r="G50" s="23">
        <f>'Project Compliance Tool'!I56</f>
        <v>0</v>
      </c>
      <c r="H50" s="23" t="str">
        <f t="shared" ca="1" si="4"/>
        <v>OK</v>
      </c>
      <c r="I50" s="23">
        <f t="shared" ca="1" si="3"/>
        <v>1</v>
      </c>
      <c r="M50" s="23"/>
      <c r="N50" s="54"/>
    </row>
    <row r="51" spans="4:14" ht="18.75" customHeight="1" x14ac:dyDescent="0.2">
      <c r="D51" s="16">
        <f>'Project Compliance Tool'!A57</f>
        <v>46</v>
      </c>
      <c r="E51" s="54">
        <f>'Project Compliance Tool'!H57</f>
        <v>0</v>
      </c>
      <c r="F51" s="23" t="str">
        <f t="shared" si="2"/>
        <v/>
      </c>
      <c r="G51" s="23">
        <f>'Project Compliance Tool'!I57</f>
        <v>0</v>
      </c>
      <c r="H51" s="23" t="str">
        <f t="shared" ca="1" si="4"/>
        <v>OK</v>
      </c>
      <c r="I51" s="23">
        <f t="shared" ca="1" si="3"/>
        <v>1</v>
      </c>
      <c r="M51" s="23"/>
      <c r="N51" s="54"/>
    </row>
    <row r="52" spans="4:14" ht="18.75" customHeight="1" x14ac:dyDescent="0.2">
      <c r="D52" s="16">
        <f>'Project Compliance Tool'!A58</f>
        <v>47</v>
      </c>
      <c r="E52" s="54">
        <f>'Project Compliance Tool'!H58</f>
        <v>0</v>
      </c>
      <c r="F52" s="23" t="str">
        <f t="shared" si="2"/>
        <v/>
      </c>
      <c r="G52" s="23">
        <f>'Project Compliance Tool'!I58</f>
        <v>0</v>
      </c>
      <c r="H52" s="23" t="str">
        <f t="shared" ca="1" si="4"/>
        <v>OK</v>
      </c>
      <c r="I52" s="23">
        <f t="shared" ca="1" si="3"/>
        <v>1</v>
      </c>
      <c r="M52" s="23"/>
      <c r="N52" s="54"/>
    </row>
    <row r="53" spans="4:14" ht="18.75" customHeight="1" x14ac:dyDescent="0.2">
      <c r="D53" s="16">
        <f>'Project Compliance Tool'!A59</f>
        <v>48</v>
      </c>
      <c r="E53" s="54">
        <f>'Project Compliance Tool'!H59</f>
        <v>0</v>
      </c>
      <c r="F53" s="23" t="str">
        <f t="shared" si="2"/>
        <v/>
      </c>
      <c r="G53" s="23">
        <f>'Project Compliance Tool'!I59</f>
        <v>0</v>
      </c>
      <c r="H53" s="23" t="str">
        <f t="shared" ca="1" si="4"/>
        <v>OK</v>
      </c>
      <c r="I53" s="23">
        <f t="shared" ca="1" si="3"/>
        <v>1</v>
      </c>
      <c r="M53" s="23"/>
      <c r="N53" s="54"/>
    </row>
    <row r="54" spans="4:14" ht="18.75" customHeight="1" x14ac:dyDescent="0.2">
      <c r="D54" s="16">
        <f>'Project Compliance Tool'!A60</f>
        <v>49</v>
      </c>
      <c r="E54" s="54">
        <f>'Project Compliance Tool'!H60</f>
        <v>0</v>
      </c>
      <c r="F54" s="23" t="str">
        <f t="shared" si="2"/>
        <v/>
      </c>
      <c r="G54" s="23">
        <f>'Project Compliance Tool'!I60</f>
        <v>0</v>
      </c>
      <c r="H54" s="23" t="str">
        <f t="shared" ca="1" si="4"/>
        <v>OK</v>
      </c>
      <c r="I54" s="23">
        <f t="shared" ca="1" si="3"/>
        <v>1</v>
      </c>
      <c r="M54" s="23"/>
      <c r="N54" s="54"/>
    </row>
    <row r="55" spans="4:14" ht="18.75" customHeight="1" x14ac:dyDescent="0.2">
      <c r="D55" s="16">
        <f>'Project Compliance Tool'!A61</f>
        <v>50</v>
      </c>
      <c r="E55" s="54">
        <f>'Project Compliance Tool'!H61</f>
        <v>0</v>
      </c>
      <c r="F55" s="23" t="str">
        <f t="shared" si="2"/>
        <v/>
      </c>
      <c r="G55" s="23">
        <f>'Project Compliance Tool'!I61</f>
        <v>0</v>
      </c>
      <c r="H55" s="23" t="str">
        <f t="shared" ca="1" si="4"/>
        <v>OK</v>
      </c>
      <c r="I55" s="23">
        <f t="shared" ca="1" si="3"/>
        <v>1</v>
      </c>
      <c r="M55" s="23"/>
      <c r="N55" s="54"/>
    </row>
    <row r="56" spans="4:14" ht="18.75" customHeight="1" x14ac:dyDescent="0.2">
      <c r="E56" s="54"/>
      <c r="M56" s="23"/>
      <c r="N56" s="54"/>
    </row>
    <row r="57" spans="4:14" ht="18.75" customHeight="1" x14ac:dyDescent="0.2">
      <c r="E57" s="54"/>
      <c r="M57" s="23"/>
      <c r="N57" s="54"/>
    </row>
    <row r="58" spans="4:14" ht="18.75" customHeight="1" x14ac:dyDescent="0.2">
      <c r="E58" s="54"/>
      <c r="M58" s="23"/>
      <c r="N58" s="54"/>
    </row>
    <row r="59" spans="4:14" ht="18.75" customHeight="1" x14ac:dyDescent="0.2">
      <c r="E59" s="54"/>
      <c r="M59" s="23"/>
      <c r="N59" s="54"/>
    </row>
    <row r="60" spans="4:14" ht="18.75" customHeight="1" x14ac:dyDescent="0.2">
      <c r="E60" s="54"/>
      <c r="M60" s="23"/>
      <c r="N60" s="54"/>
    </row>
    <row r="61" spans="4:14" ht="18.75" customHeight="1" x14ac:dyDescent="0.2">
      <c r="E61" s="54"/>
      <c r="M61" s="23"/>
      <c r="N61" s="54"/>
    </row>
    <row r="62" spans="4:14" ht="18.75" customHeight="1" x14ac:dyDescent="0.2">
      <c r="E62" s="54"/>
      <c r="M62" s="23"/>
      <c r="N62" s="54"/>
    </row>
    <row r="63" spans="4:14" ht="18.75" customHeight="1" x14ac:dyDescent="0.2">
      <c r="E63" s="54"/>
      <c r="M63" s="23"/>
      <c r="N63" s="54"/>
    </row>
    <row r="64" spans="4:14" ht="18.75" customHeight="1" x14ac:dyDescent="0.2">
      <c r="E64" s="54"/>
      <c r="M64" s="23"/>
      <c r="N64" s="54"/>
    </row>
    <row r="65" spans="4:14" ht="18.75" customHeight="1" x14ac:dyDescent="0.2">
      <c r="E65" s="54"/>
      <c r="M65" s="23"/>
      <c r="N65" s="54"/>
    </row>
    <row r="66" spans="4:14" ht="18.75" customHeight="1" x14ac:dyDescent="0.2">
      <c r="E66" s="54"/>
      <c r="M66" s="23"/>
      <c r="N66" s="54"/>
    </row>
    <row r="67" spans="4:14" ht="18.75" customHeight="1" x14ac:dyDescent="0.2">
      <c r="E67" s="54"/>
      <c r="M67" s="23"/>
      <c r="N67" s="54"/>
    </row>
    <row r="68" spans="4:14" ht="18.75" customHeight="1" x14ac:dyDescent="0.2">
      <c r="E68" s="54"/>
      <c r="M68" s="23"/>
      <c r="N68" s="54"/>
    </row>
    <row r="69" spans="4:14" ht="18.75" customHeight="1" x14ac:dyDescent="0.2">
      <c r="E69" s="54"/>
      <c r="M69" s="23"/>
      <c r="N69" s="54"/>
    </row>
    <row r="70" spans="4:14" ht="18.75" customHeight="1" x14ac:dyDescent="0.2">
      <c r="E70" s="54"/>
      <c r="M70" s="23"/>
      <c r="N70" s="54"/>
    </row>
    <row r="71" spans="4:14" ht="18.75" customHeight="1" x14ac:dyDescent="0.25">
      <c r="D71" s="23"/>
      <c r="E71" s="514" t="s">
        <v>460</v>
      </c>
      <c r="F71" s="515" t="s">
        <v>461</v>
      </c>
      <c r="G71" s="515" t="s">
        <v>462</v>
      </c>
      <c r="M71" s="23"/>
      <c r="N71" s="54"/>
    </row>
    <row r="72" spans="4:14" ht="18.75" customHeight="1" x14ac:dyDescent="0.2">
      <c r="D72" s="23"/>
      <c r="E72" s="62" t="s">
        <v>32</v>
      </c>
      <c r="F72" s="62">
        <v>10</v>
      </c>
      <c r="G72" s="62">
        <v>350</v>
      </c>
      <c r="M72" s="23"/>
      <c r="N72" s="54"/>
    </row>
    <row r="73" spans="4:14" ht="18.75" customHeight="1" x14ac:dyDescent="0.2">
      <c r="D73" s="23"/>
      <c r="E73" s="62" t="s">
        <v>463</v>
      </c>
      <c r="F73" s="62">
        <v>10</v>
      </c>
      <c r="G73" s="62">
        <v>350</v>
      </c>
      <c r="M73" s="23"/>
      <c r="N73" s="54"/>
    </row>
    <row r="74" spans="4:14" ht="18.75" customHeight="1" x14ac:dyDescent="0.2">
      <c r="D74" s="23"/>
      <c r="E74" s="61"/>
      <c r="F74" s="61"/>
      <c r="G74" s="61"/>
      <c r="M74" s="23"/>
      <c r="N74" s="54"/>
    </row>
    <row r="75" spans="4:14" ht="18.75" customHeight="1" x14ac:dyDescent="0.2">
      <c r="D75" s="23"/>
      <c r="E75" s="61" t="s">
        <v>464</v>
      </c>
      <c r="F75" s="63" t="str">
        <f>'Project Compliance Tool'!Q65</f>
        <v/>
      </c>
      <c r="G75" s="64" t="str">
        <f>'Project Compliance Tool'!U65</f>
        <v/>
      </c>
      <c r="M75" s="23"/>
      <c r="N75" s="54"/>
    </row>
    <row r="76" spans="4:14" ht="18.75" customHeight="1" x14ac:dyDescent="0.2">
      <c r="D76" s="23"/>
      <c r="E76" s="61" t="s">
        <v>465</v>
      </c>
      <c r="F76" s="61">
        <f>IFERROR(VLOOKUP('Project Compliance Tool'!D4,E71:G73,2,FALSE),"")</f>
        <v>10</v>
      </c>
      <c r="G76" s="61">
        <f>IFERROR(VLOOKUP('Project Compliance Tool'!D4,E71:G73,3,FALSE),"")</f>
        <v>350</v>
      </c>
      <c r="M76" s="23"/>
      <c r="N76" s="54"/>
    </row>
    <row r="77" spans="4:14" ht="18.75" customHeight="1" x14ac:dyDescent="0.2">
      <c r="D77" s="61"/>
      <c r="E77" s="61" t="s">
        <v>125</v>
      </c>
      <c r="F77" s="61" t="str">
        <f>IF(F75&lt;=F76,"Compliant","Non-compliant")</f>
        <v>Non-compliant</v>
      </c>
      <c r="G77" s="61" t="str">
        <f>IF(G75&lt;=G76,"Compliant","Non-compliant")</f>
        <v>Non-compliant</v>
      </c>
      <c r="H77" s="61" t="str">
        <f>IF('Project Compliance Tool'!D4="","Select Programme",IF(AND(F77="Compliant",G77="Compliant"),"Compliant","Non-compliant"))</f>
        <v>Non-compliant</v>
      </c>
      <c r="M77" s="23"/>
      <c r="N77" s="54"/>
    </row>
    <row r="78" spans="4:14" ht="18.75" customHeight="1" x14ac:dyDescent="0.2">
      <c r="D78" s="61"/>
      <c r="H78" s="61"/>
      <c r="M78" s="23"/>
      <c r="N78" s="54"/>
    </row>
    <row r="79" spans="4:14" ht="18.75" customHeight="1" x14ac:dyDescent="0.2">
      <c r="D79" s="61"/>
      <c r="H79" s="61"/>
      <c r="M79" s="23"/>
      <c r="N79" s="54"/>
    </row>
    <row r="80" spans="4:14" ht="18.75" customHeight="1" x14ac:dyDescent="0.2">
      <c r="D80" s="16" t="s">
        <v>32</v>
      </c>
      <c r="E80" s="23" t="s">
        <v>466</v>
      </c>
      <c r="F80" s="23" t="str">
        <f>IFERROR(VLOOKUP('Project Compliance Tool'!D4,'Extra look-up'!D80:E81,2,FALSE),"")</f>
        <v>Wales_Funding_Programme</v>
      </c>
      <c r="G80" s="65" t="s">
        <v>70</v>
      </c>
      <c r="H80" s="65" t="s">
        <v>467</v>
      </c>
      <c r="I80" s="66" t="s">
        <v>468</v>
      </c>
      <c r="M80" s="23"/>
      <c r="N80" s="54"/>
    </row>
    <row r="81" spans="4:14" ht="18.75" customHeight="1" x14ac:dyDescent="0.2">
      <c r="D81" s="16" t="s">
        <v>463</v>
      </c>
      <c r="E81" s="16" t="s">
        <v>469</v>
      </c>
      <c r="G81" s="67" t="s">
        <v>69</v>
      </c>
      <c r="H81" s="67" t="s">
        <v>470</v>
      </c>
      <c r="I81" s="67" t="s">
        <v>471</v>
      </c>
      <c r="M81" s="23"/>
      <c r="N81" s="54"/>
    </row>
    <row r="82" spans="4:14" ht="18.75" customHeight="1" x14ac:dyDescent="0.2">
      <c r="G82" s="67" t="s">
        <v>71</v>
      </c>
      <c r="H82" s="67" t="s">
        <v>442</v>
      </c>
      <c r="I82" s="67"/>
      <c r="M82" s="23"/>
      <c r="N82" s="54"/>
    </row>
    <row r="83" spans="4:14" ht="18.75" customHeight="1" x14ac:dyDescent="0.2">
      <c r="G83" s="67" t="s">
        <v>72</v>
      </c>
      <c r="H83" s="67" t="s">
        <v>72</v>
      </c>
      <c r="I83" s="67"/>
    </row>
    <row r="84" spans="4:14" ht="18.75" customHeight="1" x14ac:dyDescent="0.2">
      <c r="E84" s="16"/>
      <c r="G84" s="67" t="s">
        <v>472</v>
      </c>
      <c r="H84" s="67" t="s">
        <v>473</v>
      </c>
      <c r="I84" s="67"/>
      <c r="M84" s="23"/>
      <c r="N84" s="54"/>
    </row>
    <row r="85" spans="4:14" ht="18.75" customHeight="1" x14ac:dyDescent="0.2">
      <c r="E85" s="16"/>
      <c r="G85" s="67" t="s">
        <v>474</v>
      </c>
      <c r="H85" s="67" t="s">
        <v>475</v>
      </c>
      <c r="I85" s="67"/>
      <c r="M85" s="23"/>
      <c r="N85" s="54"/>
    </row>
    <row r="86" spans="4:14" ht="18.75" customHeight="1" x14ac:dyDescent="0.2">
      <c r="G86" s="67" t="s">
        <v>74</v>
      </c>
      <c r="H86" s="67" t="s">
        <v>447</v>
      </c>
      <c r="I86" s="67"/>
    </row>
    <row r="87" spans="4:14" ht="18.75" customHeight="1" x14ac:dyDescent="0.2">
      <c r="G87" s="68" t="s">
        <v>70</v>
      </c>
      <c r="H87" s="68" t="s">
        <v>467</v>
      </c>
      <c r="I87" s="69" t="s">
        <v>476</v>
      </c>
    </row>
    <row r="88" spans="4:14" ht="18.75" customHeight="1" x14ac:dyDescent="0.2">
      <c r="G88" s="69" t="s">
        <v>69</v>
      </c>
      <c r="H88" s="69" t="s">
        <v>470</v>
      </c>
      <c r="I88" s="69"/>
    </row>
    <row r="89" spans="4:14" ht="18.75" customHeight="1" x14ac:dyDescent="0.2">
      <c r="E89" s="16"/>
      <c r="G89" s="69" t="s">
        <v>71</v>
      </c>
      <c r="H89" s="69" t="s">
        <v>442</v>
      </c>
      <c r="I89" s="69"/>
    </row>
    <row r="90" spans="4:14" ht="18.75" customHeight="1" x14ac:dyDescent="0.2">
      <c r="E90" s="16"/>
      <c r="G90" s="69" t="s">
        <v>72</v>
      </c>
      <c r="H90" s="69" t="s">
        <v>72</v>
      </c>
      <c r="I90" s="69"/>
    </row>
    <row r="91" spans="4:14" ht="18.75" customHeight="1" x14ac:dyDescent="0.2">
      <c r="E91" s="16"/>
      <c r="G91" s="69" t="s">
        <v>472</v>
      </c>
      <c r="H91" s="69" t="s">
        <v>473</v>
      </c>
      <c r="I91" s="69"/>
    </row>
    <row r="92" spans="4:14" ht="18.75" customHeight="1" x14ac:dyDescent="0.2">
      <c r="E92" s="16"/>
      <c r="G92" s="70" t="s">
        <v>474</v>
      </c>
      <c r="H92" s="70" t="s">
        <v>475</v>
      </c>
      <c r="I92" s="70" t="s">
        <v>477</v>
      </c>
    </row>
    <row r="93" spans="4:14" ht="18.75" customHeight="1" x14ac:dyDescent="0.2">
      <c r="G93" s="70" t="s">
        <v>74</v>
      </c>
      <c r="H93" s="70" t="s">
        <v>447</v>
      </c>
      <c r="I93" s="70"/>
    </row>
    <row r="94" spans="4:14" ht="18.75" customHeight="1" x14ac:dyDescent="0.2">
      <c r="G94" s="71" t="s">
        <v>70</v>
      </c>
      <c r="H94" s="71" t="s">
        <v>467</v>
      </c>
      <c r="I94" s="72" t="s">
        <v>478</v>
      </c>
    </row>
    <row r="95" spans="4:14" ht="18.75" customHeight="1" x14ac:dyDescent="0.2">
      <c r="G95" s="72" t="s">
        <v>71</v>
      </c>
      <c r="H95" s="72" t="s">
        <v>442</v>
      </c>
    </row>
    <row r="96" spans="4:14" ht="18.75" customHeight="1" x14ac:dyDescent="0.2">
      <c r="G96" s="72" t="s">
        <v>479</v>
      </c>
      <c r="H96" s="72" t="s">
        <v>475</v>
      </c>
    </row>
    <row r="97" spans="5:9" ht="18.75" customHeight="1" x14ac:dyDescent="0.2">
      <c r="G97" s="72" t="s">
        <v>480</v>
      </c>
      <c r="H97" s="72" t="s">
        <v>447</v>
      </c>
    </row>
    <row r="98" spans="5:9" ht="18.75" customHeight="1" x14ac:dyDescent="0.2">
      <c r="G98" s="73" t="s">
        <v>71</v>
      </c>
      <c r="H98" s="73" t="s">
        <v>442</v>
      </c>
      <c r="I98" s="73" t="s">
        <v>481</v>
      </c>
    </row>
    <row r="99" spans="5:9" ht="18.75" customHeight="1" x14ac:dyDescent="0.2">
      <c r="G99" s="73" t="s">
        <v>474</v>
      </c>
      <c r="H99" s="73" t="s">
        <v>475</v>
      </c>
      <c r="I99" s="73"/>
    </row>
    <row r="100" spans="5:9" ht="18.75" customHeight="1" x14ac:dyDescent="0.2">
      <c r="G100" s="73" t="s">
        <v>74</v>
      </c>
      <c r="H100" s="73" t="s">
        <v>447</v>
      </c>
      <c r="I100" s="74"/>
    </row>
    <row r="101" spans="5:9" ht="18.75" customHeight="1" x14ac:dyDescent="0.2">
      <c r="E101" s="16"/>
      <c r="G101" s="73" t="s">
        <v>472</v>
      </c>
      <c r="H101" s="73" t="s">
        <v>473</v>
      </c>
      <c r="I101" s="74"/>
    </row>
    <row r="102" spans="5:9" ht="18.75" customHeight="1" x14ac:dyDescent="0.2">
      <c r="E102" s="16"/>
      <c r="G102" s="73" t="s">
        <v>70</v>
      </c>
      <c r="H102" s="73" t="s">
        <v>467</v>
      </c>
      <c r="I102" s="73"/>
    </row>
    <row r="103" spans="5:9" ht="18.75" customHeight="1" x14ac:dyDescent="0.2">
      <c r="G103" s="75" t="s">
        <v>71</v>
      </c>
      <c r="H103" s="75" t="s">
        <v>442</v>
      </c>
      <c r="I103" s="75" t="s">
        <v>469</v>
      </c>
    </row>
    <row r="104" spans="5:9" ht="18.75" customHeight="1" x14ac:dyDescent="0.2">
      <c r="G104" s="75" t="s">
        <v>479</v>
      </c>
      <c r="H104" s="75" t="s">
        <v>475</v>
      </c>
      <c r="I104" s="75"/>
    </row>
    <row r="105" spans="5:9" ht="18.75" customHeight="1" x14ac:dyDescent="0.2">
      <c r="G105" s="75" t="s">
        <v>480</v>
      </c>
      <c r="H105" s="75" t="s">
        <v>447</v>
      </c>
      <c r="I105" s="75"/>
    </row>
    <row r="106" spans="5:9" ht="18.75" customHeight="1" x14ac:dyDescent="0.2">
      <c r="G106" s="75" t="s">
        <v>70</v>
      </c>
      <c r="H106" s="75" t="s">
        <v>467</v>
      </c>
      <c r="I106" s="75"/>
    </row>
    <row r="107" spans="5:9" ht="18.75" customHeight="1" x14ac:dyDescent="0.2">
      <c r="G107" s="76" t="s">
        <v>69</v>
      </c>
      <c r="H107" s="76" t="s">
        <v>470</v>
      </c>
      <c r="I107" s="76" t="s">
        <v>466</v>
      </c>
    </row>
    <row r="108" spans="5:9" ht="18.75" customHeight="1" x14ac:dyDescent="0.2">
      <c r="G108" s="76" t="s">
        <v>70</v>
      </c>
      <c r="H108" s="76" t="s">
        <v>467</v>
      </c>
      <c r="I108" s="76"/>
    </row>
    <row r="109" spans="5:9" ht="18.75" customHeight="1" x14ac:dyDescent="0.2">
      <c r="G109" s="76" t="s">
        <v>472</v>
      </c>
      <c r="H109" s="76" t="s">
        <v>473</v>
      </c>
      <c r="I109" s="76"/>
    </row>
    <row r="110" spans="5:9" ht="18.75" customHeight="1" x14ac:dyDescent="0.2">
      <c r="G110" s="76" t="s">
        <v>71</v>
      </c>
      <c r="H110" s="76" t="s">
        <v>442</v>
      </c>
      <c r="I110" s="76"/>
    </row>
    <row r="111" spans="5:9" ht="18.75" customHeight="1" x14ac:dyDescent="0.2">
      <c r="G111" s="76" t="s">
        <v>474</v>
      </c>
      <c r="H111" s="76" t="s">
        <v>475</v>
      </c>
      <c r="I111" s="76"/>
    </row>
    <row r="112" spans="5:9" ht="18.75" customHeight="1" x14ac:dyDescent="0.2">
      <c r="G112" s="76" t="s">
        <v>74</v>
      </c>
      <c r="H112" s="76" t="s">
        <v>447</v>
      </c>
      <c r="I112" s="76"/>
    </row>
    <row r="113" spans="4:9" ht="18.75" customHeight="1" x14ac:dyDescent="0.2">
      <c r="G113" s="76" t="s">
        <v>72</v>
      </c>
      <c r="H113" s="76" t="s">
        <v>72</v>
      </c>
      <c r="I113" s="76"/>
    </row>
    <row r="114" spans="4:9" ht="18.75" customHeight="1" x14ac:dyDescent="0.2">
      <c r="G114" s="310" t="s">
        <v>69</v>
      </c>
      <c r="H114" s="310" t="s">
        <v>470</v>
      </c>
      <c r="I114" s="310" t="s">
        <v>482</v>
      </c>
    </row>
    <row r="115" spans="4:9" ht="18.75" customHeight="1" x14ac:dyDescent="0.2">
      <c r="G115" s="310" t="s">
        <v>71</v>
      </c>
      <c r="H115" s="310" t="s">
        <v>442</v>
      </c>
      <c r="I115" s="310"/>
    </row>
    <row r="116" spans="4:9" ht="18.75" customHeight="1" x14ac:dyDescent="0.2">
      <c r="G116" s="310" t="s">
        <v>72</v>
      </c>
      <c r="H116" s="310" t="s">
        <v>72</v>
      </c>
      <c r="I116" s="310"/>
    </row>
    <row r="117" spans="4:9" ht="18.75" customHeight="1" x14ac:dyDescent="0.2">
      <c r="G117" s="310" t="s">
        <v>472</v>
      </c>
      <c r="H117" s="310" t="s">
        <v>473</v>
      </c>
      <c r="I117" s="310"/>
    </row>
    <row r="118" spans="4:9" ht="18.75" customHeight="1" x14ac:dyDescent="0.2">
      <c r="G118" s="310" t="s">
        <v>474</v>
      </c>
      <c r="H118" s="310" t="s">
        <v>475</v>
      </c>
      <c r="I118" s="310"/>
    </row>
    <row r="119" spans="4:9" ht="18.75" customHeight="1" x14ac:dyDescent="0.2">
      <c r="G119" s="310" t="s">
        <v>74</v>
      </c>
      <c r="H119" s="310" t="s">
        <v>447</v>
      </c>
      <c r="I119" s="310"/>
    </row>
    <row r="120" spans="4:9" ht="18.75" customHeight="1" x14ac:dyDescent="0.2"/>
    <row r="121" spans="4:9" ht="18.75" customHeight="1" x14ac:dyDescent="0.2">
      <c r="D121" s="16" t="s">
        <v>483</v>
      </c>
      <c r="E121" s="16" t="s">
        <v>484</v>
      </c>
      <c r="F121" s="23" t="s">
        <v>421</v>
      </c>
      <c r="G121" s="23" t="s">
        <v>421</v>
      </c>
      <c r="H121" s="57" t="s">
        <v>438</v>
      </c>
    </row>
    <row r="122" spans="4:9" ht="18.75" customHeight="1" x14ac:dyDescent="0.2">
      <c r="D122" s="16" t="str">
        <f>'Project Compliance Tool'!$D$4</f>
        <v>Wales Funding Programme</v>
      </c>
      <c r="E122" s="16" t="str">
        <f>IFERROR(VLOOKUP(D122,D80:E81,2,FALSE),"")</f>
        <v>Wales_Funding_Programme</v>
      </c>
      <c r="F122" s="23">
        <f>'Project Compliance Tool'!$D$5</f>
        <v>0</v>
      </c>
      <c r="G122" s="23" t="e">
        <f>VLOOKUP(F122,G83:H116,2,FALSE)</f>
        <v>#N/A</v>
      </c>
      <c r="H122" s="23" t="str">
        <f ca="1">IF(OR(AND(E102=0,F102=0),AND(E102&lt;&gt;0,F102=0)),"OK",IF(ISERROR(VLOOKUP(F102,INDIRECT(E102),1,FALSE)),"Client Type","OK"))</f>
        <v>OK</v>
      </c>
    </row>
    <row r="123" spans="4:9" ht="18.75" customHeight="1" x14ac:dyDescent="0.2"/>
    <row r="124" spans="4:9" ht="18.75" customHeight="1" x14ac:dyDescent="0.2"/>
    <row r="125" spans="4:9" ht="18.75" customHeight="1" x14ac:dyDescent="0.2"/>
    <row r="126" spans="4:9" ht="18.75" customHeight="1" x14ac:dyDescent="0.2"/>
    <row r="127" spans="4:9" ht="18.75" customHeight="1" x14ac:dyDescent="0.2"/>
    <row r="128" spans="4:9" ht="18.75" customHeight="1" x14ac:dyDescent="0.2"/>
    <row r="129" ht="18.75" customHeight="1" x14ac:dyDescent="0.2"/>
    <row r="130" ht="18.75" customHeight="1" x14ac:dyDescent="0.2"/>
    <row r="131" ht="18.75" customHeight="1" x14ac:dyDescent="0.2"/>
    <row r="132" ht="18.75" customHeight="1" x14ac:dyDescent="0.2"/>
    <row r="133" ht="18.75" customHeight="1" x14ac:dyDescent="0.2"/>
    <row r="134" ht="18.75" customHeight="1" x14ac:dyDescent="0.2"/>
    <row r="135" ht="18.75" customHeight="1" x14ac:dyDescent="0.2"/>
    <row r="136" ht="18.75" customHeight="1" x14ac:dyDescent="0.2"/>
    <row r="137" ht="18.75" customHeight="1" x14ac:dyDescent="0.2"/>
    <row r="138" ht="18.75" customHeight="1" x14ac:dyDescent="0.2"/>
    <row r="139" ht="18.75" customHeight="1" x14ac:dyDescent="0.2"/>
    <row r="140" ht="18.75" customHeight="1" x14ac:dyDescent="0.2"/>
    <row r="141" ht="18.75" customHeight="1" x14ac:dyDescent="0.2"/>
    <row r="142" ht="18.75" customHeight="1" x14ac:dyDescent="0.2"/>
    <row r="143" ht="18.75" customHeight="1" x14ac:dyDescent="0.2"/>
    <row r="144" ht="18.75" customHeight="1" x14ac:dyDescent="0.2"/>
    <row r="145" ht="18.75" customHeight="1" x14ac:dyDescent="0.2"/>
    <row r="146" ht="18.75" customHeight="1" x14ac:dyDescent="0.2"/>
  </sheetData>
  <sheetProtection selectLockedCells="1" selectUnlockedCells="1"/>
  <pageMargins left="0.70866141732283472" right="0.32" top="0.74803149606299213" bottom="0.74803149606299213" header="0.31496062992125984" footer="0.31496062992125984"/>
  <pageSetup paperSize="8" scale="96" fitToWidth="2" fitToHeight="2" orientation="portrait" horizontalDpi="4294967293" r:id="rId1"/>
  <headerFooter>
    <oddFooter>&amp;C_x000D_&amp;1#&amp;"Calibri"&amp;10&amp;K000000 AtkinsRéalis - Baseline / Référence</oddFooter>
  </headerFooter>
  <customProperties>
    <customPr name="GUID" r:id="rId2"/>
  </customProperties>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A13E7C1E30204BB133EAE7FAFD52CA" ma:contentTypeVersion="19" ma:contentTypeDescription="Create a new document." ma:contentTypeScope="" ma:versionID="c77c6467de44cb8fc7f0fde5854580d4">
  <xsd:schema xmlns:xsd="http://www.w3.org/2001/XMLSchema" xmlns:xs="http://www.w3.org/2001/XMLSchema" xmlns:p="http://schemas.microsoft.com/office/2006/metadata/properties" xmlns:ns2="8db9bdd8-629b-441c-9eb6-e46a2e9dae03" xmlns:ns3="96adaec6-6188-43bf-aec5-291c802dcb1b" xmlns:ns4="35b6a7de-9e1a-4b3d-8e58-e2a3da2946eb" targetNamespace="http://schemas.microsoft.com/office/2006/metadata/properties" ma:root="true" ma:fieldsID="29b2f8d8a6a82e030be3aa145187c683" ns2:_="" ns3:_="" ns4:_="">
    <xsd:import namespace="8db9bdd8-629b-441c-9eb6-e46a2e9dae03"/>
    <xsd:import namespace="96adaec6-6188-43bf-aec5-291c802dcb1b"/>
    <xsd:import namespace="35b6a7de-9e1a-4b3d-8e58-e2a3da2946e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4:TaxCatchAll" minOccurs="0"/>
                <xsd:element ref="ns2:MediaServiceLocation"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b9bdd8-629b-441c-9eb6-e46a2e9dae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7408edb-d5a2-42de-bdcd-94a07c4505a8"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adaec6-6188-43bf-aec5-291c802dcb1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b6a7de-9e1a-4b3d-8e58-e2a3da2946eb"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9f097f90-d0c6-418f-9a4f-3aeff3717b8c}" ma:internalName="TaxCatchAll" ma:showField="CatchAllData" ma:web="35b6a7de-9e1a-4b3d-8e58-e2a3da2946e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5b6a7de-9e1a-4b3d-8e58-e2a3da2946eb" xsi:nil="true"/>
    <lcf76f155ced4ddcb4097134ff3c332f xmlns="8db9bdd8-629b-441c-9eb6-e46a2e9dae0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BED6EB-1E9D-4ABE-8FC9-CD0561BE55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b9bdd8-629b-441c-9eb6-e46a2e9dae03"/>
    <ds:schemaRef ds:uri="96adaec6-6188-43bf-aec5-291c802dcb1b"/>
    <ds:schemaRef ds:uri="35b6a7de-9e1a-4b3d-8e58-e2a3da2946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095DF9-7D38-434A-BE17-31AE48FEAC77}">
  <ds:schemaRefs>
    <ds:schemaRef ds:uri="http://schemas.openxmlformats.org/package/2006/metadata/core-properties"/>
    <ds:schemaRef ds:uri="96adaec6-6188-43bf-aec5-291c802dcb1b"/>
    <ds:schemaRef ds:uri="http://www.w3.org/XML/1998/namespace"/>
    <ds:schemaRef ds:uri="8db9bdd8-629b-441c-9eb6-e46a2e9dae03"/>
    <ds:schemaRef ds:uri="http://purl.org/dc/terms/"/>
    <ds:schemaRef ds:uri="http://schemas.microsoft.com/office/2006/documentManagement/types"/>
    <ds:schemaRef ds:uri="http://purl.org/dc/elements/1.1/"/>
    <ds:schemaRef ds:uri="http://schemas.microsoft.com/office/2006/metadata/properties"/>
    <ds:schemaRef ds:uri="http://schemas.microsoft.com/office/infopath/2007/PartnerControls"/>
    <ds:schemaRef ds:uri="35b6a7de-9e1a-4b3d-8e58-e2a3da2946eb"/>
    <ds:schemaRef ds:uri="http://purl.org/dc/dcmitype/"/>
  </ds:schemaRefs>
</ds:datastoreItem>
</file>

<file path=customXml/itemProps3.xml><?xml version="1.0" encoding="utf-8"?>
<ds:datastoreItem xmlns:ds="http://schemas.openxmlformats.org/officeDocument/2006/customXml" ds:itemID="{FAA57CAA-3A4F-47BC-983E-3393C2670588}">
  <ds:schemaRefs>
    <ds:schemaRef ds:uri="http://schemas.microsoft.com/sharepoint/v3/contenttype/forms"/>
  </ds:schemaRefs>
</ds:datastoreItem>
</file>

<file path=docMetadata/LabelInfo.xml><?xml version="1.0" encoding="utf-8"?>
<clbl:labelList xmlns:clbl="http://schemas.microsoft.com/office/2020/mipLabelMetadata">
  <clbl:label id="{2c26c619-185f-4988-bc94-eaa427dabc1d}" enabled="0" method="" siteId="{2c26c619-185f-4988-bc94-eaa427dabc1d}" removed="1"/>
  <clbl:label id="{6aceba42-ef97-4862-842d-38a0289df756}" enabled="1" method="Privileged" siteId="{87d70b0f-5efc-4991-a065-e205bc3db30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72</vt:i4>
      </vt:variant>
    </vt:vector>
  </HeadingPairs>
  <TitlesOfParts>
    <vt:vector size="85" baseType="lpstr">
      <vt:lpstr>Terms and Conditions</vt:lpstr>
      <vt:lpstr>Guidance Notes</vt:lpstr>
      <vt:lpstr>Project Compliance Tool</vt:lpstr>
      <vt:lpstr>Business Case</vt:lpstr>
      <vt:lpstr>Loan Amortisation</vt:lpstr>
      <vt:lpstr>Additionality Criteria</vt:lpstr>
      <vt:lpstr>Eligible Technologies</vt:lpstr>
      <vt:lpstr>Extra look-up</vt:lpstr>
      <vt:lpstr>Assessment Form</vt:lpstr>
      <vt:lpstr>Definitions</vt:lpstr>
      <vt:lpstr>PETREAD</vt:lpstr>
      <vt:lpstr>PETREAD 2</vt:lpstr>
      <vt:lpstr>Revision History</vt:lpstr>
      <vt:lpstr>Blank</vt:lpstr>
      <vt:lpstr>'Eligible Technologies'!BMS</vt:lpstr>
      <vt:lpstr>BMS</vt:lpstr>
      <vt:lpstr>CO2_factors</vt:lpstr>
      <vt:lpstr>Cooling</vt:lpstr>
      <vt:lpstr>Drawdown_1</vt:lpstr>
      <vt:lpstr>Drawdown_1_Date</vt:lpstr>
      <vt:lpstr>Drawdown_1_Financial_Year</vt:lpstr>
      <vt:lpstr>Drawdown_2</vt:lpstr>
      <vt:lpstr>Drawdown_2_Date</vt:lpstr>
      <vt:lpstr>Drawdown_2_Financial_Year</vt:lpstr>
      <vt:lpstr>Drawdown_3</vt:lpstr>
      <vt:lpstr>Drawdown_3_Date</vt:lpstr>
      <vt:lpstr>Drawdown_3_Financial_Year</vt:lpstr>
      <vt:lpstr>EfW</vt:lpstr>
      <vt:lpstr>Emergency_Services</vt:lpstr>
      <vt:lpstr>Energy_monitoring_and_management_platform</vt:lpstr>
      <vt:lpstr>Energy_Types</vt:lpstr>
      <vt:lpstr>Final_Payment_Year</vt:lpstr>
      <vt:lpstr>First_Drawdown_Date</vt:lpstr>
      <vt:lpstr>Further_Education_Institute</vt:lpstr>
      <vt:lpstr>Heating</vt:lpstr>
      <vt:lpstr>Higher_Education_Institute</vt:lpstr>
      <vt:lpstr>Hot_water</vt:lpstr>
      <vt:lpstr>Insulation_building_fabric</vt:lpstr>
      <vt:lpstr>Insulation_draught_proofing</vt:lpstr>
      <vt:lpstr>Insulation_other</vt:lpstr>
      <vt:lpstr>Insulation_pipework</vt:lpstr>
      <vt:lpstr>Interest_Rate</vt:lpstr>
      <vt:lpstr>LCH</vt:lpstr>
      <vt:lpstr>LEDs</vt:lpstr>
      <vt:lpstr>Lighting_controls</vt:lpstr>
      <vt:lpstr>Local_Authority</vt:lpstr>
      <vt:lpstr>Metering</vt:lpstr>
      <vt:lpstr>Minimum_Required_Repayment</vt:lpstr>
      <vt:lpstr>Monitoring</vt:lpstr>
      <vt:lpstr>Motor_controls</vt:lpstr>
      <vt:lpstr>Motor_replacement</vt:lpstr>
      <vt:lpstr>NHS</vt:lpstr>
      <vt:lpstr>Payback_Period_In_Years</vt:lpstr>
      <vt:lpstr>Primary_School</vt:lpstr>
      <vt:lpstr>'Additionality Criteria'!Print_Area</vt:lpstr>
      <vt:lpstr>'Assessment Form'!Print_Area</vt:lpstr>
      <vt:lpstr>'Business Case'!Print_Area</vt:lpstr>
      <vt:lpstr>Definitions!Print_Area</vt:lpstr>
      <vt:lpstr>'Eligible Technologies'!Print_Area</vt:lpstr>
      <vt:lpstr>'Guidance Notes'!Print_Area</vt:lpstr>
      <vt:lpstr>'Revision History'!Print_Area</vt:lpstr>
      <vt:lpstr>'Terms and Conditions'!Print_Area</vt:lpstr>
      <vt:lpstr>Project_Completion_Date</vt:lpstr>
      <vt:lpstr>Project_Completion_Financial_Year</vt:lpstr>
      <vt:lpstr>Project_Start_Date</vt:lpstr>
      <vt:lpstr>Project_type</vt:lpstr>
      <vt:lpstr>Project_Type_2</vt:lpstr>
      <vt:lpstr>Recycling_Fund_England</vt:lpstr>
      <vt:lpstr>Recycling_Fund_England_HEI</vt:lpstr>
      <vt:lpstr>Recycling_Fund_Scotland</vt:lpstr>
      <vt:lpstr>Recycling_Fund_Wales</vt:lpstr>
      <vt:lpstr>Renewables</vt:lpstr>
      <vt:lpstr>Salix_Decarbonisation_Fund</vt:lpstr>
      <vt:lpstr>Secondary_School</vt:lpstr>
      <vt:lpstr>SEELS_England</vt:lpstr>
      <vt:lpstr>SEELS_Schools</vt:lpstr>
      <vt:lpstr>SEELS_Scotland</vt:lpstr>
      <vt:lpstr>Submission_Date</vt:lpstr>
      <vt:lpstr>Time_switches</vt:lpstr>
      <vt:lpstr>Total_ECM</vt:lpstr>
      <vt:lpstr>Total_Funding_Requested</vt:lpstr>
      <vt:lpstr>Total_MMM</vt:lpstr>
      <vt:lpstr>Ventilation</vt:lpstr>
      <vt:lpstr>Wales_Funding_Programme</vt:lpstr>
      <vt:lpstr>Work_types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Brads</dc:creator>
  <cp:keywords/>
  <dc:description/>
  <cp:lastModifiedBy>Elan Parry-Lowther</cp:lastModifiedBy>
  <cp:revision/>
  <dcterms:created xsi:type="dcterms:W3CDTF">2008-09-24T10:06:48Z</dcterms:created>
  <dcterms:modified xsi:type="dcterms:W3CDTF">2026-05-20T14:14:40Z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0x010100F0A13E7C1E30204BB133EAE7FAFD52CA</vt:lpwstr>
  </property>
  <property fmtid="{D5CDD505-2E9C-101B-9397-08002B2CF9AE}" pid="3" name="MediaServiceImageTags">
    <vt:lpwstr/>
  </property>
  <property fmtid="{D5CDD505-2E9C-101B-9397-08002B2CF9AE}" pid="4" name="iNSTOREService">
    <vt:lpwstr>439;#Sustainability ＆ Carbon Consultancy|da0734e3-e022-432d-9c56-979c8a060509;#93;#Guidance|4502a398-9521-4efb-87fc-4e603eafdcde;#148;#Energy Management ＆ Financing|36bdcb86-bb4d-4ce5-8b49-e2028f20f735</vt:lpwstr>
  </property>
  <property fmtid="{D5CDD505-2E9C-101B-9397-08002B2CF9AE}" pid="5" name="instoreDWPDDocumentType">
    <vt:lpwstr/>
  </property>
  <property fmtid="{D5CDD505-2E9C-101B-9397-08002B2CF9AE}" pid="6" name="iNSTOREOffices">
    <vt:lpwstr>424;#London|97343dac-8410-48d4-bac3-2da62f9c62a7</vt:lpwstr>
  </property>
  <property fmtid="{D5CDD505-2E9C-101B-9397-08002B2CF9AE}" pid="7" name="iNSTOREFGMarketSector">
    <vt:lpwstr>176;#Government - Local|812db89f-43ce-43fc-951f-5f9c38d61c46</vt:lpwstr>
  </property>
  <property fmtid="{D5CDD505-2E9C-101B-9397-08002B2CF9AE}" pid="8" name="iNSTOREFGDivision">
    <vt:lpwstr>8;#UK ＆ Europe|2df4253f-6204-4d18-8c90-428a769a6364</vt:lpwstr>
  </property>
</Properties>
</file>