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salix365.sharepoint.com/Tec/Docs/ZE. Loan Schemes/K. Project Compliance tools &amp; Business case template/1. Project compliance tools/Scotland V38/"/>
    </mc:Choice>
  </mc:AlternateContent>
  <xr:revisionPtr revIDLastSave="800" documentId="8_{2A091670-39D9-4913-B96D-F88018B81877}" xr6:coauthVersionLast="47" xr6:coauthVersionMax="47" xr10:uidLastSave="{E680D21B-77EB-47B7-B096-2C250C1CF759}"/>
  <workbookProtection workbookAlgorithmName="SHA-512" workbookHashValue="vRPQvmZAifmQYUHr27X69WNQhC/zj6lm37AHU2+nKf2IPnEjcz5K5u4+G3QPSBqxTv/kMZPCfI4tL2TppDxeWw==" workbookSaltValue="/mIT4E/iQuZ2CH5F83dWrQ==" workbookSpinCount="100000" lockStructure="1"/>
  <bookViews>
    <workbookView xWindow="-110" yWindow="-110" windowWidth="19420" windowHeight="10300" tabRatio="872" firstSheet="1" activeTab="3" xr2:uid="{00000000-000D-0000-FFFF-FFFF00000000}"/>
  </bookViews>
  <sheets>
    <sheet name="CRYSTAL_PERSIST" sheetId="4" state="veryHidden" r:id="rId1"/>
    <sheet name="Terms and Conditions" sheetId="28" r:id="rId2"/>
    <sheet name="Guidance Notes" sheetId="22" r:id="rId3"/>
    <sheet name="Project Compliance Tool" sheetId="2" r:id="rId4"/>
    <sheet name="Business Case" sheetId="26" r:id="rId5"/>
    <sheet name="Assessment Form" sheetId="37" state="hidden" r:id="rId6"/>
    <sheet name="Additionality Criteria" sheetId="19" r:id="rId7"/>
    <sheet name="PETREAD 2" sheetId="36" state="hidden" r:id="rId8"/>
    <sheet name="Eligible Technologies" sheetId="35" r:id="rId9"/>
    <sheet name="Definitions" sheetId="21" r:id="rId10"/>
    <sheet name="Revision History" sheetId="7" r:id="rId11"/>
    <sheet name="Extra look-up" sheetId="11" state="hidden" r:id="rId12"/>
    <sheet name="PETREAD" sheetId="23" state="hidden"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xlnm._FilterDatabase" localSheetId="8" hidden="1">'Eligible Technologies'!$C$6:$G$76</definedName>
    <definedName name="_xlnm._FilterDatabase" localSheetId="12" hidden="1">PETREAD!$T$12:$U$22</definedName>
    <definedName name="Blank">'Extra look-up'!$B$33:$B$33</definedName>
    <definedName name="BMS" localSheetId="8">'Eligible Technologies'!$D$17:$D$18</definedName>
    <definedName name="BMS">'Eligible Technologies'!$D$17:$D$18</definedName>
    <definedName name="Boilers">#REF!</definedName>
    <definedName name="Building_Names">'[1]Backing Sheet - Buildings'!$E$2:INDEX('[1]Backing Sheet - Buildings'!$E$2:$E$101,COUNTIF('[1]Backing Sheet - Buildings'!$E$2:$E$101,"?*"))</definedName>
    <definedName name="Buildings">OFFSET('[1]Backing Sheet - Buildings'!A1,0,0,COUNTA('[1]Backing Sheet - Buildings'!$E$2:$E$101),1)</definedName>
    <definedName name="ChartXVals">OFFSET(INDEX(#REF!,MATCH("1",#REF!,0),1),0,0,COUNTIF(#REF!,"1"),1)</definedName>
    <definedName name="ChartYVals">OFFSET(INDEX(#REF!,MATCH("1",#REF!,0),3),0,0,COUNTIF(#REF!,"1"),1)</definedName>
    <definedName name="CHP">#REF!</definedName>
    <definedName name="CO2_factors">'Eligible Technologies'!$J$17:$K$26</definedName>
    <definedName name="Compressor">#REF!</definedName>
    <definedName name="Cooling">'Eligible Technologies'!$D$19:$D$23</definedName>
    <definedName name="Custom">#REF!</definedName>
    <definedName name="Data_Sheets">#REF!</definedName>
    <definedName name="DRange" localSheetId="8">'[2]Backing Sheet Buildings'!$D$2:INDEX('[2]Backing Sheet Buildings'!$D$2:$D$101,COUNTIF('[2]Backing Sheet Buildings'!$D$2:$D$101,"?*"))</definedName>
    <definedName name="DRange">'[1]Backing Sheet - Buildings'!$E$2:INDEX('[1]Backing Sheet - Buildings'!$E$2:$E$101,COUNTIF('[1]Backing Sheet - Buildings'!$E$2:$E$101,"?*"))</definedName>
    <definedName name="DRangeSystems" localSheetId="8">'[2]Backing Sheet Buildings'!$L$2:INDEX('[2]Backing Sheet Buildings'!$L$2:$L$101,COUNTIF('[2]Backing Sheet Buildings'!$L$2:$L$101,"?*"))</definedName>
    <definedName name="DRangeSystems">'[1]Backing Sheet - Buildings'!$M$2:INDEX('[1]Backing Sheet - Buildings'!$M$2:$M$101,COUNTIF('[1]Backing Sheet - Buildings'!$M$2:$M$101,"?*"))</definedName>
    <definedName name="Drawdown_1" localSheetId="5">'[16]Loan Amortisation'!$P$31</definedName>
    <definedName name="Drawdown_1">'[3]Loan Amortisation'!$P$31</definedName>
    <definedName name="Drawdown_1_Date" localSheetId="5">'[16]Loan Amortisation'!$O$31</definedName>
    <definedName name="Drawdown_1_Date">'[3]Loan Amortisation'!$O$31</definedName>
    <definedName name="Drawdown_1_Financial_Year" localSheetId="5">'[16]Extra look-up'!$R$3</definedName>
    <definedName name="Drawdown_1_Financial_Year">'[3]Extra look-up'!$R$3</definedName>
    <definedName name="Drawdown_2" localSheetId="5">'[16]Loan Amortisation'!$P$32</definedName>
    <definedName name="Drawdown_2">'[3]Loan Amortisation'!$P$32</definedName>
    <definedName name="Drawdown_2_Date" localSheetId="5">'[16]Loan Amortisation'!$O$32</definedName>
    <definedName name="Drawdown_2_Date">'[3]Loan Amortisation'!$O$32</definedName>
    <definedName name="Drawdown_2_Financial_Year" localSheetId="5">'[16]Extra look-up'!$S$3</definedName>
    <definedName name="Drawdown_2_Financial_Year">'[3]Extra look-up'!$S$3</definedName>
    <definedName name="Drawdown_3" localSheetId="5">'[16]Loan Amortisation'!$P$33</definedName>
    <definedName name="Drawdown_3">'[3]Loan Amortisation'!$P$33</definedName>
    <definedName name="Drawdown_3_Date" localSheetId="5">'[16]Loan Amortisation'!$O$33</definedName>
    <definedName name="Drawdown_3_Date">'[3]Loan Amortisation'!$O$33</definedName>
    <definedName name="Drawdown_3_Financial_Year" localSheetId="5">'[16]Extra look-up'!$T$3</definedName>
    <definedName name="Drawdown_3_Financial_Year">'[3]Extra look-up'!$T$3</definedName>
    <definedName name="EfW">'Eligible Technologies'!$D$24:$D$25</definedName>
    <definedName name="Emergency_Services">'Project Compliance Tool'!$AG$20:$AG$30</definedName>
    <definedName name="End_of_Life">#REF!</definedName>
    <definedName name="Energy_Savings_Calculations">#REF!</definedName>
    <definedName name="Energy_Types" localSheetId="5">'[16]Eligible Technologies'!$J$17:$J$26</definedName>
    <definedName name="Energy_Types" localSheetId="7">'[3]Eligible Technologies'!$J$17:$J$26</definedName>
    <definedName name="Energy_Types">'Eligible Technologies'!$J$17:$J$26</definedName>
    <definedName name="Final_Payment_Year" localSheetId="5">'[16]Extra look-up'!$Q$3</definedName>
    <definedName name="Final_Payment_Year">'[3]Extra look-up'!$Q$3</definedName>
    <definedName name="FPrice" localSheetId="5">'[4]Lookup Table'!$G$15:$G$87</definedName>
    <definedName name="FPrice" localSheetId="7">'[4]Lookup Table'!$G$15:$G$87</definedName>
    <definedName name="FPrice">'[5]Lookup Table'!$G$15:$G$87</definedName>
    <definedName name="FRange" localSheetId="8">'[2]Backing Sheet Buildings'!$K$2:INDEX('[2]Backing Sheet Buildings'!XFC1:XFC50,COUNTIF('[2]Backing Sheet Buildings'!$K$2:$K$51,"*?"))</definedName>
    <definedName name="FRange">'[1]Backing Sheet - Buildings'!$M$2:INDEX('[1]Backing Sheet - Buildings'!$M$2:$M$101,COUNTIF('[1]Backing Sheet - Buildings'!$M$2:$M$101,"?*"))</definedName>
    <definedName name="Fuel_type" localSheetId="5">'[6]Technology List &amp; Con. Factors'!$F$5:$F$14</definedName>
    <definedName name="Fuel_type" localSheetId="7">'[6]Technology List &amp; Con. Factors'!$F$5:$F$14</definedName>
    <definedName name="Fuel_type">'[7]Technology List &amp; Con. Factors'!$F$5:$F$14</definedName>
    <definedName name="Further_Education_Institute">'Project Compliance Tool'!$AH$20:$AH$37</definedName>
    <definedName name="Hand_dryers">'Eligible Technologies'!$D$26:$D$26</definedName>
    <definedName name="Heating">'Eligible Technologies'!$D$27:$D$33</definedName>
    <definedName name="Higher_Education_Institute">'Project Compliance Tool'!$AI$20:$AI$37</definedName>
    <definedName name="Hot_water">'Eligible Technologies'!$D$34:$D$36</definedName>
    <definedName name="Insulation_building_fabric">'Eligible Technologies'!$D$37:$D$44</definedName>
    <definedName name="Insulation_draught_proofing">'Eligible Technologies'!$D$45</definedName>
    <definedName name="Insulation_other">'Eligible Technologies'!$D$46:$D$50</definedName>
    <definedName name="Insulation_pipework">'Eligible Technologies'!$D$51:$D$52</definedName>
    <definedName name="Interest_Rate" localSheetId="5">'[16]Loan Amortisation'!$D$50</definedName>
    <definedName name="Interest_Rate">'[3]Loan Amortisation'!$D$50</definedName>
    <definedName name="IT">#REF!</definedName>
    <definedName name="Kitchen">#REF!</definedName>
    <definedName name="Lab">#REF!</definedName>
    <definedName name="Lab_upgrades">'Extra look-up'!$P$2:$P$5</definedName>
    <definedName name="LCH">'Eligible Technologies'!$D$7:$D$15</definedName>
    <definedName name="LEDs">'Eligible Technologies'!$D$57:$D$58</definedName>
    <definedName name="Lighting_controls">'Eligible Technologies'!$D$59:$D$60</definedName>
    <definedName name="Lighting_upgrades" localSheetId="5">'[8]Technology List &amp; Con. Factors'!#REF!</definedName>
    <definedName name="Lighting_upgrades" localSheetId="7">'[8]Technology List &amp; Con. Factors'!#REF!</definedName>
    <definedName name="Lighting_upgrades">'[9]Technology List &amp; Con. Factors'!#REF!</definedName>
    <definedName name="Local_Authority">'Project Compliance Tool'!$AJ$20:$AJ$33</definedName>
    <definedName name="Metering" localSheetId="5">'[16]Extra look-up'!$A$27:$A$28</definedName>
    <definedName name="Metering">'[3]Extra look-up'!$A$27:$A$28</definedName>
    <definedName name="Minimum_Required_Repayment" localSheetId="5">'[16]Loan Amortisation'!$P$18</definedName>
    <definedName name="Minimum_Required_Repayment">'[3]Loan Amortisation'!$P$18</definedName>
    <definedName name="Monitoring" localSheetId="5">'[16]Extra look-up'!$A$31:$A$32</definedName>
    <definedName name="Monitoring">'[3]Extra look-up'!$A$31:$A$32</definedName>
    <definedName name="Motor_controls">'Eligible Technologies'!$D$61:$D$63</definedName>
    <definedName name="Motor_replacement">'Eligible Technologies'!$D$64</definedName>
    <definedName name="NHS">'Project Compliance Tool'!$AK$20:$AK$29</definedName>
    <definedName name="Office">#REF!</definedName>
    <definedName name="Operation_hours" localSheetId="5">[10]Dashboard!$D$28</definedName>
    <definedName name="Operation_hours" localSheetId="7">[10]Dashboard!$D$28</definedName>
    <definedName name="Operation_hours">[11]Dashboard!$D$28</definedName>
    <definedName name="Payback_Period_In_Years" localSheetId="5">'[16]Loan Amortisation'!$P$15</definedName>
    <definedName name="Payback_Period_In_Years">'[3]Loan Amortisation'!$P$15</definedName>
    <definedName name="Primary_School">'Project Compliance Tool'!$AL$20:$AL$30</definedName>
    <definedName name="_xlnm.Print_Area" localSheetId="6">'Additionality Criteria'!$A$2:$M$8</definedName>
    <definedName name="_xlnm.Print_Area" localSheetId="5">'Assessment Form'!$B$4:$I$90</definedName>
    <definedName name="_xlnm.Print_Area" localSheetId="4">'Business Case'!$B$2:$H$102</definedName>
    <definedName name="_xlnm.Print_Area" localSheetId="9">Definitions!$A$2:$M$8</definedName>
    <definedName name="_xlnm.Print_Area" localSheetId="8">'Eligible Technologies'!$C$3:$G$76</definedName>
    <definedName name="_xlnm.Print_Area" localSheetId="2">'Guidance Notes'!$A$1:$S$50</definedName>
    <definedName name="_xlnm.Print_Area" localSheetId="10">'Revision History'!$B$1:$E$32</definedName>
    <definedName name="_xlnm.Print_Area" localSheetId="1">'Terms and Conditions'!$B$1:$B$12</definedName>
    <definedName name="_xlnm.Print_Area">#REF!</definedName>
    <definedName name="Project_Completion_Date" localSheetId="5">'[16]Project Compliance Tool'!$D$9</definedName>
    <definedName name="Project_Completion_Date">'[3]Project Compliance Tool'!$D$9</definedName>
    <definedName name="Project_Completion_Financial_Year" localSheetId="5">'[16]Extra look-up'!$P$3</definedName>
    <definedName name="Project_Completion_Financial_Year">'[3]Extra look-up'!$P$3</definedName>
    <definedName name="Project_Programme">#REF!</definedName>
    <definedName name="Project_type" localSheetId="5">'[16]Extra look-up'!$A$3:$A$23</definedName>
    <definedName name="Project_type" localSheetId="8">'[2]Extra look-up'!$A$3:$A$19</definedName>
    <definedName name="Project_type" localSheetId="7">'[3]Extra look-up'!$A$3:$A$20</definedName>
    <definedName name="Project_type">'Extra look-up'!$A$3:$A$23</definedName>
    <definedName name="Project_Type_2" localSheetId="5">'[16]Extra look-up'!$A$23:$A$24</definedName>
    <definedName name="Project_Type_2">'[3]Extra look-up'!$A$23:$A$24</definedName>
    <definedName name="Project_typee">#REF!</definedName>
    <definedName name="Recycling_Fund_England">'Extra look-up'!$G$85:$G$90</definedName>
    <definedName name="Recycling_Fund_England_HEI">'Extra look-up'!$G$84</definedName>
    <definedName name="Recycling_Fund_Scotland">'Extra look-up'!$G$98:$G$101</definedName>
    <definedName name="Recycling_Fund_Wales">'Extra look-up'!$G$107:$G$110</definedName>
    <definedName name="Renewables">'Eligible Technologies'!$D$65:$D$67</definedName>
    <definedName name="Risk_Register">#REF!</definedName>
    <definedName name="Salix_Decarbonisation_Fund">'Extra look-up'!$G$118:$G$123</definedName>
    <definedName name="Secondary_School">'Project Compliance Tool'!$AM$20:$AM$30</definedName>
    <definedName name="SEELS_England">'Extra look-up'!$G$91:$G$95</definedName>
    <definedName name="SEELS_Schools">'Extra look-up'!$G$96:$G$97</definedName>
    <definedName name="SEELS_Scotland">'Extra look-up'!$G$102:$G$106</definedName>
    <definedName name="SEELS_Wales">'Extra look-up'!$G$111:$G$117</definedName>
    <definedName name="Site_consumption" localSheetId="5">[12]Example!$C$19</definedName>
    <definedName name="Site_consumption" localSheetId="7">[12]Example!$C$19</definedName>
    <definedName name="Site_consumption">[13]Example!$C$19</definedName>
    <definedName name="Street_lighting">#REF!</definedName>
    <definedName name="Submission_Date" localSheetId="5">'[16]Business Case'!$D$13</definedName>
    <definedName name="Submission_Date">'[3]Business Case'!$D$13</definedName>
    <definedName name="Support_Tool_Building_List">'[1]Backing Sheet - Buildings'!$Y$2:INDEX('[1]Backing Sheet - Buildings'!$Y$2:$Y$101,COUNTIF('[1]Backing Sheet - Buildings'!$Y$2:$Y$101,"?*"))</definedName>
    <definedName name="Swimming">#REF!</definedName>
    <definedName name="Swimming_pool_covers">'Eligible Technologies'!$D$68:$D$69</definedName>
    <definedName name="Time_switches">'Eligible Technologies'!$D$70</definedName>
    <definedName name="Total_Funding_Requested" localSheetId="5">'[16]Project Compliance Tool'!$N$67</definedName>
    <definedName name="Total_Funding_Requested">'[3]Project Compliance Tool'!$N$67</definedName>
    <definedName name="Traffic_lights">#REF!</definedName>
    <definedName name="Transformers" localSheetId="5">'[16]Eligible Technologies'!#REF!</definedName>
    <definedName name="Transformers" localSheetId="7">'[3]Eligible Technologies'!#REF!</definedName>
    <definedName name="Transformers">'Eligible Technologies'!#REF!</definedName>
    <definedName name="Unit_cost" localSheetId="5">[10]Dashboard!$D$27</definedName>
    <definedName name="Unit_cost" localSheetId="7">[10]Dashboard!$D$27</definedName>
    <definedName name="Unit_cost">[11]Dashboard!$D$27</definedName>
    <definedName name="Ventilation">'Eligible Technologies'!$D$71:$D$76</definedName>
    <definedName name="Voltage_reduction" localSheetId="5">'[14]Lookup Table'!#REF!</definedName>
    <definedName name="Voltage_reduction" localSheetId="7">'[14]Lookup Table'!#REF!</definedName>
    <definedName name="Voltage_reduction">'[15]Lookup Table'!#REF!</definedName>
    <definedName name="Work_types" localSheetId="5">'[16]Eligible Technologies'!$D$7:$D$15,'[16]Eligible Technologies'!$D$7:$D$15,'[16]Eligible Technologies'!$D$17:$D$76</definedName>
    <definedName name="Work_types" localSheetId="7">'[3]Eligible Technologies'!$D$7:$D$15,'[3]Eligible Technologies'!$D$7:$D$15,'[3]Eligible Technologies'!$D$17:$D$69</definedName>
    <definedName name="Work_types">'Eligible Technologies'!$D$7:$D$15,'Eligible Technologies'!$D$7:$D$15,'Eligible Technologies'!$D$17:$D$76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4" i="37" l="1"/>
  <c r="E94" i="37" s="1"/>
  <c r="D95" i="37"/>
  <c r="E95" i="37" s="1"/>
  <c r="D96" i="37"/>
  <c r="E96" i="37" s="1"/>
  <c r="I89" i="37"/>
  <c r="C63" i="37"/>
  <c r="M61" i="37"/>
  <c r="C61" i="37"/>
  <c r="M60" i="37"/>
  <c r="M59" i="37"/>
  <c r="M58" i="37"/>
  <c r="M57" i="37"/>
  <c r="M56" i="37"/>
  <c r="M55" i="37"/>
  <c r="M54" i="37"/>
  <c r="M53" i="37"/>
  <c r="C10" i="37"/>
  <c r="C8" i="37"/>
  <c r="E97" i="37" l="1"/>
  <c r="C67" i="37" s="1"/>
  <c r="AD13" i="2" l="1"/>
  <c r="AD14" i="2"/>
  <c r="AD15" i="2"/>
  <c r="AD16" i="2"/>
  <c r="AD17" i="2"/>
  <c r="AD18" i="2"/>
  <c r="AD19" i="2"/>
  <c r="AD20" i="2"/>
  <c r="AD21" i="2"/>
  <c r="AD22" i="2"/>
  <c r="AD23" i="2"/>
  <c r="AD24" i="2"/>
  <c r="AD25" i="2"/>
  <c r="AD26" i="2"/>
  <c r="AD27" i="2"/>
  <c r="AD28" i="2"/>
  <c r="AD29" i="2"/>
  <c r="AD30" i="2"/>
  <c r="AD31" i="2"/>
  <c r="AD32" i="2"/>
  <c r="AD33" i="2"/>
  <c r="AD34" i="2"/>
  <c r="AD35" i="2"/>
  <c r="AD36" i="2"/>
  <c r="AD37" i="2"/>
  <c r="AD38" i="2"/>
  <c r="AD39" i="2"/>
  <c r="AD40" i="2"/>
  <c r="AD41" i="2"/>
  <c r="AD42" i="2"/>
  <c r="AD43" i="2"/>
  <c r="AD44" i="2"/>
  <c r="AD45" i="2"/>
  <c r="AD46" i="2"/>
  <c r="AD47" i="2"/>
  <c r="AD48" i="2"/>
  <c r="AD49" i="2"/>
  <c r="AD50" i="2"/>
  <c r="AD51" i="2"/>
  <c r="AD52" i="2"/>
  <c r="AD53" i="2"/>
  <c r="AD54" i="2"/>
  <c r="AD55" i="2"/>
  <c r="AD56" i="2"/>
  <c r="AD57" i="2"/>
  <c r="AD58" i="2"/>
  <c r="AD59" i="2"/>
  <c r="AD60" i="2"/>
  <c r="AD61" i="2"/>
  <c r="AD12" i="2"/>
  <c r="K17" i="35"/>
  <c r="U15" i="36"/>
  <c r="T15" i="36" s="1"/>
  <c r="U16" i="36"/>
  <c r="T16" i="36" s="1"/>
  <c r="B16" i="36" s="1"/>
  <c r="U17" i="36"/>
  <c r="T17" i="36" s="1"/>
  <c r="U18" i="36"/>
  <c r="T18" i="36" s="1"/>
  <c r="U19" i="36"/>
  <c r="U20" i="36"/>
  <c r="U21" i="36"/>
  <c r="T21" i="36" s="1"/>
  <c r="U22" i="36"/>
  <c r="T22" i="36" s="1"/>
  <c r="U23" i="36"/>
  <c r="T23" i="36" s="1"/>
  <c r="B23" i="36" s="1"/>
  <c r="U14" i="36"/>
  <c r="T14" i="36" s="1"/>
  <c r="R15" i="36"/>
  <c r="R16" i="36"/>
  <c r="R17" i="36"/>
  <c r="R18" i="36"/>
  <c r="R19" i="36"/>
  <c r="R20" i="36"/>
  <c r="R21" i="36"/>
  <c r="R22" i="36"/>
  <c r="R23" i="36"/>
  <c r="R14" i="36"/>
  <c r="K20" i="36"/>
  <c r="K21" i="36"/>
  <c r="K22" i="36"/>
  <c r="K23" i="36"/>
  <c r="J15" i="36"/>
  <c r="J16" i="36"/>
  <c r="J17" i="36"/>
  <c r="J18" i="36"/>
  <c r="J19" i="36"/>
  <c r="J20" i="36"/>
  <c r="J21" i="36"/>
  <c r="J22" i="36"/>
  <c r="J23" i="36"/>
  <c r="J14" i="36"/>
  <c r="I15" i="36"/>
  <c r="I16" i="36"/>
  <c r="I17" i="36"/>
  <c r="I18" i="36"/>
  <c r="I19" i="36"/>
  <c r="I20" i="36"/>
  <c r="I21" i="36"/>
  <c r="I22" i="36"/>
  <c r="I23" i="36"/>
  <c r="I14" i="36"/>
  <c r="H15" i="36"/>
  <c r="H16" i="36"/>
  <c r="H17" i="36"/>
  <c r="H18" i="36"/>
  <c r="H19" i="36"/>
  <c r="H20" i="36"/>
  <c r="H21" i="36"/>
  <c r="H22" i="36"/>
  <c r="H23" i="36"/>
  <c r="H14" i="36"/>
  <c r="G15" i="36"/>
  <c r="G16" i="36"/>
  <c r="G17" i="36"/>
  <c r="G18" i="36"/>
  <c r="G19" i="36"/>
  <c r="G20" i="36"/>
  <c r="G21" i="36"/>
  <c r="G22" i="36"/>
  <c r="G23" i="36"/>
  <c r="G14" i="36"/>
  <c r="E15" i="36"/>
  <c r="E16" i="36"/>
  <c r="E17" i="36"/>
  <c r="E18" i="36"/>
  <c r="E19" i="36"/>
  <c r="E20" i="36"/>
  <c r="E21" i="36"/>
  <c r="E22" i="36"/>
  <c r="E23" i="36"/>
  <c r="E14" i="36"/>
  <c r="D15" i="36"/>
  <c r="D16" i="36"/>
  <c r="D17" i="36"/>
  <c r="D18" i="36"/>
  <c r="D19" i="36"/>
  <c r="D20" i="36"/>
  <c r="D21" i="36"/>
  <c r="D22" i="36"/>
  <c r="D23" i="36"/>
  <c r="D14" i="36"/>
  <c r="C15" i="36"/>
  <c r="C16" i="36"/>
  <c r="C17" i="36"/>
  <c r="C18" i="36"/>
  <c r="C19" i="36"/>
  <c r="C20" i="36"/>
  <c r="C21" i="36"/>
  <c r="C22" i="36"/>
  <c r="C23" i="36"/>
  <c r="C14" i="36"/>
  <c r="Q7" i="36"/>
  <c r="P7" i="36"/>
  <c r="O7" i="36" a="1"/>
  <c r="O7" i="36" s="1"/>
  <c r="N7" i="36" a="1"/>
  <c r="N7" i="36" s="1"/>
  <c r="L7" i="36" a="1"/>
  <c r="L7" i="36" s="1"/>
  <c r="K7" i="36" a="1"/>
  <c r="K7" i="36" s="1"/>
  <c r="J7" i="36" a="1"/>
  <c r="J7" i="36" s="1"/>
  <c r="H7" i="36"/>
  <c r="G7" i="36"/>
  <c r="F7" i="36"/>
  <c r="E7" i="36"/>
  <c r="D7" i="36"/>
  <c r="C7" i="36"/>
  <c r="B7" i="36"/>
  <c r="T20" i="36"/>
  <c r="B20" i="36" s="1"/>
  <c r="T19" i="36"/>
  <c r="B19" i="36" s="1"/>
  <c r="I7" i="36"/>
  <c r="AH101" i="2"/>
  <c r="AH102" i="2"/>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B18" i="36" l="1"/>
  <c r="R24" i="36"/>
  <c r="B21" i="36"/>
  <c r="B14" i="36"/>
  <c r="B22" i="36"/>
  <c r="B17" i="36"/>
  <c r="B15" i="36"/>
  <c r="A7" i="23"/>
  <c r="W14" i="2"/>
  <c r="AC14" i="2" l="1"/>
  <c r="M16" i="36"/>
  <c r="C11" i="26"/>
  <c r="G80" i="11"/>
  <c r="G15" i="11" l="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H47" i="11" s="1"/>
  <c r="G48" i="11"/>
  <c r="G49" i="11"/>
  <c r="G50" i="11"/>
  <c r="G51" i="11"/>
  <c r="G52" i="11"/>
  <c r="G53" i="11"/>
  <c r="G54" i="11"/>
  <c r="G55" i="11"/>
  <c r="E15" i="11"/>
  <c r="F15" i="11" s="1"/>
  <c r="E16" i="11"/>
  <c r="F16" i="11" s="1"/>
  <c r="E17" i="11"/>
  <c r="F17" i="11" s="1"/>
  <c r="Z23" i="2" s="1"/>
  <c r="E18" i="11"/>
  <c r="F18" i="11" s="1"/>
  <c r="E19" i="11"/>
  <c r="F19" i="11" s="1"/>
  <c r="Z25" i="2" s="1"/>
  <c r="E20" i="11"/>
  <c r="F20" i="11" s="1"/>
  <c r="E21" i="11"/>
  <c r="F21" i="11" s="1"/>
  <c r="E22" i="11"/>
  <c r="F22" i="11" s="1"/>
  <c r="E23" i="11"/>
  <c r="F23" i="11" s="1"/>
  <c r="E24" i="11"/>
  <c r="F24" i="11" s="1"/>
  <c r="E25" i="11"/>
  <c r="F25" i="11" s="1"/>
  <c r="Z31" i="2" s="1"/>
  <c r="E26" i="11"/>
  <c r="F26" i="11" s="1"/>
  <c r="E27" i="11"/>
  <c r="F27" i="11" s="1"/>
  <c r="Z33" i="2" s="1"/>
  <c r="E28" i="11"/>
  <c r="F28" i="11" s="1"/>
  <c r="E29" i="11"/>
  <c r="F29" i="11" s="1"/>
  <c r="Z35" i="2" s="1"/>
  <c r="E30" i="11"/>
  <c r="F30" i="11" s="1"/>
  <c r="E31" i="11"/>
  <c r="F31" i="11" s="1"/>
  <c r="H31" i="11" s="1"/>
  <c r="E32" i="11"/>
  <c r="F32" i="11" s="1"/>
  <c r="E33" i="11"/>
  <c r="F33" i="11" s="1"/>
  <c r="Z39" i="2" s="1"/>
  <c r="E34" i="11"/>
  <c r="F34" i="11" s="1"/>
  <c r="E35" i="11"/>
  <c r="F35" i="11" s="1"/>
  <c r="Z41" i="2" s="1"/>
  <c r="E36" i="11"/>
  <c r="F36" i="11" s="1"/>
  <c r="E37" i="11"/>
  <c r="F37" i="11" s="1"/>
  <c r="Z43" i="2" s="1"/>
  <c r="E38" i="11"/>
  <c r="F38" i="11" s="1"/>
  <c r="E39" i="11"/>
  <c r="F39" i="11" s="1"/>
  <c r="E40" i="11"/>
  <c r="F40" i="11" s="1"/>
  <c r="E41" i="11"/>
  <c r="F41" i="11" s="1"/>
  <c r="Z47" i="2" s="1"/>
  <c r="E42" i="11"/>
  <c r="F42" i="11" s="1"/>
  <c r="E43" i="11"/>
  <c r="F43" i="11" s="1"/>
  <c r="Z49" i="2" s="1"/>
  <c r="E44" i="11"/>
  <c r="F44" i="11" s="1"/>
  <c r="E45" i="11"/>
  <c r="F45" i="11" s="1"/>
  <c r="E46" i="11"/>
  <c r="F46" i="11" s="1"/>
  <c r="E47" i="11"/>
  <c r="F47" i="11" s="1"/>
  <c r="E48" i="11"/>
  <c r="F48" i="11" s="1"/>
  <c r="E49" i="11"/>
  <c r="F49" i="11" s="1"/>
  <c r="Z55" i="2" s="1"/>
  <c r="E50" i="11"/>
  <c r="F50" i="11" s="1"/>
  <c r="E51" i="11"/>
  <c r="F51" i="11" s="1"/>
  <c r="Z57" i="2" s="1"/>
  <c r="E52" i="11"/>
  <c r="F52" i="11" s="1"/>
  <c r="E53" i="11"/>
  <c r="F53" i="11" s="1"/>
  <c r="E54" i="11"/>
  <c r="F54" i="11" s="1"/>
  <c r="E55" i="11"/>
  <c r="F55" i="11" s="1"/>
  <c r="D50" i="11"/>
  <c r="D51" i="11"/>
  <c r="D52" i="11"/>
  <c r="D53" i="11"/>
  <c r="D54" i="11"/>
  <c r="D55" i="11"/>
  <c r="D28" i="11"/>
  <c r="D29" i="11"/>
  <c r="D30" i="11"/>
  <c r="D31" i="11"/>
  <c r="D32" i="11"/>
  <c r="D33" i="11"/>
  <c r="D34" i="11"/>
  <c r="D35" i="11"/>
  <c r="D36" i="11"/>
  <c r="D37" i="11"/>
  <c r="D38" i="11"/>
  <c r="D39" i="11"/>
  <c r="D40" i="11"/>
  <c r="D41" i="11"/>
  <c r="D42" i="11"/>
  <c r="D43" i="11"/>
  <c r="D44" i="11"/>
  <c r="D45" i="11"/>
  <c r="D46" i="11"/>
  <c r="D47" i="11"/>
  <c r="D48" i="11"/>
  <c r="D49" i="11"/>
  <c r="D15" i="11"/>
  <c r="D16" i="11"/>
  <c r="D17" i="11"/>
  <c r="D18" i="11"/>
  <c r="D19" i="11"/>
  <c r="D20" i="11"/>
  <c r="D21" i="11"/>
  <c r="D22" i="11"/>
  <c r="D23" i="11"/>
  <c r="D24" i="11"/>
  <c r="D25" i="11"/>
  <c r="D26" i="11"/>
  <c r="D27" i="11"/>
  <c r="W21" i="2"/>
  <c r="W22" i="2"/>
  <c r="AC22" i="2" s="1"/>
  <c r="W23" i="2"/>
  <c r="AC23" i="2" s="1"/>
  <c r="W24" i="2"/>
  <c r="AC24" i="2" s="1"/>
  <c r="W25" i="2"/>
  <c r="AC25" i="2" s="1"/>
  <c r="W26" i="2"/>
  <c r="AC26" i="2" s="1"/>
  <c r="W27" i="2"/>
  <c r="AC27" i="2" s="1"/>
  <c r="W28" i="2"/>
  <c r="AC28" i="2" s="1"/>
  <c r="W29" i="2"/>
  <c r="AC29" i="2" s="1"/>
  <c r="W30" i="2"/>
  <c r="AC30" i="2" s="1"/>
  <c r="W31" i="2"/>
  <c r="AC31" i="2" s="1"/>
  <c r="W32" i="2"/>
  <c r="AC32" i="2" s="1"/>
  <c r="W33" i="2"/>
  <c r="AC33" i="2" s="1"/>
  <c r="W34" i="2"/>
  <c r="AC34" i="2" s="1"/>
  <c r="W35" i="2"/>
  <c r="AC35" i="2" s="1"/>
  <c r="W36" i="2"/>
  <c r="AC36" i="2" s="1"/>
  <c r="W37" i="2"/>
  <c r="AC37" i="2" s="1"/>
  <c r="W38" i="2"/>
  <c r="AC38" i="2" s="1"/>
  <c r="W39" i="2"/>
  <c r="AC39" i="2" s="1"/>
  <c r="W40" i="2"/>
  <c r="AC40" i="2" s="1"/>
  <c r="W41" i="2"/>
  <c r="AC41" i="2" s="1"/>
  <c r="W42" i="2"/>
  <c r="AC42" i="2" s="1"/>
  <c r="W43" i="2"/>
  <c r="AC43" i="2" s="1"/>
  <c r="W44" i="2"/>
  <c r="AC44" i="2" s="1"/>
  <c r="W45" i="2"/>
  <c r="AC45" i="2" s="1"/>
  <c r="W46" i="2"/>
  <c r="AC46" i="2" s="1"/>
  <c r="W47" i="2"/>
  <c r="AC47" i="2" s="1"/>
  <c r="W48" i="2"/>
  <c r="AC48" i="2" s="1"/>
  <c r="W49" i="2"/>
  <c r="AC49" i="2" s="1"/>
  <c r="W50" i="2"/>
  <c r="AC50" i="2" s="1"/>
  <c r="W51" i="2"/>
  <c r="AC51" i="2" s="1"/>
  <c r="W52" i="2"/>
  <c r="AC52" i="2" s="1"/>
  <c r="W53" i="2"/>
  <c r="AC53" i="2" s="1"/>
  <c r="W54" i="2"/>
  <c r="AC54" i="2" s="1"/>
  <c r="W55" i="2"/>
  <c r="AC55" i="2" s="1"/>
  <c r="W56" i="2"/>
  <c r="AC56" i="2" s="1"/>
  <c r="W57" i="2"/>
  <c r="AC57" i="2" s="1"/>
  <c r="W58" i="2"/>
  <c r="AC58" i="2" s="1"/>
  <c r="W59" i="2"/>
  <c r="AC59" i="2" s="1"/>
  <c r="W60" i="2"/>
  <c r="AC60" i="2" s="1"/>
  <c r="W61" i="2"/>
  <c r="AC61" i="2" s="1"/>
  <c r="M21" i="2"/>
  <c r="P21" i="2" s="1"/>
  <c r="M22" i="2"/>
  <c r="P22" i="2" s="1"/>
  <c r="Q22" i="2" s="1"/>
  <c r="X22" i="2" s="1"/>
  <c r="G22" i="2" s="1"/>
  <c r="M23" i="2"/>
  <c r="P23" i="2" s="1"/>
  <c r="Q23" i="2" s="1"/>
  <c r="X23" i="2" s="1"/>
  <c r="G23" i="2" s="1"/>
  <c r="M24" i="2"/>
  <c r="M25" i="2"/>
  <c r="M26" i="2"/>
  <c r="M27" i="2"/>
  <c r="N27" i="2" s="1"/>
  <c r="M28" i="2"/>
  <c r="N28" i="2" s="1"/>
  <c r="M29" i="2"/>
  <c r="P29" i="2" s="1"/>
  <c r="Q29" i="2" s="1"/>
  <c r="X29" i="2" s="1"/>
  <c r="G29" i="2" s="1"/>
  <c r="M30" i="2"/>
  <c r="P30" i="2" s="1"/>
  <c r="Q30" i="2" s="1"/>
  <c r="X30" i="2" s="1"/>
  <c r="G30" i="2" s="1"/>
  <c r="M31" i="2"/>
  <c r="P31" i="2" s="1"/>
  <c r="Q31" i="2" s="1"/>
  <c r="X31" i="2" s="1"/>
  <c r="G31" i="2" s="1"/>
  <c r="M32" i="2"/>
  <c r="M33" i="2"/>
  <c r="M34" i="2"/>
  <c r="M35" i="2"/>
  <c r="M36" i="2"/>
  <c r="N36" i="2" s="1"/>
  <c r="M37" i="2"/>
  <c r="P37" i="2" s="1"/>
  <c r="Q37" i="2" s="1"/>
  <c r="X37" i="2" s="1"/>
  <c r="G37" i="2" s="1"/>
  <c r="M38" i="2"/>
  <c r="P38" i="2" s="1"/>
  <c r="Q38" i="2" s="1"/>
  <c r="X38" i="2" s="1"/>
  <c r="G38" i="2" s="1"/>
  <c r="M39" i="2"/>
  <c r="P39" i="2" s="1"/>
  <c r="Q39" i="2" s="1"/>
  <c r="X39" i="2" s="1"/>
  <c r="G39" i="2" s="1"/>
  <c r="M40" i="2"/>
  <c r="M41" i="2"/>
  <c r="M42" i="2"/>
  <c r="M43" i="2"/>
  <c r="M44" i="2"/>
  <c r="N44" i="2" s="1"/>
  <c r="M45" i="2"/>
  <c r="P45" i="2" s="1"/>
  <c r="Q45" i="2" s="1"/>
  <c r="X45" i="2" s="1"/>
  <c r="G45" i="2" s="1"/>
  <c r="M46" i="2"/>
  <c r="P46" i="2" s="1"/>
  <c r="Q46" i="2" s="1"/>
  <c r="X46" i="2" s="1"/>
  <c r="G46" i="2" s="1"/>
  <c r="M47" i="2"/>
  <c r="P47" i="2" s="1"/>
  <c r="Q47" i="2" s="1"/>
  <c r="X47" i="2" s="1"/>
  <c r="G47" i="2" s="1"/>
  <c r="M48" i="2"/>
  <c r="V48" i="2" s="1"/>
  <c r="Y48" i="2" s="1"/>
  <c r="M49" i="2"/>
  <c r="M50" i="2"/>
  <c r="M51" i="2"/>
  <c r="M52" i="2"/>
  <c r="N52" i="2" s="1"/>
  <c r="M53" i="2"/>
  <c r="P53" i="2" s="1"/>
  <c r="Q53" i="2" s="1"/>
  <c r="X53" i="2" s="1"/>
  <c r="G53" i="2" s="1"/>
  <c r="M54" i="2"/>
  <c r="P54" i="2" s="1"/>
  <c r="Q54" i="2" s="1"/>
  <c r="X54" i="2" s="1"/>
  <c r="G54" i="2" s="1"/>
  <c r="M55" i="2"/>
  <c r="P55" i="2" s="1"/>
  <c r="Q55" i="2" s="1"/>
  <c r="X55" i="2" s="1"/>
  <c r="G55" i="2" s="1"/>
  <c r="M56" i="2"/>
  <c r="V56" i="2" s="1"/>
  <c r="Y56" i="2" s="1"/>
  <c r="M57" i="2"/>
  <c r="M58" i="2"/>
  <c r="M59" i="2"/>
  <c r="M60" i="2"/>
  <c r="N60" i="2" s="1"/>
  <c r="M61" i="2"/>
  <c r="P61" i="2" s="1"/>
  <c r="Q61" i="2" s="1"/>
  <c r="X61" i="2" s="1"/>
  <c r="G61" i="2" s="1"/>
  <c r="W12" i="2"/>
  <c r="AO101" i="2"/>
  <c r="AO102" i="2"/>
  <c r="AO103" i="2"/>
  <c r="AO104" i="2"/>
  <c r="AO105" i="2"/>
  <c r="AO106" i="2"/>
  <c r="AO107" i="2"/>
  <c r="AO108" i="2"/>
  <c r="AO109" i="2"/>
  <c r="AO110" i="2"/>
  <c r="AO111" i="2"/>
  <c r="AO112" i="2"/>
  <c r="AO113" i="2"/>
  <c r="AO114" i="2"/>
  <c r="AO115" i="2"/>
  <c r="AO116" i="2"/>
  <c r="AO117" i="2"/>
  <c r="AO118" i="2"/>
  <c r="AO119" i="2"/>
  <c r="AO120" i="2"/>
  <c r="AO121" i="2"/>
  <c r="AO122" i="2"/>
  <c r="AO123" i="2"/>
  <c r="AO124" i="2"/>
  <c r="AO125" i="2"/>
  <c r="AO126" i="2"/>
  <c r="AO127" i="2"/>
  <c r="AO128" i="2"/>
  <c r="AO129" i="2"/>
  <c r="AO130" i="2"/>
  <c r="AO131" i="2"/>
  <c r="AO132" i="2"/>
  <c r="AO133" i="2"/>
  <c r="AO134" i="2"/>
  <c r="AO135" i="2"/>
  <c r="AO136" i="2"/>
  <c r="AO137" i="2"/>
  <c r="AO138" i="2"/>
  <c r="L9" i="2"/>
  <c r="O65" i="2" s="1"/>
  <c r="H55" i="11"/>
  <c r="H39" i="11" l="1"/>
  <c r="AA45" i="2" s="1"/>
  <c r="H15" i="11"/>
  <c r="AA21" i="2" s="1"/>
  <c r="Q21" i="2"/>
  <c r="X21" i="2" s="1"/>
  <c r="N23" i="36"/>
  <c r="AC21" i="2"/>
  <c r="M23" i="36"/>
  <c r="AC12" i="2"/>
  <c r="M14" i="36"/>
  <c r="H23" i="11"/>
  <c r="AA29" i="2" s="1"/>
  <c r="I55" i="11"/>
  <c r="I47" i="11"/>
  <c r="AA37" i="2"/>
  <c r="V59" i="2"/>
  <c r="Y59" i="2" s="1"/>
  <c r="V51" i="2"/>
  <c r="Y51" i="2" s="1"/>
  <c r="V43" i="2"/>
  <c r="Y43" i="2" s="1"/>
  <c r="V50" i="2"/>
  <c r="Y50" i="2" s="1"/>
  <c r="V57" i="2"/>
  <c r="Y57" i="2" s="1"/>
  <c r="V49" i="2"/>
  <c r="Y49" i="2" s="1"/>
  <c r="R32" i="2"/>
  <c r="S32" i="2" s="1"/>
  <c r="T32" i="2" s="1"/>
  <c r="U32" i="2" s="1"/>
  <c r="R38" i="2"/>
  <c r="S38" i="2" s="1"/>
  <c r="T38" i="2" s="1"/>
  <c r="U38" i="2" s="1"/>
  <c r="R22" i="2"/>
  <c r="S22" i="2" s="1"/>
  <c r="T22" i="2" s="1"/>
  <c r="U22" i="2" s="1"/>
  <c r="R30" i="2"/>
  <c r="S30" i="2" s="1"/>
  <c r="T30" i="2" s="1"/>
  <c r="U30" i="2" s="1"/>
  <c r="R52" i="2"/>
  <c r="S52" i="2" s="1"/>
  <c r="T52" i="2" s="1"/>
  <c r="U52" i="2" s="1"/>
  <c r="R25" i="2"/>
  <c r="S25" i="2" s="1"/>
  <c r="T25" i="2" s="1"/>
  <c r="U25" i="2" s="1"/>
  <c r="R60" i="2"/>
  <c r="S60" i="2" s="1"/>
  <c r="T60" i="2" s="1"/>
  <c r="U60" i="2" s="1"/>
  <c r="R21" i="2"/>
  <c r="S21" i="2" s="1"/>
  <c r="R40" i="2"/>
  <c r="S40" i="2" s="1"/>
  <c r="T40" i="2" s="1"/>
  <c r="U40" i="2" s="1"/>
  <c r="R28" i="2"/>
  <c r="S28" i="2" s="1"/>
  <c r="T28" i="2" s="1"/>
  <c r="U28" i="2" s="1"/>
  <c r="R27" i="2"/>
  <c r="S27" i="2" s="1"/>
  <c r="T27" i="2" s="1"/>
  <c r="U27" i="2" s="1"/>
  <c r="R29" i="2"/>
  <c r="S29" i="2" s="1"/>
  <c r="T29" i="2" s="1"/>
  <c r="U29" i="2" s="1"/>
  <c r="R34" i="2"/>
  <c r="S34" i="2" s="1"/>
  <c r="T34" i="2" s="1"/>
  <c r="U34" i="2" s="1"/>
  <c r="R31" i="2"/>
  <c r="S31" i="2" s="1"/>
  <c r="T31" i="2" s="1"/>
  <c r="U31" i="2" s="1"/>
  <c r="R41" i="2"/>
  <c r="S41" i="2" s="1"/>
  <c r="T41" i="2" s="1"/>
  <c r="U41" i="2" s="1"/>
  <c r="R58" i="2"/>
  <c r="S58" i="2" s="1"/>
  <c r="T58" i="2" s="1"/>
  <c r="U58" i="2" s="1"/>
  <c r="R55" i="2"/>
  <c r="S55" i="2" s="1"/>
  <c r="T55" i="2" s="1"/>
  <c r="U55" i="2" s="1"/>
  <c r="R43" i="2"/>
  <c r="S43" i="2" s="1"/>
  <c r="T43" i="2" s="1"/>
  <c r="U43" i="2" s="1"/>
  <c r="R35" i="2"/>
  <c r="S35" i="2" s="1"/>
  <c r="T35" i="2" s="1"/>
  <c r="U35" i="2" s="1"/>
  <c r="R54" i="2"/>
  <c r="S54" i="2" s="1"/>
  <c r="T54" i="2" s="1"/>
  <c r="U54" i="2" s="1"/>
  <c r="R50" i="2"/>
  <c r="S50" i="2" s="1"/>
  <c r="T50" i="2" s="1"/>
  <c r="U50" i="2" s="1"/>
  <c r="R46" i="2"/>
  <c r="S46" i="2" s="1"/>
  <c r="T46" i="2" s="1"/>
  <c r="U46" i="2" s="1"/>
  <c r="R33" i="2"/>
  <c r="S33" i="2" s="1"/>
  <c r="T33" i="2" s="1"/>
  <c r="U33" i="2" s="1"/>
  <c r="R24" i="2"/>
  <c r="S24" i="2" s="1"/>
  <c r="T24" i="2" s="1"/>
  <c r="U24" i="2" s="1"/>
  <c r="R37" i="2"/>
  <c r="S37" i="2" s="1"/>
  <c r="T37" i="2" s="1"/>
  <c r="U37" i="2" s="1"/>
  <c r="R48" i="2"/>
  <c r="S48" i="2" s="1"/>
  <c r="T48" i="2" s="1"/>
  <c r="U48" i="2" s="1"/>
  <c r="R26" i="2"/>
  <c r="S26" i="2" s="1"/>
  <c r="T26" i="2" s="1"/>
  <c r="U26" i="2" s="1"/>
  <c r="R47" i="2"/>
  <c r="S47" i="2" s="1"/>
  <c r="T47" i="2" s="1"/>
  <c r="U47" i="2" s="1"/>
  <c r="R57" i="2"/>
  <c r="S57" i="2" s="1"/>
  <c r="T57" i="2" s="1"/>
  <c r="U57" i="2" s="1"/>
  <c r="R53" i="2"/>
  <c r="S53" i="2" s="1"/>
  <c r="T53" i="2" s="1"/>
  <c r="U53" i="2" s="1"/>
  <c r="R51" i="2"/>
  <c r="S51" i="2" s="1"/>
  <c r="T51" i="2" s="1"/>
  <c r="U51" i="2" s="1"/>
  <c r="R56" i="2"/>
  <c r="S56" i="2" s="1"/>
  <c r="T56" i="2" s="1"/>
  <c r="U56" i="2" s="1"/>
  <c r="R36" i="2"/>
  <c r="S36" i="2" s="1"/>
  <c r="T36" i="2" s="1"/>
  <c r="U36" i="2" s="1"/>
  <c r="R44" i="2"/>
  <c r="S44" i="2" s="1"/>
  <c r="T44" i="2" s="1"/>
  <c r="U44" i="2" s="1"/>
  <c r="R39" i="2"/>
  <c r="S39" i="2" s="1"/>
  <c r="T39" i="2" s="1"/>
  <c r="U39" i="2" s="1"/>
  <c r="R42" i="2"/>
  <c r="S42" i="2" s="1"/>
  <c r="T42" i="2" s="1"/>
  <c r="U42" i="2" s="1"/>
  <c r="R49" i="2"/>
  <c r="S49" i="2" s="1"/>
  <c r="T49" i="2" s="1"/>
  <c r="U49" i="2" s="1"/>
  <c r="R59" i="2"/>
  <c r="S59" i="2" s="1"/>
  <c r="T59" i="2" s="1"/>
  <c r="U59" i="2" s="1"/>
  <c r="R23" i="2"/>
  <c r="S23" i="2" s="1"/>
  <c r="T23" i="2" s="1"/>
  <c r="U23" i="2" s="1"/>
  <c r="R45" i="2"/>
  <c r="S45" i="2" s="1"/>
  <c r="T45" i="2" s="1"/>
  <c r="U45" i="2" s="1"/>
  <c r="R61" i="2"/>
  <c r="S61" i="2" s="1"/>
  <c r="T61" i="2" s="1"/>
  <c r="U61" i="2" s="1"/>
  <c r="R12" i="2"/>
  <c r="N43" i="2"/>
  <c r="P44" i="2"/>
  <c r="Q44" i="2" s="1"/>
  <c r="X44" i="2" s="1"/>
  <c r="G44" i="2" s="1"/>
  <c r="Z50" i="2"/>
  <c r="P60" i="2"/>
  <c r="Q60" i="2" s="1"/>
  <c r="P52" i="2"/>
  <c r="Q52" i="2" s="1"/>
  <c r="X52" i="2" s="1"/>
  <c r="G52" i="2" s="1"/>
  <c r="Z42" i="2"/>
  <c r="N59" i="2"/>
  <c r="P36" i="2"/>
  <c r="Q36" i="2" s="1"/>
  <c r="X36" i="2" s="1"/>
  <c r="G36" i="2" s="1"/>
  <c r="V55" i="2"/>
  <c r="Z34" i="2"/>
  <c r="N51" i="2"/>
  <c r="P28" i="2"/>
  <c r="Q28" i="2" s="1"/>
  <c r="X28" i="2" s="1"/>
  <c r="G28" i="2" s="1"/>
  <c r="V47" i="2"/>
  <c r="AB56" i="2"/>
  <c r="AB48" i="2"/>
  <c r="Z59" i="2"/>
  <c r="Z27" i="2"/>
  <c r="Z58" i="2"/>
  <c r="Z26" i="2"/>
  <c r="N35" i="2"/>
  <c r="Z51" i="2"/>
  <c r="Z61" i="2"/>
  <c r="Z53" i="2"/>
  <c r="Z45" i="2"/>
  <c r="Z37" i="2"/>
  <c r="Z29" i="2"/>
  <c r="Z21" i="2"/>
  <c r="Z60" i="2"/>
  <c r="Z52" i="2"/>
  <c r="Z44" i="2"/>
  <c r="Z36" i="2"/>
  <c r="Z28" i="2"/>
  <c r="Z56" i="2"/>
  <c r="Z48" i="2"/>
  <c r="Z40" i="2"/>
  <c r="Z32" i="2"/>
  <c r="Z24" i="2"/>
  <c r="Z54" i="2"/>
  <c r="Z46" i="2"/>
  <c r="Z38" i="2"/>
  <c r="Z30" i="2"/>
  <c r="Z22" i="2"/>
  <c r="AA61" i="2"/>
  <c r="AA53" i="2"/>
  <c r="I31" i="11"/>
  <c r="V37" i="2"/>
  <c r="AB37" i="2" s="1"/>
  <c r="N58" i="2"/>
  <c r="N50" i="2"/>
  <c r="N42" i="2"/>
  <c r="N34" i="2"/>
  <c r="N26" i="2"/>
  <c r="P59" i="2"/>
  <c r="Q59" i="2" s="1"/>
  <c r="X59" i="2" s="1"/>
  <c r="G59" i="2" s="1"/>
  <c r="P51" i="2"/>
  <c r="Q51" i="2" s="1"/>
  <c r="X51" i="2" s="1"/>
  <c r="G51" i="2" s="1"/>
  <c r="P43" i="2"/>
  <c r="Q43" i="2" s="1"/>
  <c r="X43" i="2" s="1"/>
  <c r="G43" i="2" s="1"/>
  <c r="P35" i="2"/>
  <c r="Q35" i="2" s="1"/>
  <c r="X35" i="2" s="1"/>
  <c r="G35" i="2" s="1"/>
  <c r="P27" i="2"/>
  <c r="Q27" i="2" s="1"/>
  <c r="X27" i="2" s="1"/>
  <c r="G27" i="2" s="1"/>
  <c r="V54" i="2"/>
  <c r="V46" i="2"/>
  <c r="N57" i="2"/>
  <c r="N49" i="2"/>
  <c r="N41" i="2"/>
  <c r="N33" i="2"/>
  <c r="N25" i="2"/>
  <c r="P58" i="2"/>
  <c r="Q58" i="2" s="1"/>
  <c r="X58" i="2" s="1"/>
  <c r="G58" i="2" s="1"/>
  <c r="P50" i="2"/>
  <c r="Q50" i="2" s="1"/>
  <c r="X50" i="2" s="1"/>
  <c r="G50" i="2" s="1"/>
  <c r="P42" i="2"/>
  <c r="Q42" i="2" s="1"/>
  <c r="X42" i="2" s="1"/>
  <c r="G42" i="2" s="1"/>
  <c r="P34" i="2"/>
  <c r="Q34" i="2" s="1"/>
  <c r="X34" i="2" s="1"/>
  <c r="G34" i="2" s="1"/>
  <c r="P26" i="2"/>
  <c r="Q26" i="2" s="1"/>
  <c r="X26" i="2" s="1"/>
  <c r="G26" i="2" s="1"/>
  <c r="V53" i="2"/>
  <c r="V45" i="2"/>
  <c r="N56" i="2"/>
  <c r="N48" i="2"/>
  <c r="N40" i="2"/>
  <c r="N32" i="2"/>
  <c r="N24" i="2"/>
  <c r="P57" i="2"/>
  <c r="Q57" i="2" s="1"/>
  <c r="X57" i="2" s="1"/>
  <c r="G57" i="2" s="1"/>
  <c r="P49" i="2"/>
  <c r="Q49" i="2" s="1"/>
  <c r="X49" i="2" s="1"/>
  <c r="G49" i="2" s="1"/>
  <c r="P41" i="2"/>
  <c r="Q41" i="2" s="1"/>
  <c r="X41" i="2" s="1"/>
  <c r="G41" i="2" s="1"/>
  <c r="P33" i="2"/>
  <c r="Q33" i="2" s="1"/>
  <c r="X33" i="2" s="1"/>
  <c r="G33" i="2" s="1"/>
  <c r="P25" i="2"/>
  <c r="Q25" i="2" s="1"/>
  <c r="X25" i="2" s="1"/>
  <c r="V61" i="2"/>
  <c r="V52" i="2"/>
  <c r="V44" i="2"/>
  <c r="N55" i="2"/>
  <c r="N47" i="2"/>
  <c r="N39" i="2"/>
  <c r="N31" i="2"/>
  <c r="N23" i="2"/>
  <c r="P56" i="2"/>
  <c r="Q56" i="2" s="1"/>
  <c r="X56" i="2" s="1"/>
  <c r="G56" i="2" s="1"/>
  <c r="P48" i="2"/>
  <c r="Q48" i="2" s="1"/>
  <c r="X48" i="2" s="1"/>
  <c r="G48" i="2" s="1"/>
  <c r="P40" i="2"/>
  <c r="Q40" i="2" s="1"/>
  <c r="X40" i="2" s="1"/>
  <c r="G40" i="2" s="1"/>
  <c r="P32" i="2"/>
  <c r="Q32" i="2" s="1"/>
  <c r="X32" i="2" s="1"/>
  <c r="G32" i="2" s="1"/>
  <c r="P24" i="2"/>
  <c r="Q24" i="2" s="1"/>
  <c r="X24" i="2" s="1"/>
  <c r="V60" i="2"/>
  <c r="N54" i="2"/>
  <c r="N46" i="2"/>
  <c r="N38" i="2"/>
  <c r="N30" i="2"/>
  <c r="N22" i="2"/>
  <c r="N61" i="2"/>
  <c r="N53" i="2"/>
  <c r="N45" i="2"/>
  <c r="N37" i="2"/>
  <c r="N29" i="2"/>
  <c r="N21" i="2"/>
  <c r="L23" i="36" s="1"/>
  <c r="H38" i="11"/>
  <c r="H29" i="11"/>
  <c r="H50" i="11"/>
  <c r="H16" i="11"/>
  <c r="H49" i="11"/>
  <c r="H30" i="11"/>
  <c r="H21" i="11"/>
  <c r="H42" i="11"/>
  <c r="H41" i="11"/>
  <c r="H46" i="11"/>
  <c r="H20" i="11"/>
  <c r="H37" i="11"/>
  <c r="H22" i="11"/>
  <c r="H34" i="11"/>
  <c r="H51" i="11"/>
  <c r="H33" i="11"/>
  <c r="H25" i="11"/>
  <c r="H52" i="11"/>
  <c r="H26" i="11"/>
  <c r="H43" i="11"/>
  <c r="H44" i="11"/>
  <c r="H18" i="11"/>
  <c r="H48" i="11"/>
  <c r="H35" i="11"/>
  <c r="H17" i="11"/>
  <c r="H24" i="11"/>
  <c r="H36" i="11"/>
  <c r="H53" i="11"/>
  <c r="H40" i="11"/>
  <c r="H27" i="11"/>
  <c r="H28" i="11"/>
  <c r="H45" i="11"/>
  <c r="H32" i="11"/>
  <c r="H19" i="11"/>
  <c r="H54" i="11"/>
  <c r="I15" i="11" l="1"/>
  <c r="I39" i="11"/>
  <c r="Q23" i="36"/>
  <c r="T21" i="2"/>
  <c r="U21" i="2" s="1"/>
  <c r="O23" i="36"/>
  <c r="V29" i="2"/>
  <c r="AB29" i="2" s="1"/>
  <c r="I23" i="11"/>
  <c r="AB50" i="2"/>
  <c r="AB57" i="2"/>
  <c r="AB43" i="2"/>
  <c r="AB49" i="2"/>
  <c r="AB59" i="2"/>
  <c r="AA25" i="2"/>
  <c r="I32" i="11"/>
  <c r="I45" i="11"/>
  <c r="AA34" i="2"/>
  <c r="I54" i="11"/>
  <c r="AA33" i="2"/>
  <c r="I40" i="11"/>
  <c r="I53" i="11"/>
  <c r="I36" i="11"/>
  <c r="AA30" i="2"/>
  <c r="AA23" i="2"/>
  <c r="AA41" i="2"/>
  <c r="I48" i="11"/>
  <c r="AA24" i="2"/>
  <c r="I44" i="11"/>
  <c r="I43" i="11"/>
  <c r="AA32" i="2"/>
  <c r="I52" i="11"/>
  <c r="AA31" i="2"/>
  <c r="AA39" i="2"/>
  <c r="I51" i="11"/>
  <c r="AA40" i="2"/>
  <c r="AA28" i="2"/>
  <c r="I37" i="11"/>
  <c r="AA26" i="2"/>
  <c r="I46" i="11"/>
  <c r="I42" i="11"/>
  <c r="V27" i="2"/>
  <c r="Y27" i="2" s="1"/>
  <c r="AA36" i="2"/>
  <c r="I16" i="11"/>
  <c r="I50" i="11"/>
  <c r="V35" i="2"/>
  <c r="Y35" i="2" s="1"/>
  <c r="I38" i="11"/>
  <c r="AB51" i="2"/>
  <c r="V28" i="2"/>
  <c r="AB28" i="2" s="1"/>
  <c r="I30" i="11"/>
  <c r="V36" i="2"/>
  <c r="AB36" i="2" s="1"/>
  <c r="AA52" i="2"/>
  <c r="V42" i="2"/>
  <c r="AB42" i="2" s="1"/>
  <c r="I22" i="11"/>
  <c r="AA60" i="2"/>
  <c r="AA44" i="2"/>
  <c r="AA42" i="2"/>
  <c r="I28" i="11"/>
  <c r="V26" i="2"/>
  <c r="AB26" i="2" s="1"/>
  <c r="I20" i="11"/>
  <c r="AA50" i="2"/>
  <c r="V34" i="2"/>
  <c r="AB34" i="2" s="1"/>
  <c r="AA58" i="2"/>
  <c r="I34" i="11"/>
  <c r="V38" i="2"/>
  <c r="AB38" i="2" s="1"/>
  <c r="AA27" i="2"/>
  <c r="I26" i="11"/>
  <c r="V41" i="2"/>
  <c r="AB41" i="2" s="1"/>
  <c r="AA59" i="2"/>
  <c r="I35" i="11"/>
  <c r="AA43" i="2"/>
  <c r="AA51" i="2"/>
  <c r="V24" i="2"/>
  <c r="AB24" i="2" s="1"/>
  <c r="I18" i="11"/>
  <c r="V32" i="2"/>
  <c r="AB32" i="2" s="1"/>
  <c r="AA54" i="2"/>
  <c r="AA22" i="2"/>
  <c r="V22" i="2"/>
  <c r="AB22" i="2" s="1"/>
  <c r="I24" i="11"/>
  <c r="I21" i="11"/>
  <c r="AA38" i="2"/>
  <c r="V40" i="2"/>
  <c r="AB40" i="2" s="1"/>
  <c r="AA48" i="2"/>
  <c r="AA56" i="2"/>
  <c r="V30" i="2"/>
  <c r="AB30" i="2" s="1"/>
  <c r="I29" i="11"/>
  <c r="Y44" i="2"/>
  <c r="AB44" i="2"/>
  <c r="Y54" i="2"/>
  <c r="AB54" i="2"/>
  <c r="Y52" i="2"/>
  <c r="AB52" i="2"/>
  <c r="Y60" i="2"/>
  <c r="AB60" i="2"/>
  <c r="Y61" i="2"/>
  <c r="AB61" i="2"/>
  <c r="Y45" i="2"/>
  <c r="AB45" i="2"/>
  <c r="Y53" i="2"/>
  <c r="AB53" i="2"/>
  <c r="Y46" i="2"/>
  <c r="AB46" i="2"/>
  <c r="AA46" i="2"/>
  <c r="AA35" i="2"/>
  <c r="Y47" i="2"/>
  <c r="AB47" i="2"/>
  <c r="Y55" i="2"/>
  <c r="AB55" i="2"/>
  <c r="AA57" i="2"/>
  <c r="AA49" i="2"/>
  <c r="V33" i="2"/>
  <c r="AB33" i="2" s="1"/>
  <c r="I27" i="11"/>
  <c r="V23" i="2"/>
  <c r="AB23" i="2" s="1"/>
  <c r="I17" i="11"/>
  <c r="V25" i="2"/>
  <c r="AB25" i="2" s="1"/>
  <c r="I19" i="11"/>
  <c r="V39" i="2"/>
  <c r="AB39" i="2" s="1"/>
  <c r="I49" i="11"/>
  <c r="AA55" i="2"/>
  <c r="I33" i="11"/>
  <c r="I41" i="11"/>
  <c r="AA47" i="2"/>
  <c r="V31" i="2"/>
  <c r="AB31" i="2" s="1"/>
  <c r="I25" i="11"/>
  <c r="Y37" i="2"/>
  <c r="P23" i="36" l="1"/>
  <c r="Y29" i="2"/>
  <c r="AB27" i="2"/>
  <c r="AB35" i="2"/>
  <c r="Y28" i="2"/>
  <c r="Y36" i="2"/>
  <c r="Y42" i="2"/>
  <c r="Y26" i="2"/>
  <c r="Y34" i="2"/>
  <c r="Y38" i="2"/>
  <c r="Y41" i="2"/>
  <c r="Y40" i="2"/>
  <c r="Y33" i="2"/>
  <c r="Y24" i="2"/>
  <c r="Y32" i="2"/>
  <c r="Y22" i="2"/>
  <c r="Y23" i="2"/>
  <c r="Y30" i="2"/>
  <c r="Y25" i="2"/>
  <c r="Y39" i="2"/>
  <c r="Y31" i="2"/>
  <c r="M12" i="2" l="1"/>
  <c r="K14" i="36" l="1"/>
  <c r="S12" i="2"/>
  <c r="N12" i="2"/>
  <c r="L14" i="36" s="1"/>
  <c r="J5" i="2"/>
  <c r="T12" i="2" l="1"/>
  <c r="U12" i="2" s="1"/>
  <c r="O14" i="36"/>
  <c r="W20" i="2"/>
  <c r="W19" i="2"/>
  <c r="W18" i="2"/>
  <c r="W17" i="2"/>
  <c r="W16" i="2"/>
  <c r="W15" i="2"/>
  <c r="W13" i="2"/>
  <c r="P14" i="36" l="1"/>
  <c r="AC13" i="2"/>
  <c r="M15" i="36"/>
  <c r="X7" i="36" a="1"/>
  <c r="X7" i="36" s="1"/>
  <c r="AC15" i="2"/>
  <c r="M17" i="36"/>
  <c r="AC16" i="2"/>
  <c r="M18" i="36"/>
  <c r="AC17" i="2"/>
  <c r="M19" i="36"/>
  <c r="AC18" i="2"/>
  <c r="M20" i="36"/>
  <c r="AC19" i="2"/>
  <c r="M21" i="36"/>
  <c r="AC20" i="2"/>
  <c r="M22" i="36"/>
  <c r="R14" i="2"/>
  <c r="R13" i="2"/>
  <c r="R15" i="2"/>
  <c r="R18" i="2"/>
  <c r="R19" i="2"/>
  <c r="R17" i="2"/>
  <c r="R16" i="2"/>
  <c r="R20" i="2"/>
  <c r="O5" i="2" l="1"/>
  <c r="D7" i="23" l="1"/>
  <c r="H26" i="26" l="1"/>
  <c r="F80" i="11"/>
  <c r="O4" i="2" s="1"/>
  <c r="H129" i="11" l="1"/>
  <c r="F126" i="11"/>
  <c r="D129" i="11"/>
  <c r="E126" i="11" s="1"/>
  <c r="F84" i="11"/>
  <c r="G14" i="11"/>
  <c r="E14" i="11"/>
  <c r="F14" i="11" s="1"/>
  <c r="D14" i="11"/>
  <c r="G13" i="11"/>
  <c r="E13" i="11"/>
  <c r="F13" i="11" s="1"/>
  <c r="Z19" i="2" s="1"/>
  <c r="D13" i="11"/>
  <c r="G12" i="11"/>
  <c r="E12" i="11"/>
  <c r="F12" i="11" s="1"/>
  <c r="Z18" i="2" s="1"/>
  <c r="D12" i="11"/>
  <c r="G11" i="11"/>
  <c r="E11" i="11"/>
  <c r="F11" i="11" s="1"/>
  <c r="Z17" i="2" s="1"/>
  <c r="D11" i="11"/>
  <c r="G10" i="11"/>
  <c r="E10" i="11"/>
  <c r="F10" i="11" s="1"/>
  <c r="Z16" i="2" s="1"/>
  <c r="D10" i="11"/>
  <c r="G9" i="11"/>
  <c r="E9" i="11"/>
  <c r="F9" i="11" s="1"/>
  <c r="Z15" i="2" s="1"/>
  <c r="D9" i="11"/>
  <c r="G8" i="11"/>
  <c r="E8" i="11"/>
  <c r="F8" i="11" s="1"/>
  <c r="Z14" i="2" s="1"/>
  <c r="D8" i="11"/>
  <c r="G7" i="11"/>
  <c r="E7" i="11"/>
  <c r="F7" i="11" s="1"/>
  <c r="D7" i="11"/>
  <c r="G6" i="11"/>
  <c r="E6" i="11"/>
  <c r="D6" i="11"/>
  <c r="M3" i="11"/>
  <c r="N3" i="11" s="1"/>
  <c r="R22" i="23"/>
  <c r="J22" i="23"/>
  <c r="I22" i="23"/>
  <c r="H22" i="23"/>
  <c r="G22" i="23"/>
  <c r="E22" i="23"/>
  <c r="D22" i="23"/>
  <c r="C22" i="23"/>
  <c r="U22" i="23" s="1"/>
  <c r="A22" i="23"/>
  <c r="R21" i="23"/>
  <c r="J21" i="23"/>
  <c r="I21" i="23"/>
  <c r="H21" i="23"/>
  <c r="G21" i="23"/>
  <c r="E21" i="23"/>
  <c r="D21" i="23"/>
  <c r="C21" i="23"/>
  <c r="U21" i="23" s="1"/>
  <c r="A21" i="23"/>
  <c r="R20" i="23"/>
  <c r="J20" i="23"/>
  <c r="I20" i="23"/>
  <c r="H20" i="23"/>
  <c r="G20" i="23"/>
  <c r="E20" i="23"/>
  <c r="D20" i="23"/>
  <c r="C20" i="23"/>
  <c r="U20" i="23" s="1"/>
  <c r="A20" i="23"/>
  <c r="R19" i="23"/>
  <c r="J19" i="23"/>
  <c r="I19" i="23"/>
  <c r="H19" i="23"/>
  <c r="G19" i="23"/>
  <c r="E19" i="23"/>
  <c r="D19" i="23"/>
  <c r="C19" i="23"/>
  <c r="U19" i="23" s="1"/>
  <c r="A19" i="23"/>
  <c r="R18" i="23"/>
  <c r="J18" i="23"/>
  <c r="I18" i="23"/>
  <c r="H18" i="23"/>
  <c r="G18" i="23"/>
  <c r="E18" i="23"/>
  <c r="D18" i="23"/>
  <c r="C18" i="23"/>
  <c r="U18" i="23" s="1"/>
  <c r="A18" i="23"/>
  <c r="R17" i="23"/>
  <c r="J17" i="23"/>
  <c r="I17" i="23"/>
  <c r="H17" i="23"/>
  <c r="G17" i="23"/>
  <c r="E17" i="23"/>
  <c r="D17" i="23"/>
  <c r="C17" i="23"/>
  <c r="U17" i="23" s="1"/>
  <c r="A17" i="23"/>
  <c r="R16" i="23"/>
  <c r="J16" i="23"/>
  <c r="I16" i="23"/>
  <c r="H16" i="23"/>
  <c r="G16" i="23"/>
  <c r="E16" i="23"/>
  <c r="D16" i="23"/>
  <c r="C16" i="23"/>
  <c r="U16" i="23" s="1"/>
  <c r="A16" i="23"/>
  <c r="R15" i="23"/>
  <c r="J15" i="23"/>
  <c r="I15" i="23"/>
  <c r="H15" i="23"/>
  <c r="G15" i="23"/>
  <c r="E15" i="23"/>
  <c r="D15" i="23"/>
  <c r="C15" i="23"/>
  <c r="U15" i="23" s="1"/>
  <c r="A15" i="23"/>
  <c r="R14" i="23"/>
  <c r="J14" i="23"/>
  <c r="I14" i="23"/>
  <c r="H14" i="23"/>
  <c r="G14" i="23"/>
  <c r="E14" i="23"/>
  <c r="D14" i="23"/>
  <c r="C14" i="23"/>
  <c r="U14" i="23" s="1"/>
  <c r="A14" i="23"/>
  <c r="R13" i="23"/>
  <c r="J13" i="23"/>
  <c r="I13" i="23"/>
  <c r="H13" i="23"/>
  <c r="G13" i="23"/>
  <c r="E13" i="23"/>
  <c r="D13" i="23"/>
  <c r="C13" i="23"/>
  <c r="U13" i="23" s="1"/>
  <c r="A13" i="23"/>
  <c r="F7" i="23"/>
  <c r="E7" i="23"/>
  <c r="C7" i="23"/>
  <c r="B7" i="23"/>
  <c r="G101" i="26"/>
  <c r="F92" i="26"/>
  <c r="M22" i="23"/>
  <c r="K22" i="23"/>
  <c r="M21" i="23"/>
  <c r="M20" i="2"/>
  <c r="P20" i="2" s="1"/>
  <c r="N22" i="36" s="1"/>
  <c r="Q22" i="36" s="1"/>
  <c r="M20" i="23"/>
  <c r="M19" i="2"/>
  <c r="P19" i="2" s="1"/>
  <c r="N21" i="36" s="1"/>
  <c r="Q21" i="36" s="1"/>
  <c r="M19" i="23"/>
  <c r="M18" i="2"/>
  <c r="P18" i="2" s="1"/>
  <c r="N20" i="36" s="1"/>
  <c r="Q20" i="36" s="1"/>
  <c r="M18" i="23"/>
  <c r="M17" i="2"/>
  <c r="M17" i="23"/>
  <c r="M16" i="2"/>
  <c r="M16" i="23"/>
  <c r="M15" i="2"/>
  <c r="M15" i="23"/>
  <c r="M14" i="2"/>
  <c r="M14" i="23"/>
  <c r="M13" i="2"/>
  <c r="AK12" i="2"/>
  <c r="AJ12" i="2"/>
  <c r="M13" i="23"/>
  <c r="N6" i="2"/>
  <c r="R5" i="2"/>
  <c r="R4" i="2"/>
  <c r="R3" i="2"/>
  <c r="B4" i="28"/>
  <c r="P14" i="2" l="1"/>
  <c r="N16" i="36" s="1"/>
  <c r="Q16" i="36" s="1"/>
  <c r="K16" i="36"/>
  <c r="P16" i="2"/>
  <c r="Q16" i="2" s="1"/>
  <c r="K18" i="36"/>
  <c r="P15" i="2"/>
  <c r="N17" i="36" s="1"/>
  <c r="Q17" i="36" s="1"/>
  <c r="K17" i="36"/>
  <c r="P13" i="2"/>
  <c r="N15" i="36" s="1"/>
  <c r="Q15" i="36" s="1"/>
  <c r="K15" i="36"/>
  <c r="N18" i="36"/>
  <c r="Q18" i="36" s="1"/>
  <c r="K18" i="23"/>
  <c r="K19" i="36"/>
  <c r="R7" i="36"/>
  <c r="G126" i="11"/>
  <c r="AO20" i="2" s="1"/>
  <c r="Z20" i="2"/>
  <c r="K13" i="23"/>
  <c r="P12" i="2"/>
  <c r="F6" i="11"/>
  <c r="Z12" i="2" s="1"/>
  <c r="W13" i="23"/>
  <c r="W21" i="23"/>
  <c r="W15" i="23"/>
  <c r="W14" i="23"/>
  <c r="W16" i="23"/>
  <c r="W17" i="23"/>
  <c r="V19" i="23"/>
  <c r="W20" i="23"/>
  <c r="Z13" i="2"/>
  <c r="S13" i="2"/>
  <c r="S18" i="2"/>
  <c r="O22" i="23"/>
  <c r="R23" i="23"/>
  <c r="S17" i="2"/>
  <c r="S15" i="2"/>
  <c r="W19" i="23"/>
  <c r="N19" i="23"/>
  <c r="Q19" i="23" s="1"/>
  <c r="Q18" i="2"/>
  <c r="X18" i="2" s="1"/>
  <c r="N17" i="23"/>
  <c r="Q17" i="23" s="1"/>
  <c r="N21" i="23"/>
  <c r="Q21" i="23" s="1"/>
  <c r="Q20" i="2"/>
  <c r="X20" i="2" s="1"/>
  <c r="N20" i="23"/>
  <c r="Q20" i="23" s="1"/>
  <c r="Q19" i="2"/>
  <c r="K17" i="23"/>
  <c r="V18" i="23"/>
  <c r="K21" i="23"/>
  <c r="V22" i="23"/>
  <c r="S19" i="2"/>
  <c r="S20" i="2"/>
  <c r="K14" i="23"/>
  <c r="K15" i="23"/>
  <c r="K16" i="23"/>
  <c r="V17" i="23"/>
  <c r="W18" i="23"/>
  <c r="K20" i="23"/>
  <c r="V21" i="23"/>
  <c r="W22" i="23"/>
  <c r="S14" i="2"/>
  <c r="N14" i="2"/>
  <c r="N16" i="2"/>
  <c r="N18" i="2"/>
  <c r="N20" i="2"/>
  <c r="V16" i="23"/>
  <c r="K19" i="23"/>
  <c r="V20" i="23"/>
  <c r="S16" i="2"/>
  <c r="N13" i="2"/>
  <c r="N15" i="2"/>
  <c r="N17" i="2"/>
  <c r="N19" i="2"/>
  <c r="L22" i="23"/>
  <c r="P17" i="2"/>
  <c r="N19" i="36" s="1"/>
  <c r="Q19" i="36" s="1"/>
  <c r="L13" i="23"/>
  <c r="V15" i="23"/>
  <c r="V14" i="23"/>
  <c r="V13" i="23"/>
  <c r="X7" i="23"/>
  <c r="V21" i="2"/>
  <c r="AB21" i="2" s="1"/>
  <c r="H14" i="11"/>
  <c r="H13" i="11"/>
  <c r="H12" i="11"/>
  <c r="H11" i="11"/>
  <c r="H8" i="11"/>
  <c r="H9" i="11"/>
  <c r="Q14" i="2" l="1"/>
  <c r="N15" i="23"/>
  <c r="Q15" i="23" s="1"/>
  <c r="Q15" i="2"/>
  <c r="S7" i="36"/>
  <c r="N16" i="23"/>
  <c r="Q16" i="23" s="1"/>
  <c r="Q13" i="2"/>
  <c r="N14" i="23"/>
  <c r="Q14" i="23" s="1"/>
  <c r="L14" i="23"/>
  <c r="L15" i="36"/>
  <c r="L21" i="23"/>
  <c r="L22" i="36"/>
  <c r="L17" i="23"/>
  <c r="L18" i="36"/>
  <c r="L15" i="23"/>
  <c r="L16" i="36"/>
  <c r="L16" i="23"/>
  <c r="L17" i="36"/>
  <c r="L20" i="23"/>
  <c r="L21" i="36"/>
  <c r="L19" i="23"/>
  <c r="L20" i="36"/>
  <c r="O19" i="23"/>
  <c r="O20" i="36"/>
  <c r="T19" i="2"/>
  <c r="P21" i="36" s="1"/>
  <c r="O21" i="36"/>
  <c r="O15" i="23"/>
  <c r="O16" i="36"/>
  <c r="T15" i="2"/>
  <c r="P16" i="23" s="1"/>
  <c r="O17" i="36"/>
  <c r="T20" i="2"/>
  <c r="U20" i="2" s="1"/>
  <c r="O22" i="36"/>
  <c r="T13" i="2"/>
  <c r="P15" i="36" s="1"/>
  <c r="O15" i="36"/>
  <c r="T16" i="2"/>
  <c r="P18" i="36" s="1"/>
  <c r="O18" i="36"/>
  <c r="L18" i="23"/>
  <c r="L19" i="36"/>
  <c r="T17" i="2"/>
  <c r="P19" i="36" s="1"/>
  <c r="O19" i="36"/>
  <c r="N14" i="36"/>
  <c r="K7" i="23"/>
  <c r="O7" i="23"/>
  <c r="AA14" i="2"/>
  <c r="AA17" i="2"/>
  <c r="AA15" i="2"/>
  <c r="AA20" i="2"/>
  <c r="AA18" i="2"/>
  <c r="AA19" i="2"/>
  <c r="P65" i="2"/>
  <c r="Y21" i="2"/>
  <c r="G7" i="23"/>
  <c r="H7" i="23"/>
  <c r="O18" i="23"/>
  <c r="P22" i="23"/>
  <c r="O14" i="23"/>
  <c r="T18" i="2"/>
  <c r="O16" i="23"/>
  <c r="I14" i="11"/>
  <c r="I13" i="11"/>
  <c r="V18" i="2"/>
  <c r="AB18" i="2" s="1"/>
  <c r="I11" i="11"/>
  <c r="V17" i="2"/>
  <c r="AB17" i="2" s="1"/>
  <c r="I9" i="11"/>
  <c r="I8" i="11"/>
  <c r="O21" i="23"/>
  <c r="O20" i="23"/>
  <c r="O17" i="23"/>
  <c r="T14" i="2"/>
  <c r="V14" i="2"/>
  <c r="AB14" i="2" s="1"/>
  <c r="V20" i="2"/>
  <c r="AB20" i="2" s="1"/>
  <c r="V15" i="2"/>
  <c r="AB15" i="2" s="1"/>
  <c r="I12" i="11"/>
  <c r="V19" i="2"/>
  <c r="AB19" i="2" s="1"/>
  <c r="Q7" i="23"/>
  <c r="L7" i="23"/>
  <c r="P7" i="23"/>
  <c r="J7" i="23"/>
  <c r="N7" i="23"/>
  <c r="N22" i="23"/>
  <c r="Q22" i="23" s="1"/>
  <c r="N18" i="23"/>
  <c r="Q18" i="23" s="1"/>
  <c r="Q17" i="2"/>
  <c r="R7" i="23"/>
  <c r="T21" i="23"/>
  <c r="B21" i="23" s="1"/>
  <c r="T13" i="23"/>
  <c r="B13" i="23" s="1"/>
  <c r="T14" i="23"/>
  <c r="B14" i="23" s="1"/>
  <c r="T20" i="23"/>
  <c r="B20" i="23" s="1"/>
  <c r="T16" i="23"/>
  <c r="B16" i="23" s="1"/>
  <c r="T17" i="23"/>
  <c r="B17" i="23" s="1"/>
  <c r="T19" i="23"/>
  <c r="B19" i="23" s="1"/>
  <c r="O13" i="23"/>
  <c r="P13" i="23"/>
  <c r="N13" i="23"/>
  <c r="Q12" i="2"/>
  <c r="T18" i="23"/>
  <c r="B18" i="23" s="1"/>
  <c r="T22" i="23"/>
  <c r="B22" i="23" s="1"/>
  <c r="T15" i="23"/>
  <c r="B15" i="23" s="1"/>
  <c r="H6" i="11"/>
  <c r="H10" i="11"/>
  <c r="H7" i="11"/>
  <c r="AA7" i="36" l="1" a="1"/>
  <c r="AA7" i="36" s="1"/>
  <c r="P17" i="23"/>
  <c r="U15" i="2"/>
  <c r="P17" i="36"/>
  <c r="U19" i="2"/>
  <c r="P20" i="23"/>
  <c r="P18" i="23"/>
  <c r="U16" i="2"/>
  <c r="O24" i="36"/>
  <c r="P22" i="36"/>
  <c r="U13" i="2"/>
  <c r="P14" i="23"/>
  <c r="P21" i="23"/>
  <c r="U17" i="2"/>
  <c r="N24" i="36"/>
  <c r="Q14" i="36"/>
  <c r="Q24" i="36" s="1"/>
  <c r="Q65" i="2"/>
  <c r="T7" i="36"/>
  <c r="U14" i="2"/>
  <c r="P16" i="36"/>
  <c r="U18" i="2"/>
  <c r="P20" i="36"/>
  <c r="X19" i="2"/>
  <c r="AA16" i="2"/>
  <c r="V13" i="2"/>
  <c r="AB13" i="2" s="1"/>
  <c r="Y15" i="2"/>
  <c r="Y17" i="2"/>
  <c r="Y18" i="2"/>
  <c r="Y20" i="2"/>
  <c r="Y19" i="2"/>
  <c r="Y14" i="2"/>
  <c r="I7" i="23"/>
  <c r="AA12" i="2"/>
  <c r="I6" i="11"/>
  <c r="V12" i="2"/>
  <c r="AB12" i="2" s="1"/>
  <c r="I10" i="11"/>
  <c r="V16" i="2"/>
  <c r="AB16" i="2" s="1"/>
  <c r="I7" i="11"/>
  <c r="AA13" i="2"/>
  <c r="P19" i="23"/>
  <c r="S7" i="23"/>
  <c r="T7" i="23"/>
  <c r="O23" i="23"/>
  <c r="P15" i="23"/>
  <c r="N23" i="23"/>
  <c r="Q13" i="23"/>
  <c r="Q23" i="23" s="1"/>
  <c r="AA7" i="23" s="1"/>
  <c r="X15" i="2" l="1"/>
  <c r="G15" i="2" s="1"/>
  <c r="F16" i="23" s="1"/>
  <c r="X60" i="2"/>
  <c r="G60" i="2" s="1"/>
  <c r="P24" i="36"/>
  <c r="R65" i="2"/>
  <c r="V7" i="23" s="1"/>
  <c r="U7" i="36"/>
  <c r="Y16" i="2"/>
  <c r="Y13" i="2"/>
  <c r="U7" i="23"/>
  <c r="G24" i="2"/>
  <c r="G25" i="2"/>
  <c r="G18" i="2"/>
  <c r="X17" i="2"/>
  <c r="G17" i="2" s="1"/>
  <c r="X13" i="2"/>
  <c r="G13" i="2" s="1"/>
  <c r="G20" i="2"/>
  <c r="X16" i="2"/>
  <c r="G16" i="2" s="1"/>
  <c r="X14" i="2"/>
  <c r="G14" i="2" s="1"/>
  <c r="G19" i="2"/>
  <c r="X12" i="2"/>
  <c r="G12" i="2" s="1"/>
  <c r="Y12" i="2"/>
  <c r="F79" i="11"/>
  <c r="F81" i="11" s="1"/>
  <c r="P23" i="23"/>
  <c r="F17" i="36" l="1"/>
  <c r="F18" i="23"/>
  <c r="F19" i="36"/>
  <c r="F14" i="23"/>
  <c r="F15" i="36"/>
  <c r="F20" i="23"/>
  <c r="F21" i="36"/>
  <c r="F19" i="23"/>
  <c r="F20" i="36"/>
  <c r="F14" i="36"/>
  <c r="F15" i="23"/>
  <c r="F16" i="36"/>
  <c r="S65" i="2"/>
  <c r="V7" i="36"/>
  <c r="F17" i="23"/>
  <c r="F18" i="36"/>
  <c r="F21" i="23"/>
  <c r="F22" i="36"/>
  <c r="F22" i="23"/>
  <c r="G21" i="2"/>
  <c r="F23" i="36" s="1"/>
  <c r="F13" i="23"/>
  <c r="M7" i="23" s="1"/>
  <c r="M7" i="36" l="1" a="1"/>
  <c r="M7" i="36" s="1"/>
  <c r="W7" i="36"/>
  <c r="T65" i="2"/>
  <c r="Y7" i="23" s="1"/>
  <c r="W7" i="23"/>
  <c r="U65" i="2" l="1"/>
  <c r="Z7" i="36" s="1"/>
  <c r="Y7" i="36"/>
  <c r="G79" i="11" l="1"/>
  <c r="G81" i="11" s="1"/>
  <c r="H84" i="11" s="1"/>
  <c r="V58" i="2" s="1"/>
  <c r="Z7" i="23"/>
  <c r="Y58" i="2" l="1"/>
  <c r="Y62" i="2" s="1"/>
  <c r="AB58" i="2"/>
  <c r="AB62" i="2" s="1"/>
  <c r="V65" i="2" l="1"/>
  <c r="AB7" i="23" l="1"/>
  <c r="AB7" i="36"/>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<sst xmlns="http://schemas.openxmlformats.org/spreadsheetml/2006/main" count="998" uniqueCount="590">
  <si>
    <t>&lt;CrystalAddin Version="1" country="GB" lang="en"/&gt;</t>
  </si>
  <si>
    <t>Salix Finance: Terms and Conditions for Salix Compliance Tools</t>
  </si>
  <si>
    <t>Terms and conditions of use</t>
  </si>
  <si>
    <t>Salix Finance Ltd (“Salix”) offers 100% interest-free capital to the public sector to improve their energy efficiency and reduce their greenhouse gas emissions.  Salix’ loans have to comply with certain conditions as to type of equipment being installed and its financial and carbon savings efficiency.  Salix has developed a suite of simple “tools” available for users to download for free to help users estimate their anticipated financial and carbon savings for each scheme they want to assess using data provided by the user.</t>
  </si>
  <si>
    <t>Non-disclosure</t>
  </si>
  <si>
    <t>Salix and/or the users acknowledge that they may receive or become aware of confidential information relating to the other party. Except to the extent that disclosure is expressly permitted, or otherwise agreed in writing between the parties, each party shall treat the confidential information provided by the other party as confidential and safeguard it accordingly and not disclose the confidential information provided by the other party to any other person (except their employees, agents, and professional advisers to whom and to the extent to which such disclosure is necessary for the purposes contemplated in considering eligibility for Salix finance and subject to procuring that such persons are made aware of and shall comply with these obligations of confidentiality).</t>
  </si>
  <si>
    <t>Intellectual property rights</t>
  </si>
  <si>
    <t xml:space="preserve">Salix are the owner or the licensee of all intellectual property rights in our tools, and in the material found within them. Salix’ tools are available to use free under licence.  The look and feel, the integral data, the embedded calculations and algorithms, and resulting compliance guidance have been created by Salix Finance who own all the Intellectual Property contained within them for the exclusive use of its existing and potential clients. 
All rights are reserved. No part of the tools may be reproduced, distributed, or transmitted in any form or by any means, including photocopying, recording, or other electronic or mechanical methods, without the prior written permission of the Salix, except in the case of certain non-commercial uses permitted by copyright law. For permission requests, please write to Salix Finance Ltd at 10 South Colonnade, Canary Wharf, London, E14 4PU.
</t>
  </si>
  <si>
    <t>Salix Finance - Compliance Tool</t>
  </si>
  <si>
    <t>Guidance Notes</t>
  </si>
  <si>
    <t>This new Recycling Fund and SEELS Tool is to come into effect from April 2026.
The following section is designed to give some clear guidance on how to fill out the 'Project Compliance Tool' tab so that you can assess the compliancy of the project. If the project is over £100,000, or is a SEELS Wales application, please complete the Business Case section in the separate tab. There is separate guidance for the Business Case, which can be requested from:</t>
  </si>
  <si>
    <t>technical@salixfinance.co.uk</t>
  </si>
  <si>
    <t>Application Notes for specific guidance can be found on our website</t>
  </si>
  <si>
    <t>For guidance on calculating forecast energy please see below.</t>
  </si>
  <si>
    <t>Enter project details as shown in the example below:</t>
  </si>
  <si>
    <t>Enter information for each work type required for the project. Up to 10 work types may be entered here, although an extended version of the form can be requested.</t>
  </si>
  <si>
    <t>The cells to the right show the calculated values for each work type.</t>
  </si>
  <si>
    <t>Missing information for a work type will be flagged up in the 'Data Entry Check' column. The compliancy check cannot be completed until all information is entered.</t>
  </si>
  <si>
    <t>Once all of the required information has been entered correctly, the cells at the bottom will show the final project figures and whether or not the project is compliant.</t>
  </si>
  <si>
    <t>If you have a technology that is affecting more than one fuel, please enter each fuel into a separate line in the Compliance Tool:</t>
  </si>
  <si>
    <r>
      <rPr>
        <sz val="16"/>
        <color theme="1"/>
        <rFont val="Verdana"/>
        <family val="2"/>
      </rPr>
      <t xml:space="preserve">Calculating Forecast Energy Cost:
</t>
    </r>
    <r>
      <rPr>
        <sz val="12"/>
        <color theme="1"/>
        <rFont val="Calibri"/>
        <family val="2"/>
        <scheme val="minor"/>
      </rPr>
      <t xml:space="preserve">
</t>
    </r>
    <r>
      <rPr>
        <sz val="12"/>
        <color theme="1"/>
        <rFont val="Verdana"/>
        <family val="2"/>
      </rPr>
      <t xml:space="preserve"> </t>
    </r>
    <r>
      <rPr>
        <u/>
        <sz val="12"/>
        <color theme="1"/>
        <rFont val="Verdana"/>
        <family val="2"/>
      </rPr>
      <t>Year 0 + Year 5</t>
    </r>
    <r>
      <rPr>
        <sz val="12"/>
        <color theme="1"/>
        <rFont val="Verdana"/>
        <family val="2"/>
      </rPr>
      <t xml:space="preserve">      =  Forecast Energy Cost (p/kWh)
            2
</t>
    </r>
    <r>
      <rPr>
        <sz val="11"/>
        <color theme="1"/>
        <rFont val="Verdana"/>
        <family val="2"/>
      </rPr>
      <t xml:space="preserve">
</t>
    </r>
    <r>
      <rPr>
        <sz val="10"/>
        <color theme="1"/>
        <rFont val="Verdana"/>
        <family val="2"/>
      </rPr>
      <t>The final year will depend on the programme compliance criteria, please check specific programme to confirm how many years needed to be calculated</t>
    </r>
    <r>
      <rPr>
        <sz val="11"/>
        <color theme="1"/>
        <rFont val="Verdana"/>
        <family val="2"/>
      </rPr>
      <t xml:space="preserve">
                                   </t>
    </r>
    <r>
      <rPr>
        <sz val="10"/>
        <color theme="1"/>
        <rFont val="Verdana"/>
        <family val="2"/>
      </rPr>
      <t xml:space="preserve">
</t>
    </r>
    <r>
      <rPr>
        <b/>
        <sz val="10"/>
        <color theme="1"/>
        <rFont val="Verdana"/>
        <family val="2"/>
      </rPr>
      <t>To calculate Year 5:</t>
    </r>
    <r>
      <rPr>
        <sz val="10"/>
        <color theme="1"/>
        <rFont val="Verdana"/>
        <family val="2"/>
      </rPr>
      <t xml:space="preserve">
               Year 0 x 1.02^5 = Year 5
</t>
    </r>
    <r>
      <rPr>
        <b/>
        <sz val="10"/>
        <color theme="1"/>
        <rFont val="Verdana"/>
        <family val="2"/>
      </rPr>
      <t xml:space="preserve">For example: </t>
    </r>
    <r>
      <rPr>
        <sz val="10"/>
        <color theme="1"/>
        <rFont val="Verdana"/>
        <family val="2"/>
      </rPr>
      <t xml:space="preserve">
SEELS England loan (5-year payback period), current electricity cost at 12p/kWh with 2% annual inflation rate the forecast cost would be: 
</t>
    </r>
    <r>
      <rPr>
        <b/>
        <sz val="10"/>
        <color theme="1"/>
        <rFont val="Verdana"/>
        <family val="2"/>
      </rPr>
      <t xml:space="preserve">Step 1
</t>
    </r>
    <r>
      <rPr>
        <sz val="10"/>
        <color theme="1"/>
        <rFont val="Verdana"/>
        <family val="2"/>
      </rPr>
      <t xml:space="preserve">
	  12 x 1.02^5 = 13.25p
</t>
    </r>
    <r>
      <rPr>
        <b/>
        <sz val="10"/>
        <color theme="1"/>
        <rFont val="Verdana"/>
        <family val="2"/>
      </rPr>
      <t xml:space="preserve">Step 2
</t>
    </r>
    <r>
      <rPr>
        <sz val="10"/>
        <color theme="1"/>
        <rFont val="Verdana"/>
        <family val="2"/>
      </rPr>
      <t xml:space="preserve">
            </t>
    </r>
    <r>
      <rPr>
        <u/>
        <sz val="10"/>
        <color theme="1"/>
        <rFont val="Verdana"/>
        <family val="2"/>
      </rPr>
      <t>12 + 13.25</t>
    </r>
    <r>
      <rPr>
        <sz val="10"/>
        <color theme="1"/>
        <rFont val="Verdana"/>
        <family val="2"/>
      </rPr>
      <t xml:space="preserve"> = 12.63p
                   2
</t>
    </r>
    <r>
      <rPr>
        <b/>
        <sz val="10"/>
        <color theme="1"/>
        <rFont val="Verdana"/>
        <family val="2"/>
      </rPr>
      <t>Forecast Energy cost = 12.63p/kWh</t>
    </r>
  </si>
  <si>
    <t>Examples of Eligible Technologies</t>
  </si>
  <si>
    <t>The following list includes examples of eligible technologies for the Recycling Fund Scheme. If you intend to include technologies that do not appear on this list in your application, please discuss with Salix prior to submission.</t>
  </si>
  <si>
    <t>Project Type</t>
  </si>
  <si>
    <t>Work Type</t>
  </si>
  <si>
    <t>Direct carbon savings</t>
  </si>
  <si>
    <t>Indirect carbon savings</t>
  </si>
  <si>
    <t>Lifetime</t>
  </si>
  <si>
    <t>Lifetime and Persistence Factor Definitions</t>
  </si>
  <si>
    <t>Low carbon heating</t>
  </si>
  <si>
    <t>Air source heat pump (air to water)</t>
  </si>
  <si>
    <t>x</t>
  </si>
  <si>
    <r>
      <rPr>
        <sz val="14"/>
        <rFont val="Verdana"/>
        <family val="2"/>
      </rPr>
      <t>Lifetime</t>
    </r>
    <r>
      <rPr>
        <sz val="11"/>
        <rFont val="Verdana"/>
        <family val="2"/>
      </rPr>
      <t xml:space="preserve">: This is the anticipated lifetime of a low carbon heating technology used to calculate lifetime savings. The lifetime is used in the calculation of cost to save a tonne of CO2e over the lifetime of an application for low carbon heating measures (£/tCO2eLT). 
</t>
    </r>
    <r>
      <rPr>
        <sz val="14"/>
        <rFont val="Verdana"/>
        <family val="2"/>
      </rPr>
      <t>Persistence Factor</t>
    </r>
    <r>
      <rPr>
        <sz val="11"/>
        <rFont val="Verdana"/>
        <family val="2"/>
      </rPr>
      <t xml:space="preserve">: The persistence factor is the lifetime of the energy efficiency technology averaged to factor in degradation. The Persistence Factors for individual technologies employed by Salix are based on, and are consistent with, those derived by the Carbon Trust. The PF is used in the calculation of cost to save a tonne of CO2e over the lifetime of an application for energy efficiency measures (£/tCO2eLT). 
</t>
    </r>
  </si>
  <si>
    <t>Air source heat pump (air to air)</t>
  </si>
  <si>
    <t xml:space="preserve">Ground source heat pump </t>
  </si>
  <si>
    <t>Water source heat pump</t>
  </si>
  <si>
    <t>Connect to existing district heating</t>
  </si>
  <si>
    <t>Heating - electric heating</t>
  </si>
  <si>
    <t>Hot water - electric point of use heaters</t>
  </si>
  <si>
    <t>Solar thermal</t>
  </si>
  <si>
    <t>Biomass</t>
  </si>
  <si>
    <t>Carbon Conversion Factors</t>
  </si>
  <si>
    <t>Persistence Factor</t>
  </si>
  <si>
    <t>Energy Source</t>
  </si>
  <si>
    <r>
      <t xml:space="preserve"> kg CO</t>
    </r>
    <r>
      <rPr>
        <b/>
        <vertAlign val="subscript"/>
        <sz val="9"/>
        <color theme="0"/>
        <rFont val="Verdana"/>
        <family val="2"/>
      </rPr>
      <t>2</t>
    </r>
    <r>
      <rPr>
        <b/>
        <sz val="9"/>
        <color theme="0"/>
        <rFont val="Verdana"/>
        <family val="2"/>
      </rPr>
      <t>e/kWh</t>
    </r>
  </si>
  <si>
    <t>Notes</t>
  </si>
  <si>
    <t>Previous Values</t>
  </si>
  <si>
    <t>Building energy management systems (BEMS)</t>
  </si>
  <si>
    <t>BEMS - not remotely managed</t>
  </si>
  <si>
    <t>Electricity</t>
  </si>
  <si>
    <t>Scope 2 &amp; Scope 3  (Transmission and Distribution losses only)</t>
  </si>
  <si>
    <t>E</t>
  </si>
  <si>
    <t>BEMS - remotely managed</t>
  </si>
  <si>
    <t>Gas</t>
  </si>
  <si>
    <t>Scope 1 only</t>
  </si>
  <si>
    <t>G</t>
  </si>
  <si>
    <t>Cooling</t>
  </si>
  <si>
    <t>Cooling - control system</t>
  </si>
  <si>
    <t>Gas oil</t>
  </si>
  <si>
    <t>GO</t>
  </si>
  <si>
    <t>Cooling - plant replacement/upgrade</t>
  </si>
  <si>
    <t>Fuel oil</t>
  </si>
  <si>
    <t>Heating oils other than gas oil or burning oil</t>
  </si>
  <si>
    <t>FO</t>
  </si>
  <si>
    <t>Energy efficient chillers</t>
  </si>
  <si>
    <t>Burning oil</t>
  </si>
  <si>
    <t>Also known as kerosene or paraffin used for heating systems</t>
  </si>
  <si>
    <t>BO</t>
  </si>
  <si>
    <t>Free cooling</t>
  </si>
  <si>
    <t>Coal</t>
  </si>
  <si>
    <t>C</t>
  </si>
  <si>
    <t>Replacement of air conditioning with evaporative cooling</t>
  </si>
  <si>
    <t>LPG</t>
  </si>
  <si>
    <t>L</t>
  </si>
  <si>
    <t>Energy from waste</t>
  </si>
  <si>
    <t>Anaerobic digestion</t>
  </si>
  <si>
    <t>Wood pellets</t>
  </si>
  <si>
    <t xml:space="preserve">Scope 1 only </t>
  </si>
  <si>
    <t>WP</t>
  </si>
  <si>
    <t>Incineration</t>
  </si>
  <si>
    <t>Wood chips</t>
  </si>
  <si>
    <t>WC</t>
  </si>
  <si>
    <t>Hand Dryers</t>
  </si>
  <si>
    <t>Hand dryers - replacement to more efficient type</t>
  </si>
  <si>
    <t>Biogas</t>
  </si>
  <si>
    <t>BG</t>
  </si>
  <si>
    <t>Heating</t>
  </si>
  <si>
    <t>Heat recovery</t>
  </si>
  <si>
    <t xml:space="preserve">Source:
</t>
  </si>
  <si>
    <t>DESNZ: Current GHG conversion factors - updated June 2025.</t>
  </si>
  <si>
    <t>Heating - discrete controls</t>
  </si>
  <si>
    <t>Heating - distribution pipework improvements</t>
  </si>
  <si>
    <t>Heating - zone control valves</t>
  </si>
  <si>
    <t>Replace steam calorifier with plate heat exchanger</t>
  </si>
  <si>
    <t>Steam trap replacements</t>
  </si>
  <si>
    <t>Thermal stores</t>
  </si>
  <si>
    <t>Hot water</t>
  </si>
  <si>
    <t>Flow restrictors</t>
  </si>
  <si>
    <t>Hot water - distribution improvements</t>
  </si>
  <si>
    <t>Hot water - efficient taps</t>
  </si>
  <si>
    <t>Insulation - building fabric</t>
  </si>
  <si>
    <t>Cavity wall insulation</t>
  </si>
  <si>
    <t xml:space="preserve">Double glazing with metal or plastic frames </t>
  </si>
  <si>
    <t>Dry wall lining</t>
  </si>
  <si>
    <t>Loft insulation</t>
  </si>
  <si>
    <t>Floor insulation - suspended timber floor</t>
  </si>
  <si>
    <t>Floor insulation - solid floor or other type</t>
  </si>
  <si>
    <t>Roof insulation</t>
  </si>
  <si>
    <t>Secondary glazing</t>
  </si>
  <si>
    <t>Insulation - draught proofing</t>
  </si>
  <si>
    <t>Insulation - other</t>
  </si>
  <si>
    <t>Automatic speed doors</t>
  </si>
  <si>
    <t>Automatic/revolving doors</t>
  </si>
  <si>
    <t>Draught lobby (external)</t>
  </si>
  <si>
    <t>Draught lobby (internal)</t>
  </si>
  <si>
    <t>Radiator reflective foil (external walls)</t>
  </si>
  <si>
    <t>Insulation - pipework</t>
  </si>
  <si>
    <t>Heating pipework insulation (external)</t>
  </si>
  <si>
    <t>Heating pipework insulation (internal)</t>
  </si>
  <si>
    <t>Lab upgrades</t>
  </si>
  <si>
    <t>Energy efficient drying cabinets</t>
  </si>
  <si>
    <t>Energy efficient freezers (-25C)</t>
  </si>
  <si>
    <t>Energy efficient fume cupboards</t>
  </si>
  <si>
    <t>Fume cupboards - auto sash closing + PIR</t>
  </si>
  <si>
    <t>LED lighting</t>
  </si>
  <si>
    <t>LED - new fitting</t>
  </si>
  <si>
    <t>LED - same fitting</t>
  </si>
  <si>
    <t>Lighting controls</t>
  </si>
  <si>
    <t>Lighting - discrete controls</t>
  </si>
  <si>
    <t>Lighting control system centralised</t>
  </si>
  <si>
    <t>Motor controls</t>
  </si>
  <si>
    <t>Fixed speed motor controls</t>
  </si>
  <si>
    <t>Motors - flat belt drives</t>
  </si>
  <si>
    <t>Variable speed drives</t>
  </si>
  <si>
    <t>Motor replacement</t>
  </si>
  <si>
    <t>Motors - high efficiency</t>
  </si>
  <si>
    <t>Renewable energy</t>
  </si>
  <si>
    <t>Small hydropower</t>
  </si>
  <si>
    <t>Solar PV</t>
  </si>
  <si>
    <t>Wind turbine</t>
  </si>
  <si>
    <t>Swimming pool covers</t>
  </si>
  <si>
    <t>Swimming pool covers - manual</t>
  </si>
  <si>
    <t>Swimming pool covers - motorised</t>
  </si>
  <si>
    <t>Time switches</t>
  </si>
  <si>
    <t>Ventilation</t>
  </si>
  <si>
    <t>Fans - air handling unit</t>
  </si>
  <si>
    <t>Fans - high efficiency</t>
  </si>
  <si>
    <t xml:space="preserve">Phase change material </t>
  </si>
  <si>
    <t>Ultrasonic humidifiers</t>
  </si>
  <si>
    <t>Ventilation - distribution</t>
  </si>
  <si>
    <t>Ventilation - presence controls</t>
  </si>
  <si>
    <t>**hidden*</t>
  </si>
  <si>
    <t>*hidden*</t>
  </si>
  <si>
    <t>Hide Here</t>
  </si>
  <si>
    <t>Organisation:</t>
  </si>
  <si>
    <t>Salix Finance:</t>
  </si>
  <si>
    <t>Compliancy Criteria:</t>
  </si>
  <si>
    <t>Programme:</t>
  </si>
  <si>
    <t>Recycling Fund Scotland</t>
  </si>
  <si>
    <t>Payback</t>
  </si>
  <si>
    <r>
      <t>£/tCO</t>
    </r>
    <r>
      <rPr>
        <b/>
        <vertAlign val="subscript"/>
        <sz val="10"/>
        <color theme="1"/>
        <rFont val="Verdana"/>
        <family val="2"/>
      </rPr>
      <t>2</t>
    </r>
    <r>
      <rPr>
        <b/>
        <sz val="10"/>
        <color theme="1"/>
        <rFont val="Verdana"/>
        <family val="2"/>
      </rPr>
      <t>e LT</t>
    </r>
  </si>
  <si>
    <t>District Heating Projects Only: Bespoke Carbon Factor kg/kWh</t>
  </si>
  <si>
    <t>Start Date</t>
  </si>
  <si>
    <t>Completion Date</t>
  </si>
  <si>
    <t>Site Name</t>
  </si>
  <si>
    <t>Remaining Site Life (yrs)</t>
  </si>
  <si>
    <t>Project Description</t>
  </si>
  <si>
    <t>Data Entry Check</t>
  </si>
  <si>
    <t>Description of Work</t>
  </si>
  <si>
    <t>Project Completion Date</t>
  </si>
  <si>
    <t>Energy
Type</t>
  </si>
  <si>
    <t>Current p/kWh</t>
  </si>
  <si>
    <t>Forecast p/kWh</t>
  </si>
  <si>
    <t>Forecast % Change</t>
  </si>
  <si>
    <t>Technology - Work Type</t>
  </si>
  <si>
    <t>Annual kWhrs Pre-Project</t>
  </si>
  <si>
    <t>Annual kWhrs Post-Project</t>
  </si>
  <si>
    <t>Annual kWh savings</t>
  </si>
  <si>
    <t>% kWh savings</t>
  </si>
  <si>
    <t xml:space="preserve">Project Value </t>
  </si>
  <si>
    <t>Annual Financial Savings</t>
  </si>
  <si>
    <t>Payback in Years</t>
  </si>
  <si>
    <t>kgCO2/kWh</t>
  </si>
  <si>
    <r>
      <t>tCO</t>
    </r>
    <r>
      <rPr>
        <b/>
        <vertAlign val="subscript"/>
        <sz val="10"/>
        <color theme="0"/>
        <rFont val="Verdana"/>
        <family val="2"/>
      </rPr>
      <t>2</t>
    </r>
    <r>
      <rPr>
        <b/>
        <sz val="10"/>
        <color theme="0"/>
        <rFont val="Verdana"/>
        <family val="2"/>
      </rPr>
      <t>e pa</t>
    </r>
  </si>
  <si>
    <r>
      <t>tCO</t>
    </r>
    <r>
      <rPr>
        <b/>
        <vertAlign val="subscript"/>
        <sz val="10"/>
        <color theme="0"/>
        <rFont val="Verdana"/>
        <family val="2"/>
      </rPr>
      <t>2</t>
    </r>
    <r>
      <rPr>
        <b/>
        <sz val="10"/>
        <color theme="0"/>
        <rFont val="Verdana"/>
        <family val="2"/>
      </rPr>
      <t>e LT</t>
    </r>
  </si>
  <si>
    <t>£/tCO2e LT</t>
  </si>
  <si>
    <t>PF</t>
  </si>
  <si>
    <t>Data Entry</t>
  </si>
  <si>
    <t>OK</t>
  </si>
  <si>
    <t>PF Round plus cell value 100</t>
  </si>
  <si>
    <t>Electiricty Carbon Factor</t>
  </si>
  <si>
    <t>£/tCO2</t>
  </si>
  <si>
    <t>Building management systems</t>
  </si>
  <si>
    <t xml:space="preserve">Emergency Services </t>
  </si>
  <si>
    <t>Further Education Institute</t>
  </si>
  <si>
    <t>Higher Education Institute</t>
  </si>
  <si>
    <t>Local Authority</t>
  </si>
  <si>
    <t>NHS</t>
  </si>
  <si>
    <t>Primary School</t>
  </si>
  <si>
    <t>Secondary School</t>
  </si>
  <si>
    <t>Maintained School</t>
  </si>
  <si>
    <t>Client Type Name List</t>
  </si>
  <si>
    <t xml:space="preserve">Canteen/Cafeteria </t>
  </si>
  <si>
    <t xml:space="preserve">Campus Building </t>
  </si>
  <si>
    <t xml:space="preserve">Ambulance station </t>
  </si>
  <si>
    <t xml:space="preserve">Car Park </t>
  </si>
  <si>
    <t>Car Park</t>
  </si>
  <si>
    <t xml:space="preserve">Corridor </t>
  </si>
  <si>
    <t>Car park</t>
  </si>
  <si>
    <t>Community Centre</t>
  </si>
  <si>
    <t xml:space="preserve">Classroom </t>
  </si>
  <si>
    <t>Data Centre/ IT Facilities</t>
  </si>
  <si>
    <t>Classroom</t>
  </si>
  <si>
    <t>Council Office</t>
  </si>
  <si>
    <t xml:space="preserve">Clinical space </t>
  </si>
  <si>
    <t xml:space="preserve">Fire Rescue Station </t>
  </si>
  <si>
    <t>Corridor</t>
  </si>
  <si>
    <t>Gallery/Museum</t>
  </si>
  <si>
    <t xml:space="preserve">Corridors </t>
  </si>
  <si>
    <t>Library</t>
  </si>
  <si>
    <t>Offices</t>
  </si>
  <si>
    <t xml:space="preserve">Leisure Centre </t>
  </si>
  <si>
    <t xml:space="preserve">Laboratory </t>
  </si>
  <si>
    <t>Other</t>
  </si>
  <si>
    <t xml:space="preserve">Halls of Residence </t>
  </si>
  <si>
    <t>Non-clinical space</t>
  </si>
  <si>
    <t xml:space="preserve">Other </t>
  </si>
  <si>
    <t>Plant room</t>
  </si>
  <si>
    <t xml:space="preserve">Outdoor Sport Facilities </t>
  </si>
  <si>
    <t>Police Station</t>
  </si>
  <si>
    <t xml:space="preserve">Lecture Room </t>
  </si>
  <si>
    <t xml:space="preserve">Server Room </t>
  </si>
  <si>
    <t xml:space="preserve">Plant room </t>
  </si>
  <si>
    <t xml:space="preserve">Site Wide </t>
  </si>
  <si>
    <t>Site Wide</t>
  </si>
  <si>
    <t>Renewables Site</t>
  </si>
  <si>
    <t>Sports Hall</t>
  </si>
  <si>
    <t xml:space="preserve">Sports Hall </t>
  </si>
  <si>
    <t xml:space="preserve">Residential Care Home </t>
  </si>
  <si>
    <t xml:space="preserve">Streetlighting </t>
  </si>
  <si>
    <t xml:space="preserve">Warehouse </t>
  </si>
  <si>
    <t xml:space="preserve">Sports Hall  </t>
  </si>
  <si>
    <t xml:space="preserve">Students Union </t>
  </si>
  <si>
    <t>Total Salix Funding Requested</t>
  </si>
  <si>
    <t>Total Project Value</t>
  </si>
  <si>
    <t>Total Financial Savings</t>
  </si>
  <si>
    <t>Total
kg/kWh</t>
  </si>
  <si>
    <r>
      <t>Total
tCO</t>
    </r>
    <r>
      <rPr>
        <b/>
        <vertAlign val="subscript"/>
        <sz val="10"/>
        <color theme="0"/>
        <rFont val="Verdana"/>
        <family val="2"/>
      </rPr>
      <t>2</t>
    </r>
    <r>
      <rPr>
        <b/>
        <sz val="10"/>
        <color theme="0"/>
        <rFont val="Verdana"/>
        <family val="2"/>
      </rPr>
      <t>e pa</t>
    </r>
  </si>
  <si>
    <r>
      <t>Total
tCO</t>
    </r>
    <r>
      <rPr>
        <b/>
        <vertAlign val="subscript"/>
        <sz val="10"/>
        <color theme="0"/>
        <rFont val="Verdana"/>
        <family val="2"/>
      </rPr>
      <t>2</t>
    </r>
    <r>
      <rPr>
        <b/>
        <sz val="10"/>
        <color theme="0"/>
        <rFont val="Verdana"/>
        <family val="2"/>
      </rPr>
      <t>e LT</t>
    </r>
  </si>
  <si>
    <r>
      <t>£/tCO</t>
    </r>
    <r>
      <rPr>
        <b/>
        <vertAlign val="subscript"/>
        <sz val="10"/>
        <color theme="0"/>
        <rFont val="Verdana"/>
        <family val="2"/>
      </rPr>
      <t>2</t>
    </r>
    <r>
      <rPr>
        <b/>
        <sz val="10"/>
        <color theme="0"/>
        <rFont val="Verdana"/>
        <family val="2"/>
      </rPr>
      <t>e LT</t>
    </r>
  </si>
  <si>
    <t>Compliancy</t>
  </si>
  <si>
    <t>This is Step 1 of the 3 step application process. Please complete the above Project Compliance Tool for all projects you are seeking Salix funding for.</t>
  </si>
  <si>
    <t>If you have more than 10 projects you wish to apply for, please contact: technical@salixfinance.co.uk
Once you have completed Step 1, Step 2 involves supporting your application with the following information where applicable:
i. For individual projects over £100k and all SEELS Wales applications, a completed Salix business case (in the next tab);
ii. Supporting information in the form of savings calculations, evidence of project/fuel costs, technical specifications etc.
The final step of the application process is to upload the compliance tool and supporting information to SERS (RF only) or submit these to Salix (SEELS).</t>
  </si>
  <si>
    <t>Carbon Factor for Electricity from "UK Government GHG Conversion Factors for Company Reporting" (2025)</t>
  </si>
  <si>
    <t>CO2e methodology</t>
  </si>
  <si>
    <t>Gas Oil</t>
  </si>
  <si>
    <t>Fuel Oil</t>
  </si>
  <si>
    <t>Burning Oil</t>
  </si>
  <si>
    <t>Bespoke</t>
  </si>
  <si>
    <t>Salix Business Case Template</t>
  </si>
  <si>
    <t>Only complete if your project is over £100,000 and/or a SEELS Wales application.</t>
  </si>
  <si>
    <t>Programme details</t>
  </si>
  <si>
    <t>Project Title:</t>
  </si>
  <si>
    <t>Organisation name:</t>
  </si>
  <si>
    <t>Submission date:</t>
  </si>
  <si>
    <t>Main Contact for Project</t>
  </si>
  <si>
    <t>Project Cost Breakdown</t>
  </si>
  <si>
    <t>Name</t>
  </si>
  <si>
    <t>Main equipment capital costs (£)</t>
  </si>
  <si>
    <t>Job title</t>
  </si>
  <si>
    <t>Address line 1</t>
  </si>
  <si>
    <t>Installation costs (£)</t>
  </si>
  <si>
    <t>Address line 2</t>
  </si>
  <si>
    <t>City</t>
  </si>
  <si>
    <t>Project management costs (£)</t>
  </si>
  <si>
    <t>Post code</t>
  </si>
  <si>
    <t>Telephone</t>
  </si>
  <si>
    <t>Contingency costs (£)</t>
  </si>
  <si>
    <t>Email</t>
  </si>
  <si>
    <t>Other project costs (£)</t>
  </si>
  <si>
    <t>Total projects costs</t>
  </si>
  <si>
    <t>1. Cost Breakdown</t>
  </si>
  <si>
    <t>Project cost breakdown - Provide commentary on the project cost breakdown.</t>
  </si>
  <si>
    <t>•   How have project costs been estimated?
•   Do the project costs account for operation/maintenance costs?</t>
  </si>
  <si>
    <t>2. Project Details</t>
  </si>
  <si>
    <t>Project background - Provide background on the project including all possible benefits.</t>
  </si>
  <si>
    <t>•   If you have multiple projects &gt;£100,000, please provide details for all of them below.
•   How has the project been identified?
•   Who has been involved in developing the project?  
•   How will the project go towards addressing existing issues relating to energy and carbon use?</t>
  </si>
  <si>
    <t>3. Details of Supporting Documentation</t>
  </si>
  <si>
    <t xml:space="preserve">•  Please list all supporting information document titles in the box below.
•  All applications should provide energy savings calculations, cost calculations/evidence, data sheets, and an energy and carbon monitoring plan
•  For applications valued over £100,000 please also provide an internal risk register and project programme.    </t>
  </si>
  <si>
    <t>4. Details of Project Energy Saving Calculations</t>
  </si>
  <si>
    <t xml:space="preserve">•  Describe how the project energy and carbon savings have been calculated, detailing any assumptions.
•  Calculations should be submitted alongside your application form.
•  Describe the methodology used to calculate the forecasted fuel costs. </t>
  </si>
  <si>
    <t>5. Energy and Carbon Monitoring Plan Post-completion</t>
  </si>
  <si>
    <t>Salix recommends that energy and carbon consumption be monitored prior to and following the completion of the project.
•    What are the arrangements for monitoring and managing the programme post-completion?
•    What plans are there for evaluation?</t>
  </si>
  <si>
    <t>6. Performance Management Plan</t>
  </si>
  <si>
    <t>Applicants seeking funding for solar PV as part of the SEELS Scotland Solar PV scheme must submit a Performance Management Plan to demonstrate how system performance will be maintained over its lifetime. The plan must designate a performance manager response for ensuring expected performance, separate from contractors. 
•    What are the arrangements for monitoring and managing the programme post-completion?
•    Describe how you will measure annual availability, kilowatt hours generated, and the financial and carbon value of the generated electricity.</t>
  </si>
  <si>
    <t>7. Project Governance</t>
  </si>
  <si>
    <t>Please define the project team and their roles in the delivery of the project (e.g. consultants, contractors, senior manager etc.).
•    Please outline the organisation structure in terms of who has the authority to approve the project and any changes.
•    Has a Project Execution Plan been drawn up to state exactly how the project will be managed?
•    For projects valued over £100,000, please attach a copy of your internal project plan.</t>
  </si>
  <si>
    <t>8. Previous Experience</t>
  </si>
  <si>
    <t>Describe any previous experience that you may have with the proposed energy efficiency measure.
•    Please also outline the experience members of the project team have with managing projects of a similar scale, including that of any third-party support.</t>
  </si>
  <si>
    <t>9. Project Risks &amp; Mitigation</t>
  </si>
  <si>
    <t>Describe any project risks and give details of measures designed to minimise or avoid them. This should cover:
•    Any project dependencies, such as other projects being completed on time or coordination around organisational issues (e.g. exam periods and heating season).
•    Risks to project delivery and details of the management structures in place to monitor.
•    Detail other outstanding issues that need to be resolved before the project can proceed (e.g. finalising plant sizes or communication with stakeholders).
•    The risks associated with the project failing to achieve the savings.
•    For applications valued over £500,000, please attach a copy of your internal risk register.</t>
  </si>
  <si>
    <t>Description of Risk</t>
  </si>
  <si>
    <t>Level of Risk</t>
  </si>
  <si>
    <t xml:space="preserve">How will the risk be managed and/or mitigated? </t>
  </si>
  <si>
    <t xml:space="preserve">High </t>
  </si>
  <si>
    <t xml:space="preserve">Low </t>
  </si>
  <si>
    <t>Medium</t>
  </si>
  <si>
    <t>10. Timescales</t>
  </si>
  <si>
    <t>Give details of the critical path for timetable delivery of the project including:
•   Dates for key delivery milestones, if there is a programme of works for the project please attach.
•   What level of contingency for potential programme slippage has been built in to the delivery timeline.
Please provide details of and significant lead-in times for the ordering and delivery of key project equipment, including details of discussions/agreements with suppliers/contractors.</t>
  </si>
  <si>
    <t>11. Key Project Milestones</t>
  </si>
  <si>
    <t>Steps taken / to be taken</t>
  </si>
  <si>
    <t>Process</t>
  </si>
  <si>
    <t>Start date</t>
  </si>
  <si>
    <t>End date</t>
  </si>
  <si>
    <t>Include no. of days Contingency</t>
  </si>
  <si>
    <t>Is this Complete?</t>
  </si>
  <si>
    <t>Project Approval</t>
  </si>
  <si>
    <t>Estates/finance approval</t>
  </si>
  <si>
    <t>Board/councillors approval</t>
  </si>
  <si>
    <t>Tender</t>
  </si>
  <si>
    <t>Project design time</t>
  </si>
  <si>
    <t>Project out to tender</t>
  </si>
  <si>
    <t>Contract awarded</t>
  </si>
  <si>
    <t>Cool off period</t>
  </si>
  <si>
    <t>PFI agreement (if applicable)</t>
  </si>
  <si>
    <t>Sign Deed of Variation</t>
  </si>
  <si>
    <t>Order</t>
  </si>
  <si>
    <t>Order Placed</t>
  </si>
  <si>
    <t>Delivery</t>
  </si>
  <si>
    <t>Equipment Delivery</t>
  </si>
  <si>
    <t>Project on site</t>
  </si>
  <si>
    <t xml:space="preserve">Starting project installation </t>
  </si>
  <si>
    <t>Project completion</t>
  </si>
  <si>
    <t>Project complete onsite</t>
  </si>
  <si>
    <t xml:space="preserve">Commissioning </t>
  </si>
  <si>
    <t>Invoicing</t>
  </si>
  <si>
    <t>Send completion certificate to Salix</t>
  </si>
  <si>
    <t>Returning loan agreement to Salix</t>
  </si>
  <si>
    <t>12. Well-Being of Future Generations (Wales) Act 2015 (Wales Applications ONLY)</t>
  </si>
  <si>
    <t xml:space="preserve">•   Please describe how this project will maximise the organisation's contribution to one or more of the seven well-being goals in the Act and how this project is in accordance with the Sustainable Development Principles.
•   Further information on the Act and Legislation can be found at https://www.futuregenerations.wales/
</t>
  </si>
  <si>
    <t>Salix Business Case Template - Part 3</t>
  </si>
  <si>
    <t>The final step of the application process is to upload the compliance tool and supporting information to SERS (RF only) or submit these to Salix (SEELS).</t>
  </si>
  <si>
    <t>For questions regarding how to complete this form or what information to include in your application, please do not hesitate to contact a member of the Energy and Carbon Technical Team: technical@salixfinance.co.uk</t>
  </si>
  <si>
    <t>Salix Business Case Template - Assessment and Feedback</t>
  </si>
  <si>
    <t>Assessment form for Salix/Atkins</t>
  </si>
  <si>
    <t>Objectives:</t>
  </si>
  <si>
    <t>Programme Title:</t>
  </si>
  <si>
    <t xml:space="preserve">This assessment's primary objective is to evaluate the business case (as provided by the applicant) in a structured manner, identifying strengths &amp; weaknesses leading to a judgement as to whether the business case is technically sound and is likely to deliver the energy savings &amp; payback period presented.  If the business case is unsound or needs further consideration, the assessment should identify what further information is needed from the client. </t>
  </si>
  <si>
    <t>Public Sector Body:</t>
  </si>
  <si>
    <t>1. Technical case</t>
  </si>
  <si>
    <t xml:space="preserve">Score Green for High Quality, Amber for With Conditions and Red for Requires Improvement </t>
  </si>
  <si>
    <t>1.1 Project Description including any background material (For Wales Applications: Future Generations Act 2015)</t>
  </si>
  <si>
    <t>1.2 Technical Feasibility &amp; Future Resilience</t>
  </si>
  <si>
    <t>1.3 Material provided on the technology, has the final product been chosen?</t>
  </si>
  <si>
    <t>1.4 Energy/Carbon Savings Calculations</t>
  </si>
  <si>
    <t>1.5 Energy/Carbon Monitoring Plan</t>
  </si>
  <si>
    <t>2. Financial case</t>
  </si>
  <si>
    <t>2.1 Main Equipment Costs</t>
  </si>
  <si>
    <t>2.2 Installation Cost</t>
  </si>
  <si>
    <t>2.3 Other Project Costs</t>
  </si>
  <si>
    <t>2.4 Operating &amp; Maintenance Cost</t>
  </si>
  <si>
    <t>2.5 Evidence of Firm Pricing or close budgets having been received</t>
  </si>
  <si>
    <t>2.6 Project Cost Savings Calculations with particular reference to the fuel prices being considered</t>
  </si>
  <si>
    <t>2.7 Simple Payback Period Realistic / Is the payback period &amp; cost of carbon in line with similar projects</t>
  </si>
  <si>
    <t>3. Project governance, risks, mitigation</t>
  </si>
  <si>
    <t>3.1 Project Risks &amp; Mitigations</t>
  </si>
  <si>
    <t>3.2 Project Implementation / Schedule - Timings included; for example key milestones for installation and commissioning</t>
  </si>
  <si>
    <t>3.3 Applicant/Contractors' previous experience capability</t>
  </si>
  <si>
    <t>3.4 Is the project governance sufficient for the size and complexity of the work to be completed?</t>
  </si>
  <si>
    <t>Number of months to commission?</t>
  </si>
  <si>
    <t>Number of months contingency?</t>
  </si>
  <si>
    <t>Board/councillors approval?</t>
  </si>
  <si>
    <t>Is procurement complete?</t>
  </si>
  <si>
    <t>Assessor review and recommendations</t>
  </si>
  <si>
    <t>Based on the overall score achieved, the business case for this project is:</t>
  </si>
  <si>
    <t>Green = Passed
Amber = Passed with conditions
Red = Requires improvement</t>
  </si>
  <si>
    <t>Assessor summary including improvement points:</t>
  </si>
  <si>
    <t>Conditions (if any further information required) for passing business case:</t>
  </si>
  <si>
    <t>Disclaimer</t>
  </si>
  <si>
    <t>This assessment is made on the information as provided by the applicant. Whilst reasonable steps have been taken to ensure that the information provided within this assessment is correct, Salix, the assessor, and the Government give no warranty and make no representation as to its accuracy and accept no liability for any errors or omissions.</t>
  </si>
  <si>
    <t>To be completed by Salix/Atkins Assessor</t>
  </si>
  <si>
    <t>Project reference</t>
  </si>
  <si>
    <t>Time Allocated</t>
  </si>
  <si>
    <t>hours</t>
  </si>
  <si>
    <t>Assessor</t>
  </si>
  <si>
    <t>QA</t>
  </si>
  <si>
    <t>Approved by</t>
  </si>
  <si>
    <t>Date</t>
  </si>
  <si>
    <t xml:space="preserve">Scoring </t>
  </si>
  <si>
    <t>Number of score</t>
  </si>
  <si>
    <t>Column2</t>
  </si>
  <si>
    <t>Red</t>
  </si>
  <si>
    <t>Amber</t>
  </si>
  <si>
    <t>Green</t>
  </si>
  <si>
    <t>N/A</t>
  </si>
  <si>
    <t>Total ranking</t>
  </si>
  <si>
    <t>Additionality Criteria:</t>
  </si>
  <si>
    <r>
      <t xml:space="preserve">Projects must also be “additional” – i.e. would not have happened without the funding.  For projects already part of the agreed and funded maintenance programme, the fund can only support the additional investment needed to select a more expensive energy saving option.  This does not prevent projects that have been identified and costed from applying, as long as funds have not been allocated. There are a number of criteria that are used to assess whether a project is “additional”, including: 
    • Is the project required by legislation? If so it is “not additional”.
    • Is it required by Building Regulations or planning officers (e.g. requirement for a percentage of </t>
    </r>
    <r>
      <rPr>
        <sz val="10"/>
        <color theme="0"/>
        <rFont val="Verdana"/>
        <family val="2"/>
      </rPr>
      <t>eeee</t>
    </r>
    <r>
      <rPr>
        <sz val="10"/>
        <color theme="1"/>
        <rFont val="Verdana"/>
        <family val="2"/>
      </rPr>
      <t>electricity demand in new buildings to be met by onsite renewables)? If so, it is “not additional”.
    • Has it already started or has funding already been agreed? If so it is “not additional”.
If the answer to all of the above questions is NO then the project can be funded under the Scheme.</t>
    </r>
  </si>
  <si>
    <t>Project Code:</t>
  </si>
  <si>
    <t>PET entry:</t>
  </si>
  <si>
    <t>Project Ref</t>
  </si>
  <si>
    <t>Start 
date</t>
  </si>
  <si>
    <t>Completion date</t>
  </si>
  <si>
    <t>Site name</t>
  </si>
  <si>
    <t>Site life (yrs)</t>
  </si>
  <si>
    <t>Project /
description</t>
  </si>
  <si>
    <t xml:space="preserve">Total Project Value </t>
  </si>
  <si>
    <t>Salix Funding Requested</t>
  </si>
  <si>
    <t>Salix % contribution of total project cost</t>
  </si>
  <si>
    <t>Energy Type</t>
  </si>
  <si>
    <t>Energy Cost (p/kWh)</t>
  </si>
  <si>
    <t>Annual kWh Pre-Project</t>
  </si>
  <si>
    <t>Annual kWh Post-Project</t>
  </si>
  <si>
    <t>Annual kWh Saving</t>
  </si>
  <si>
    <t>Payback Period</t>
  </si>
  <si>
    <t>kg/kWh</t>
  </si>
  <si>
    <t>tCO2 pa</t>
  </si>
  <si>
    <t>tCO2 LT Savings</t>
  </si>
  <si>
    <t>£/tCO2 LT</t>
  </si>
  <si>
    <t>LT Financial Saving</t>
  </si>
  <si>
    <t/>
  </si>
  <si>
    <t>Back Data:</t>
  </si>
  <si>
    <t>Measure Reference:</t>
  </si>
  <si>
    <t>Energy
type</t>
  </si>
  <si>
    <t>p/kWh</t>
  </si>
  <si>
    <t>Annual Financial Saving</t>
  </si>
  <si>
    <t>tCO2 LT</t>
  </si>
  <si>
    <t>Cost per Measure</t>
  </si>
  <si>
    <t>Number</t>
  </si>
  <si>
    <t>Energy type</t>
  </si>
  <si>
    <t>oil</t>
  </si>
  <si>
    <t>Definitions:</t>
  </si>
  <si>
    <t>Persistence Factor (PF) Model:</t>
  </si>
  <si>
    <t>The Persistence Factors for individual technologies employed by Salix are based on and are consistent with those derived by the Carbon Trust.  In early 2009/10 the Carbon Trust undertook a review of the existing Persistence Factor Methodology.  Following a consultation in early 2010, a revised model has now been adopted.</t>
  </si>
  <si>
    <t xml:space="preserve">Lifetime: </t>
  </si>
  <si>
    <t>This is the anticipated lifetime of a low carbon heating technology used to calculate lifetime savings. The lifetime is used in the calculation of cost to save a tonne of CO2e over the lifetime of an application</t>
  </si>
  <si>
    <t>% kWh saved:</t>
  </si>
  <si>
    <t>Clients should include the % kWh they are projecting to save.</t>
  </si>
  <si>
    <t>tCO2e pa:</t>
  </si>
  <si>
    <r>
      <t>Tonnes CO</t>
    </r>
    <r>
      <rPr>
        <vertAlign val="subscript"/>
        <sz val="10"/>
        <color theme="1"/>
        <rFont val="Verdana"/>
        <family val="2"/>
      </rPr>
      <t>2</t>
    </r>
    <r>
      <rPr>
        <sz val="10"/>
        <color theme="1"/>
        <rFont val="Verdana"/>
        <family val="2"/>
      </rPr>
      <t>e saving per annum</t>
    </r>
  </si>
  <si>
    <t>£/tCO2e LT:</t>
  </si>
  <si>
    <r>
      <t>Cost (£) per tonne CO</t>
    </r>
    <r>
      <rPr>
        <vertAlign val="subscript"/>
        <sz val="10"/>
        <rFont val="Verdana"/>
        <family val="2"/>
      </rPr>
      <t>2</t>
    </r>
    <r>
      <rPr>
        <sz val="10"/>
        <rFont val="Verdana"/>
        <family val="2"/>
      </rPr>
      <t>e saving life time</t>
    </r>
  </si>
  <si>
    <t>Ver</t>
  </si>
  <si>
    <t>Change</t>
  </si>
  <si>
    <t>By</t>
  </si>
  <si>
    <t>Aug-26</t>
  </si>
  <si>
    <t>AZ</t>
  </si>
  <si>
    <t>Jul-26</t>
  </si>
  <si>
    <t xml:space="preserve">Eligible technologies list updated to include lab upgrades and swimming pool covers. </t>
  </si>
  <si>
    <t>Apr-26</t>
  </si>
  <si>
    <t xml:space="preserve">Carbon factor conversions updated (2025).
Date updated for project compliance tool for the most recent version in the Guidance Note tab and Project Compliance Tool tabs.
Business Case Section 3 change in value to provide risk register updated. </t>
  </si>
  <si>
    <t>Nov-25</t>
  </si>
  <si>
    <t>Addition of performance management plan for Scotland SEELS Solar PV.</t>
  </si>
  <si>
    <t>Nov-23</t>
  </si>
  <si>
    <t>Updated carbon factors for electricity</t>
  </si>
  <si>
    <t>CS</t>
  </si>
  <si>
    <t xml:space="preserve">Upgrade form to become universal tool for all loan schemes.
Update carbon factors and addition of bespoke option (for distict heating).
Removal of boilers and voltage optimisation as an eligible technology.
Business case includes question for Welsh applicants.
Re-wording of questions in business case section.
</t>
  </si>
  <si>
    <t>CCT to £500 for all England clients (in effect from Aprill 2022) and match technology list to Phase 3.</t>
  </si>
  <si>
    <t>AC</t>
  </si>
  <si>
    <t xml:space="preserve">Updated carbon factors
</t>
  </si>
  <si>
    <t>NH</t>
  </si>
  <si>
    <t>Updated carbon factors
Technology list updated:
⦁ LED Lighting work types simplified to 'LED - new fitting' and 'LED - same fitting'
⦁ 'Retrofit Single Glazing' removed 
⦁ Two Floor Insulation work types added</t>
  </si>
  <si>
    <t>Added 'Salix Decarbonisation Fund' programme.
Added a pre-tender assessment form and removed the 'Project can be supported' sign-off from the normal assessment form.
Updated Heat Pump work types and updated ASHP PF from 10.83 to 12.54.
Added project cost commentary box in the business case.
Added 'Voltage Management' work types to 'Technologies Under Review' and removed:
•	CRT to flat screen LCD
•	Compact Fluorescent including changing the fitting
•	Compact Fluorescent using same fitting
•	Electronic ballast with dimming control
•	HP Sodium including new fitting
•	Induction Fluorescent including changing the fitting
•	Replace halogen with HID metal halide
•	T12/T8 to CCFL including new fitting
•	T12/T8 to CCFL using same fitting
•	T5 lighting including changing the fitting
•	T5 lighting retrofit using adaptors
•	T8 lighting including changing the fitting
•	T8 lighting retrofit using adaptors</t>
  </si>
  <si>
    <t>Rebranded</t>
  </si>
  <si>
    <t>NM &amp; BH</t>
  </si>
  <si>
    <t>Added Work Types 'Energy efficient combi-oven', 'Energy efficient convection-oven' &amp; 'Small Hydropower'.
Updated Carbon Conversion Factors.
Revised all Compliance Tools into one version.
Added 'Technologies Under Review Tab' &amp; updated Compliancy Criteria</t>
  </si>
  <si>
    <t>BH &amp; NH</t>
  </si>
  <si>
    <t>Added Work Types 'Energy Efficient X-Ray Generator'.</t>
  </si>
  <si>
    <t>BL</t>
  </si>
  <si>
    <t>Added Work Types 'CHP - Private Wire Connection', 'Direct electric heating to heat pump (water source)' and updated the ground source work types persistence factor.
Removed Work Types:
⦁ Electric to Gas - heating using CHP
⦁ Electric to Gas - heating using condensing boilers
⦁ Electric to Gas - tumble driers
Updated Compliancy Criteria to remove 5 year payback from SEELS England and Increase to £172/tCO2
Updated SEELS Scotland compliancy to £250/tCO2
Updated Carbon Conversion Factors
Added in 'Forecast p/kWh' &amp; Forecast % Change' fields</t>
  </si>
  <si>
    <t>BH &amp; BC</t>
  </si>
  <si>
    <t xml:space="preserve">Added Work Type 'Ultrasonic Humidifiers' and 'Direct electric heating to heat pump (ground source)'
</t>
  </si>
  <si>
    <t>BC</t>
  </si>
  <si>
    <t>Removed Recycling Fund Programme
Removed Work Type 'Liquid Pool Covers'
Updated to BEIS latest CO2 factors</t>
  </si>
  <si>
    <t>BH</t>
  </si>
  <si>
    <t>Added Technology 'Solar PV'</t>
  </si>
  <si>
    <t>Changed PF of Hand Dryers from 4.18 to 8.21
Added Technology 'Energy Efficient Chillers' and 'Flow restrictors'
£/tCO2 criteria revised to £120 from £100</t>
  </si>
  <si>
    <t>Added Terms and Conditions
Update to DECC CO2 factors
New PF factors
Acadamies removed as applicant type
Double glazing with metal or plastic frames added to 'Insulation - building fabric'
Phase change material added to ' Ventilation'
Efficient taps added to 'Hot Water'
Renamed Heat pump (air source) to Direct electric heating to heat pump (air source) and moved from 'renewables' to 'heating'
Added new work type for energy efficient drying cabinets
Order of work type changed to be alphabetical
Street lighting work types revised
Removed
   - Replace controls but not ballasts
   - Fit centralised controls but not ballasts</t>
  </si>
  <si>
    <t>JC</t>
  </si>
  <si>
    <t>Update to DEFRA CO2 factors
Addition of new work types
Cell for total project value included within CT
Salix % contribution field is now a calculated field
Minor formatting changes</t>
  </si>
  <si>
    <r>
      <t>Update to DEFRA CO</t>
    </r>
    <r>
      <rPr>
        <vertAlign val="subscript"/>
        <sz val="10"/>
        <rFont val="Verdana"/>
        <family val="2"/>
      </rPr>
      <t>2</t>
    </r>
    <r>
      <rPr>
        <sz val="10"/>
        <rFont val="Verdana"/>
        <family val="2"/>
      </rPr>
      <t xml:space="preserve"> factors
Minor adjustments to assessment criteria tab
Minor formatting changes</t>
    </r>
  </si>
  <si>
    <t>Added new work type for energy efficient growth cabinets
Minor formatting changes</t>
  </si>
  <si>
    <t>MC</t>
  </si>
  <si>
    <t>Added new work type for connection to district heating
Increased compatability for Excel 2003 and older</t>
  </si>
  <si>
    <r>
      <t>Major formatting changes
Consolidation of Programme-specfic Compliance Tools
Addition of new project work types
Update to DEFRA CO</t>
    </r>
    <r>
      <rPr>
        <vertAlign val="subscript"/>
        <sz val="10"/>
        <rFont val="Verdana"/>
        <family val="2"/>
      </rPr>
      <t>2</t>
    </r>
    <r>
      <rPr>
        <sz val="10"/>
        <rFont val="Verdana"/>
        <family val="2"/>
      </rPr>
      <t xml:space="preserve"> factors</t>
    </r>
  </si>
  <si>
    <t xml:space="preserve">Major formatting changes to increase backwards compatability
Break down of cost for each measure being installed </t>
  </si>
  <si>
    <t xml:space="preserve">Amended Assessment Criteria sheet (submission email)
Minor formatting changes </t>
  </si>
  <si>
    <t xml:space="preserve">Major formatting changes
CO2 factors updated to reflect new figures from DEFRA </t>
  </si>
  <si>
    <t>Version created for SEELS
Fields for pre/post kWh added
New work types added:
 - T12/T8 to CCFL including new fitting
 - T12/T8 to CCFL using same fitting</t>
  </si>
  <si>
    <t>CM</t>
  </si>
  <si>
    <t>26.1 RF SF</t>
  </si>
  <si>
    <t>Amended Voltage Management work type.</t>
  </si>
  <si>
    <t>26 RF MPS</t>
  </si>
  <si>
    <t>New compliance tool developed from v25 SF
Notes from v26 SF tool:
New DEFRA carbon conversion factors
Improved PFs for some ICT work types
Additional work types (denoted in red)
Additional work types can now be used in Multiple Fuel tool
Site life can now only be entered as numerical value
Some minor formatting fixes in percentage fields
'Voltage reduction' renamed to 'Voltage management - fixed ratio' and 'Voltage management - variable ratio' in line with Carbon Trust guide CTG045</t>
  </si>
  <si>
    <t>Work-type list name</t>
  </si>
  <si>
    <t xml:space="preserve">Client type </t>
  </si>
  <si>
    <t xml:space="preserve">Client-type list name </t>
  </si>
  <si>
    <t>Client Type Selected</t>
  </si>
  <si>
    <t>Client-type list name</t>
  </si>
  <si>
    <t>BMS</t>
  </si>
  <si>
    <t xml:space="preserve">Emergency_Services </t>
  </si>
  <si>
    <t xml:space="preserve">Further Education Institution </t>
  </si>
  <si>
    <t xml:space="preserve">Further_Education_Institution </t>
  </si>
  <si>
    <t>EfW</t>
  </si>
  <si>
    <t>Project Row</t>
  </si>
  <si>
    <t>Project Type Selected</t>
  </si>
  <si>
    <t>Work type selected</t>
  </si>
  <si>
    <t>Consistency check</t>
  </si>
  <si>
    <t>Check that all cells are ok</t>
  </si>
  <si>
    <t xml:space="preserve">Higher Education Institution </t>
  </si>
  <si>
    <t xml:space="preserve">Higher_Education_Institution </t>
  </si>
  <si>
    <t>Hand dryers</t>
  </si>
  <si>
    <t>Local_Authority</t>
  </si>
  <si>
    <t>Hot_water</t>
  </si>
  <si>
    <t>Primary_School</t>
  </si>
  <si>
    <t>Insulation_building_fabric</t>
  </si>
  <si>
    <t>Secondary_School</t>
  </si>
  <si>
    <t>Insulation_draught_proofing</t>
  </si>
  <si>
    <t>Insulation_other</t>
  </si>
  <si>
    <t>Insulation_pipework</t>
  </si>
  <si>
    <t>Lab_upgrades</t>
  </si>
  <si>
    <t>LCH</t>
  </si>
  <si>
    <t>LEDs</t>
  </si>
  <si>
    <t>Lighting_controls</t>
  </si>
  <si>
    <t>Motor_controls</t>
  </si>
  <si>
    <t>Motor_replacement</t>
  </si>
  <si>
    <t>Renewables</t>
  </si>
  <si>
    <t>Swimming_pool_covers</t>
  </si>
  <si>
    <t>Time_switches</t>
  </si>
  <si>
    <t>Transformers</t>
  </si>
  <si>
    <t>Enter Project Type first</t>
  </si>
  <si>
    <t>Programme</t>
  </si>
  <si>
    <t>PB</t>
  </si>
  <si>
    <t>£/tCO2e</t>
  </si>
  <si>
    <t>SEELS Scotland</t>
  </si>
  <si>
    <t>SEELS Wales</t>
  </si>
  <si>
    <t>Recycling Fund England HEI</t>
  </si>
  <si>
    <t>Recycling Fund England</t>
  </si>
  <si>
    <t>Recycling Fund Wales</t>
  </si>
  <si>
    <t>Overall project</t>
  </si>
  <si>
    <t>Criteria</t>
  </si>
  <si>
    <t>SEELS_England</t>
  </si>
  <si>
    <t>SEELS_Schools</t>
  </si>
  <si>
    <t>SEELS_Scotland</t>
  </si>
  <si>
    <t>SEELS_Wales</t>
  </si>
  <si>
    <t>Higher_Education_Institute</t>
  </si>
  <si>
    <t>Recycling_Fund_England_HEI</t>
  </si>
  <si>
    <t>Emergency Services</t>
  </si>
  <si>
    <t>Further_Education_Institute</t>
  </si>
  <si>
    <t>Recycling_Fund_England</t>
  </si>
  <si>
    <t xml:space="preserve">Primary School </t>
  </si>
  <si>
    <t>Recycling_Fund_Scotland</t>
  </si>
  <si>
    <t>Recycling_Fund_Wales</t>
  </si>
  <si>
    <t>Emergency_Services</t>
  </si>
  <si>
    <t>Salix_Decarbonisation_Fund</t>
  </si>
  <si>
    <t xml:space="preserve">Primary_School </t>
  </si>
  <si>
    <t>Salix Decarbonisation Fund</t>
  </si>
  <si>
    <t>Primary School (Local Authority)</t>
  </si>
  <si>
    <t>Secondary School (Local Authority)</t>
  </si>
  <si>
    <t>vlookup</t>
  </si>
  <si>
    <t>Programme Selected</t>
  </si>
  <si>
    <t>Hand_dryers</t>
  </si>
  <si>
    <t>Compliance Tool V38.2</t>
  </si>
  <si>
    <t>Assessment section</t>
  </si>
  <si>
    <t>RAG rating</t>
  </si>
  <si>
    <t>Assessor commentary</t>
  </si>
  <si>
    <t>Guidance for assessor</t>
  </si>
  <si>
    <t xml:space="preserve">Consider the project's technical feasibility in terms of good evidence for delivering expected energy savings from the information provided. </t>
  </si>
  <si>
    <r>
      <t xml:space="preserve">Consider additional technical information provided in the </t>
    </r>
    <r>
      <rPr>
        <b/>
        <sz val="9"/>
        <rFont val="Verdana"/>
        <family val="2"/>
      </rPr>
      <t>Business Case</t>
    </r>
    <r>
      <rPr>
        <sz val="9"/>
        <rFont val="Verdana"/>
        <family val="2"/>
      </rPr>
      <t xml:space="preserve"> and supporting </t>
    </r>
    <r>
      <rPr>
        <b/>
        <sz val="9"/>
        <rFont val="Verdana"/>
        <family val="2"/>
      </rPr>
      <t>data sheets</t>
    </r>
    <r>
      <rPr>
        <sz val="9"/>
        <rFont val="Verdana"/>
        <family val="2"/>
      </rPr>
      <t>. Consider the material provided to support the creditability of the supplier/contractor to deliver the project and the technology being installed.</t>
    </r>
  </si>
  <si>
    <t xml:space="preserve">Consider whether the energy savings estimate uses realistic data and assumptions, with clear methodology and evidence from similar projects. Check that energy savings match the compliance tool. Has a lighting schedule been provided for projects installing LEDs? Have Solar PV reports been provided? Consider any additional benefits, e.g. CRC, maintenance, reliability, safety, etc. </t>
  </si>
  <si>
    <r>
      <t>See</t>
    </r>
    <r>
      <rPr>
        <b/>
        <sz val="9"/>
        <rFont val="Verdana"/>
        <family val="2"/>
      </rPr>
      <t xml:space="preserve"> Business Case tab, Section 5.</t>
    </r>
    <r>
      <rPr>
        <sz val="9"/>
        <rFont val="Verdana"/>
        <family val="2"/>
      </rPr>
      <t xml:space="preserve"> Consider the monitoring plan for assessing the energy savings made by the project; i.e. project specific metering, manual measurements etc. If commentary is insufficient, set as a condition to provide. </t>
    </r>
  </si>
  <si>
    <r>
      <t xml:space="preserve">See </t>
    </r>
    <r>
      <rPr>
        <b/>
        <sz val="9"/>
        <rFont val="Verdana"/>
        <family val="2"/>
      </rPr>
      <t>Business Case tab, Section 6</t>
    </r>
    <r>
      <rPr>
        <sz val="9"/>
        <rFont val="Verdana"/>
        <family val="2"/>
      </rPr>
      <t xml:space="preserve"> and any other supporting information. Consider the methodology used to measure annual availability, kilowatt hours generated, and the financial and carbon value of the generated electricity. Consider the frequency of monitoring and the person responsible for measuring performance. Set as a condition if not provided. </t>
    </r>
  </si>
  <si>
    <r>
      <t xml:space="preserve">See </t>
    </r>
    <r>
      <rPr>
        <b/>
        <sz val="9"/>
        <rFont val="Verdana"/>
        <family val="2"/>
      </rPr>
      <t>Business Case</t>
    </r>
    <r>
      <rPr>
        <sz val="9"/>
        <rFont val="Verdana"/>
        <family val="2"/>
      </rPr>
      <t xml:space="preserve"> tab and any other supporting information (cost evidence and breakdown). Consider whether the project capital cost is clearly structured and complete, or if there are significant elements missing or unclear. Considering whether any installation costs are clearly identified and appropriate. Are there any other project costs identified such as design or project management fees. Ensure that any operating &amp; maintenance costs are clearly identified, appropriate and realistic. If there are no significant ongoing maintenance or operating costs score highly. Are the Maintenance costs expected to increase or decrease?</t>
    </r>
  </si>
  <si>
    <t xml:space="preserve">Consider the costing source information validity; i.e. single quotation, multiple quotations, cross referenced to similar projects etc. Has firm pricing been confirmed?  </t>
  </si>
  <si>
    <r>
      <t xml:space="preserve">Review the p/kWh fuel costs in the </t>
    </r>
    <r>
      <rPr>
        <b/>
        <sz val="9"/>
        <rFont val="Verdana"/>
        <family val="2"/>
      </rPr>
      <t>Compliance Tool</t>
    </r>
    <r>
      <rPr>
        <sz val="9"/>
        <rFont val="Verdana"/>
        <family val="2"/>
      </rPr>
      <t xml:space="preserve"> and any supporting commentary in </t>
    </r>
    <r>
      <rPr>
        <b/>
        <sz val="9"/>
        <rFont val="Verdana"/>
        <family val="2"/>
      </rPr>
      <t>Section 4</t>
    </r>
    <r>
      <rPr>
        <sz val="9"/>
        <rFont val="Verdana"/>
        <family val="2"/>
      </rPr>
      <t xml:space="preserve"> of the </t>
    </r>
    <r>
      <rPr>
        <b/>
        <sz val="9"/>
        <rFont val="Verdana"/>
        <family val="2"/>
      </rPr>
      <t>Business Case</t>
    </r>
    <r>
      <rPr>
        <sz val="9"/>
        <rFont val="Verdana"/>
        <family val="2"/>
      </rPr>
      <t xml:space="preserve">. Check whether the method used to determine the unit cost is clear. Assess how robust the cost savings estimate is by considering the estimated energy savings, unit energy costs and any evidence of savings from similar projects. </t>
    </r>
  </si>
  <si>
    <r>
      <t xml:space="preserve">Consider if the project payback period estimation is robust and complete. Is the CCT typical to other similar projects? See the </t>
    </r>
    <r>
      <rPr>
        <b/>
        <sz val="9"/>
        <rFont val="Verdana"/>
        <family val="2"/>
      </rPr>
      <t>Compliance Tool</t>
    </r>
    <r>
      <rPr>
        <sz val="9"/>
        <rFont val="Verdana"/>
        <family val="2"/>
      </rPr>
      <t xml:space="preserve">. </t>
    </r>
  </si>
  <si>
    <r>
      <t xml:space="preserve">See </t>
    </r>
    <r>
      <rPr>
        <b/>
        <sz val="9"/>
        <rFont val="Verdana"/>
        <family val="2"/>
      </rPr>
      <t xml:space="preserve">Business Case, Section 9 </t>
    </r>
    <r>
      <rPr>
        <sz val="9"/>
        <rFont val="Verdana"/>
        <family val="2"/>
      </rPr>
      <t xml:space="preserve">or </t>
    </r>
    <r>
      <rPr>
        <b/>
        <sz val="9"/>
        <rFont val="Verdana"/>
        <family val="2"/>
      </rPr>
      <t>risk register</t>
    </r>
    <r>
      <rPr>
        <sz val="9"/>
        <rFont val="Verdana"/>
        <family val="2"/>
      </rPr>
      <t xml:space="preserve">. Assess the project risk management and mitigation proposed, including scheduling, shutdowns, contractor access and milestones. Consider the impacts or installing or not installing the project, and highlight any significant risks the applicant has not identified. </t>
    </r>
  </si>
  <si>
    <r>
      <t xml:space="preserve">See the </t>
    </r>
    <r>
      <rPr>
        <b/>
        <sz val="9"/>
        <rFont val="Verdana"/>
        <family val="2"/>
      </rPr>
      <t>Business Case tab, Section 10</t>
    </r>
    <r>
      <rPr>
        <sz val="9"/>
        <rFont val="Verdana"/>
        <family val="2"/>
      </rPr>
      <t xml:space="preserve"> or </t>
    </r>
    <r>
      <rPr>
        <b/>
        <sz val="9"/>
        <rFont val="Verdana"/>
        <family val="2"/>
      </rPr>
      <t>Project Programme</t>
    </r>
    <r>
      <rPr>
        <sz val="9"/>
        <rFont val="Verdana"/>
        <family val="2"/>
      </rPr>
      <t>. How do the timeframes compare to other similar projects? Are there any key consideration that may delay the project, such as PFI, board sign off? Is sufficient contingency evidenced to mitigate delays to key processes?</t>
    </r>
  </si>
  <si>
    <r>
      <t>See the</t>
    </r>
    <r>
      <rPr>
        <b/>
        <sz val="9"/>
        <rFont val="Verdana"/>
        <family val="2"/>
      </rPr>
      <t xml:space="preserve"> Business Case tab, Section 8</t>
    </r>
    <r>
      <rPr>
        <sz val="9"/>
        <rFont val="Verdana"/>
        <family val="2"/>
      </rPr>
      <t>. Has the applicant and/or contractor had previous experience of similar projects? Consider case studies or other supporting information provided.</t>
    </r>
  </si>
  <si>
    <r>
      <t xml:space="preserve">See the </t>
    </r>
    <r>
      <rPr>
        <b/>
        <sz val="9"/>
        <rFont val="Verdana"/>
        <family val="2"/>
      </rPr>
      <t>Business Case tab, Section 7</t>
    </r>
    <r>
      <rPr>
        <sz val="9"/>
        <rFont val="Verdana"/>
        <family val="2"/>
      </rPr>
      <t xml:space="preserve"> and any other supporting information such as an organogram of who is involved on the project team internally and externally. </t>
    </r>
  </si>
  <si>
    <r>
      <t>Is this timeframe feasible for the technologies included in the project? See the</t>
    </r>
    <r>
      <rPr>
        <b/>
        <sz val="9"/>
        <rFont val="Verdana"/>
        <family val="2"/>
      </rPr>
      <t xml:space="preserve"> Business Case, Section 11</t>
    </r>
    <r>
      <rPr>
        <sz val="9"/>
        <rFont val="Verdana"/>
        <family val="2"/>
      </rPr>
      <t>.</t>
    </r>
  </si>
  <si>
    <r>
      <t xml:space="preserve">If no contingency provided, what should there be? Is there likely to be slippage in the project milestones? See the </t>
    </r>
    <r>
      <rPr>
        <b/>
        <sz val="9"/>
        <rFont val="Verdana"/>
        <family val="2"/>
      </rPr>
      <t>Business Case, Section 11</t>
    </r>
    <r>
      <rPr>
        <sz val="9"/>
        <rFont val="Verdana"/>
        <family val="2"/>
      </rPr>
      <t xml:space="preserve"> or the </t>
    </r>
    <r>
      <rPr>
        <b/>
        <sz val="9"/>
        <rFont val="Verdana"/>
        <family val="2"/>
      </rPr>
      <t>Project Programme</t>
    </r>
    <r>
      <rPr>
        <sz val="9"/>
        <rFont val="Verdana"/>
        <family val="2"/>
      </rPr>
      <t>, if provided (required for projects over £100,000).</t>
    </r>
  </si>
  <si>
    <r>
      <t xml:space="preserve">If not yet approved, when will approval be given? See the </t>
    </r>
    <r>
      <rPr>
        <b/>
        <sz val="9"/>
        <rFont val="Verdana"/>
        <family val="2"/>
      </rPr>
      <t>Business Case, Section 11</t>
    </r>
    <r>
      <rPr>
        <sz val="9"/>
        <rFont val="Verdana"/>
        <family val="2"/>
      </rPr>
      <t>.</t>
    </r>
  </si>
  <si>
    <r>
      <t xml:space="preserve">If not complete, then what is the process and timescale? See the </t>
    </r>
    <r>
      <rPr>
        <b/>
        <sz val="9"/>
        <rFont val="Verdana"/>
        <family val="2"/>
      </rPr>
      <t>Business Case, Section 11</t>
    </r>
    <r>
      <rPr>
        <sz val="9"/>
        <rFont val="Verdana"/>
        <family val="2"/>
      </rPr>
      <t>.</t>
    </r>
  </si>
  <si>
    <t>Provide summary notes supporting the assessment recommendation, including the good features of a sound business case. Add any additional notes, observations, reservations or comments about the business case that are not covered elsewhere.</t>
  </si>
  <si>
    <t xml:space="preserve">
</t>
  </si>
  <si>
    <t>Provide summary notes on what is needed to make an unsound business cases sound, or any conditions that must be met at a later stage of the application.</t>
  </si>
  <si>
    <r>
      <rPr>
        <b/>
        <sz val="10"/>
        <color theme="1"/>
        <rFont val="Verdana"/>
        <family val="2"/>
      </rPr>
      <t>Relevant for SSEELS only:</t>
    </r>
    <r>
      <rPr>
        <sz val="10"/>
        <color theme="1"/>
        <rFont val="Verdana"/>
        <family val="2"/>
      </rPr>
      <t xml:space="preserve">
1.6 Performance Management Plan 
(Renewable projects e.g. solar PV)</t>
    </r>
  </si>
  <si>
    <r>
      <t>Consider the project description (</t>
    </r>
    <r>
      <rPr>
        <b/>
        <sz val="9"/>
        <rFont val="Verdana"/>
        <family val="2"/>
      </rPr>
      <t>Business Case tab, Section 2</t>
    </r>
    <r>
      <rPr>
        <sz val="9"/>
        <rFont val="Verdana"/>
        <family val="2"/>
      </rPr>
      <t xml:space="preserve">) in terms of clarity, completeness, asset lifetime, energy saving potential and other benefits. Consider the contextual information provided by the applicant in support of the project. </t>
    </r>
    <r>
      <rPr>
        <b/>
        <sz val="9"/>
        <rFont val="Verdana"/>
        <family val="2"/>
      </rPr>
      <t>For Wales projects</t>
    </r>
    <r>
      <rPr>
        <sz val="9"/>
        <rFont val="Verdana"/>
        <family val="2"/>
      </rPr>
      <t xml:space="preserve">, see </t>
    </r>
    <r>
      <rPr>
        <b/>
        <sz val="9"/>
        <rFont val="Verdana"/>
        <family val="2"/>
      </rPr>
      <t>Business Case tab, Section 12</t>
    </r>
    <r>
      <rPr>
        <sz val="9"/>
        <rFont val="Verdana"/>
        <family val="2"/>
      </rPr>
      <t xml:space="preserve"> - how does the project meet the Future Generations Act 2015?</t>
    </r>
  </si>
  <si>
    <t xml:space="preserve">Eligible technologies list and project compliance tool updated to include hand dryers, lab upgrades, and swimming pool covers. 
New assessment form added.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</si>
</sst>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quot;£&quot;#,##0"/>
    <numFmt numFmtId="43" formatCode="_-* #,##0.00_-;\-* #,##0.00_-;_-* &quot;-&quot;??_-;_-@_-"/>
    <numFmt numFmtId="164" formatCode="&quot;£&quot;#,##0"/>
    <numFmt numFmtId="165" formatCode="#,##0_ ;\-#,##0\ "/>
    <numFmt numFmtId="166" formatCode="d/m/yy;@"/>
    <numFmt numFmtId="167" formatCode="_-* #,##0.000_-;\-* #,##0.000_-;_-* &quot;-&quot;??_-;_-@_-"/>
    <numFmt numFmtId="168" formatCode="#,##0.00_ ;\-#,##0.00\ "/>
    <numFmt numFmtId="169" formatCode="0.00000"/>
    <numFmt numFmtId="170" formatCode="_-* #,##0_-;\-* #,##0_-;_-* &quot;-&quot;??_-;_-@_-"/>
    <numFmt numFmtId="171" formatCode="&quot;£&quot;#,##0.00"/>
    <numFmt numFmtId="172" formatCode="[$-F800]dddd\,\ mmmm\ dd\,\ yyyy"/>
    <numFmt numFmtId="173" formatCode="0.000"/>
    <numFmt numFmtId="174" formatCode="_-* #,##0.00000_-;\-* #,##0.00000_-;_-* &quot;-&quot;??_-;_-@_-"/>
  </numFmts>
  <fonts count="95"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theme="1"/>
      <name val="Arial"/>
      <family val="2"/>
    </font>
    <font>
      <u/>
      <sz val="10"/>
      <color theme="10"/>
      <name val="Arial"/>
      <family val="2"/>
    </font>
    <font>
      <sz val="11"/>
      <color theme="1"/>
      <name val="Calibri"/>
      <family val="2"/>
      <scheme val="minor"/>
    </font>
    <font>
      <sz val="10"/>
      <color theme="1"/>
      <name val="Gill Sans MT"/>
      <family val="2"/>
    </font>
    <font>
      <b/>
      <sz val="10"/>
      <color theme="1"/>
      <name val="Gill Sans MT"/>
      <family val="2"/>
    </font>
    <font>
      <sz val="10"/>
      <name val="Gill Sans MT"/>
      <family val="2"/>
    </font>
    <font>
      <sz val="10"/>
      <color theme="1"/>
      <name val="Calibri"/>
      <family val="2"/>
      <scheme val="minor"/>
    </font>
    <font>
      <sz val="10"/>
      <name val="Calibri"/>
      <family val="2"/>
      <scheme val="minor"/>
    </font>
    <font>
      <u/>
      <sz val="10"/>
      <color theme="10"/>
      <name val="Gill Sans MT"/>
      <family val="2"/>
    </font>
    <font>
      <b/>
      <sz val="10"/>
      <color theme="1"/>
      <name val="Calibri"/>
      <family val="2"/>
      <scheme val="minor"/>
    </font>
    <font>
      <b/>
      <sz val="10"/>
      <name val="Calibri"/>
      <family val="2"/>
      <scheme val="minor"/>
    </font>
    <font>
      <sz val="12"/>
      <color theme="1"/>
      <name val="Calibri"/>
      <family val="2"/>
      <scheme val="minor"/>
    </font>
    <font>
      <b/>
      <u/>
      <sz val="12"/>
      <name val="Calibri"/>
      <family val="2"/>
      <scheme val="minor"/>
    </font>
    <font>
      <b/>
      <u/>
      <sz val="12"/>
      <color theme="1"/>
      <name val="Calibri"/>
      <family val="2"/>
      <scheme val="minor"/>
    </font>
    <font>
      <sz val="10"/>
      <color theme="0"/>
      <name val="Calibri"/>
      <family val="2"/>
      <scheme val="minor"/>
    </font>
    <font>
      <b/>
      <sz val="11"/>
      <color theme="1"/>
      <name val="Calibri"/>
      <family val="2"/>
      <scheme val="minor"/>
    </font>
    <font>
      <b/>
      <sz val="12"/>
      <color theme="1"/>
      <name val="Calibri"/>
      <family val="2"/>
      <scheme val="minor"/>
    </font>
    <font>
      <sz val="10"/>
      <name val="Verdana"/>
      <family val="2"/>
    </font>
    <font>
      <u/>
      <sz val="12"/>
      <color theme="6" tint="-0.24994659260841701"/>
      <name val="Calibri"/>
      <family val="2"/>
    </font>
    <font>
      <b/>
      <sz val="10"/>
      <color theme="0"/>
      <name val="Calibri"/>
      <family val="2"/>
      <scheme val="minor"/>
    </font>
    <font>
      <b/>
      <u/>
      <sz val="10"/>
      <color theme="1"/>
      <name val="Calibri"/>
      <family val="2"/>
      <scheme val="minor"/>
    </font>
    <font>
      <i/>
      <sz val="10"/>
      <color theme="1"/>
      <name val="Calibri"/>
      <family val="2"/>
      <scheme val="minor"/>
    </font>
    <font>
      <sz val="9"/>
      <color theme="1"/>
      <name val="Calibri"/>
      <family val="2"/>
      <scheme val="minor"/>
    </font>
    <font>
      <b/>
      <sz val="10"/>
      <color theme="0"/>
      <name val="Verdana"/>
      <family val="2"/>
    </font>
    <font>
      <sz val="10"/>
      <color rgb="FFFF0000"/>
      <name val="Verdana"/>
      <family val="2"/>
    </font>
    <font>
      <b/>
      <sz val="10"/>
      <color theme="1"/>
      <name val="Verdana"/>
      <family val="2"/>
    </font>
    <font>
      <sz val="10"/>
      <color theme="0"/>
      <name val="Verdana"/>
      <family val="2"/>
    </font>
    <font>
      <sz val="12"/>
      <color theme="1"/>
      <name val="Verdana"/>
      <family val="2"/>
    </font>
    <font>
      <sz val="16"/>
      <color theme="1"/>
      <name val="Verdana"/>
      <family val="2"/>
    </font>
    <font>
      <b/>
      <sz val="12"/>
      <color theme="1"/>
      <name val="Verdana"/>
      <family val="2"/>
    </font>
    <font>
      <u/>
      <sz val="20"/>
      <name val="Verdana"/>
      <family val="2"/>
    </font>
    <font>
      <b/>
      <u/>
      <sz val="12"/>
      <name val="Verdana"/>
      <family val="2"/>
    </font>
    <font>
      <u/>
      <sz val="10"/>
      <color theme="10"/>
      <name val="Verdana"/>
      <family val="2"/>
    </font>
    <font>
      <u/>
      <sz val="12"/>
      <color theme="1"/>
      <name val="Verdana"/>
      <family val="2"/>
    </font>
    <font>
      <u/>
      <sz val="10"/>
      <color theme="1"/>
      <name val="Verdana"/>
      <family val="2"/>
    </font>
    <font>
      <sz val="16"/>
      <name val="Verdana"/>
      <family val="2"/>
    </font>
    <font>
      <sz val="9"/>
      <name val="Verdana"/>
      <family val="2"/>
    </font>
    <font>
      <b/>
      <sz val="10"/>
      <name val="Verdana"/>
      <family val="2"/>
    </font>
    <font>
      <u/>
      <sz val="14"/>
      <name val="Verdana"/>
      <family val="2"/>
    </font>
    <font>
      <b/>
      <vertAlign val="subscript"/>
      <sz val="10"/>
      <color theme="1"/>
      <name val="Verdana"/>
      <family val="2"/>
    </font>
    <font>
      <u/>
      <sz val="10"/>
      <name val="Verdana"/>
      <family val="2"/>
    </font>
    <font>
      <sz val="11"/>
      <color rgb="FFFF0000"/>
      <name val="Verdana"/>
      <family val="2"/>
    </font>
    <font>
      <b/>
      <sz val="9"/>
      <color theme="1"/>
      <name val="Verdana"/>
      <family val="2"/>
    </font>
    <font>
      <sz val="10"/>
      <color indexed="8"/>
      <name val="Verdana"/>
      <family val="2"/>
    </font>
    <font>
      <b/>
      <vertAlign val="subscript"/>
      <sz val="10"/>
      <color theme="0"/>
      <name val="Verdana"/>
      <family val="2"/>
    </font>
    <font>
      <u/>
      <sz val="18"/>
      <color rgb="FF425426"/>
      <name val="Verdana"/>
      <family val="2"/>
    </font>
    <font>
      <sz val="18"/>
      <color rgb="FF425426"/>
      <name val="Verdana"/>
      <family val="2"/>
    </font>
    <font>
      <sz val="16"/>
      <color rgb="FF98A03B"/>
      <name val="Verdana"/>
      <family val="2"/>
    </font>
    <font>
      <b/>
      <sz val="12"/>
      <color rgb="FF425426"/>
      <name val="Verdana"/>
      <family val="2"/>
    </font>
    <font>
      <sz val="12"/>
      <name val="Verdana"/>
      <family val="2"/>
    </font>
    <font>
      <u/>
      <sz val="12"/>
      <color indexed="8"/>
      <name val="Verdana"/>
      <family val="2"/>
    </font>
    <font>
      <sz val="12"/>
      <color theme="0"/>
      <name val="Verdana"/>
      <family val="2"/>
    </font>
    <font>
      <u/>
      <sz val="12"/>
      <color theme="0"/>
      <name val="Verdana"/>
      <family val="2"/>
    </font>
    <font>
      <vertAlign val="subscript"/>
      <sz val="10"/>
      <name val="Verdana"/>
      <family val="2"/>
    </font>
    <font>
      <vertAlign val="subscript"/>
      <sz val="10"/>
      <color theme="1"/>
      <name val="Verdana"/>
      <family val="2"/>
    </font>
    <font>
      <b/>
      <sz val="9"/>
      <color theme="0"/>
      <name val="Verdana"/>
      <family val="2"/>
    </font>
    <font>
      <b/>
      <vertAlign val="subscript"/>
      <sz val="9"/>
      <color theme="0"/>
      <name val="Verdana"/>
      <family val="2"/>
    </font>
    <font>
      <b/>
      <sz val="11"/>
      <color theme="1"/>
      <name val="Verdana"/>
      <family val="2"/>
    </font>
    <font>
      <b/>
      <sz val="10"/>
      <color rgb="FF425426"/>
      <name val="Calibri"/>
      <family val="2"/>
      <scheme val="minor"/>
    </font>
    <font>
      <b/>
      <sz val="14"/>
      <color rgb="FF425426"/>
      <name val="Calibri"/>
      <family val="2"/>
      <scheme val="minor"/>
    </font>
    <font>
      <b/>
      <sz val="11"/>
      <color rgb="FF425426"/>
      <name val="Verdana"/>
      <family val="2"/>
    </font>
    <font>
      <sz val="12"/>
      <name val="Calibri"/>
      <family val="2"/>
      <scheme val="minor"/>
    </font>
    <font>
      <sz val="12"/>
      <color rgb="FFFF0000"/>
      <name val="Calibri"/>
      <family val="2"/>
      <scheme val="minor"/>
    </font>
    <font>
      <b/>
      <sz val="14"/>
      <color theme="1"/>
      <name val="Calibri"/>
      <family val="2"/>
      <scheme val="minor"/>
    </font>
    <font>
      <sz val="12"/>
      <color theme="0"/>
      <name val="Calibri"/>
      <family val="2"/>
      <scheme val="minor"/>
    </font>
    <font>
      <sz val="11"/>
      <color theme="1"/>
      <name val="Verdana"/>
      <family val="2"/>
    </font>
    <font>
      <sz val="11"/>
      <name val="Verdana"/>
      <family val="2"/>
    </font>
    <font>
      <sz val="9"/>
      <color theme="1"/>
      <name val="Verdana"/>
      <family val="2"/>
    </font>
    <font>
      <b/>
      <sz val="10"/>
      <color rgb="FFFF0000"/>
      <name val="Verdana"/>
      <family val="2"/>
    </font>
    <font>
      <b/>
      <sz val="11"/>
      <color rgb="FF382573"/>
      <name val="Verdana"/>
      <family val="2"/>
    </font>
    <font>
      <sz val="11"/>
      <color rgb="FF382573"/>
      <name val="Verdana"/>
      <family val="2"/>
    </font>
    <font>
      <b/>
      <sz val="11"/>
      <color rgb="FF382573"/>
      <name val="Gill Sans MT"/>
      <family val="2"/>
    </font>
    <font>
      <b/>
      <sz val="11"/>
      <color theme="0"/>
      <name val="Verdana"/>
      <family val="2"/>
    </font>
    <font>
      <sz val="11"/>
      <color theme="1"/>
      <name val="Gill Sans MT"/>
      <family val="2"/>
    </font>
    <font>
      <sz val="14"/>
      <name val="Verdana"/>
      <family val="2"/>
    </font>
    <font>
      <sz val="12"/>
      <color rgb="FF382573"/>
      <name val="Verdana"/>
      <family val="2"/>
    </font>
    <font>
      <b/>
      <sz val="28"/>
      <color rgb="FF382573"/>
      <name val="Verdana"/>
      <family val="2"/>
    </font>
    <font>
      <b/>
      <sz val="12"/>
      <color theme="0"/>
      <name val="Calibri"/>
      <family val="2"/>
      <scheme val="minor"/>
    </font>
    <font>
      <sz val="10"/>
      <color rgb="FF000000"/>
      <name val="Calibri"/>
      <family val="2"/>
      <scheme val="minor"/>
    </font>
    <font>
      <b/>
      <sz val="11"/>
      <color rgb="FFF4FFF5"/>
      <name val="Verdana"/>
      <family val="2"/>
    </font>
    <font>
      <u/>
      <sz val="11"/>
      <color theme="10"/>
      <name val="Calibri"/>
      <family val="2"/>
      <scheme val="minor"/>
    </font>
    <font>
      <sz val="10"/>
      <color rgb="FF000000"/>
      <name val="Verdana"/>
      <family val="2"/>
    </font>
    <font>
      <b/>
      <sz val="12"/>
      <color rgb="FFFF0000"/>
      <name val="Calibri"/>
      <family val="2"/>
      <scheme val="minor"/>
    </font>
    <font>
      <b/>
      <sz val="9"/>
      <name val="Verdana"/>
      <family val="2"/>
    </font>
  </fonts>
  <fills count="31">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
      <patternFill patternType="solid">
        <fgColor theme="6" tint="-0.499984740745262"/>
        <bgColor indexed="64"/>
      </patternFill>
    </fill>
    <fill>
      <patternFill patternType="solid">
        <fgColor theme="0"/>
        <bgColor indexed="64"/>
      </patternFill>
    </fill>
    <fill>
      <patternFill patternType="solid">
        <fgColor theme="6" tint="0.59999389629810485"/>
        <bgColor indexed="64"/>
      </patternFill>
    </fill>
    <fill>
      <patternFill patternType="solid">
        <fgColor rgb="FFF2F2F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2" tint="-9.9978637043366805E-2"/>
        <bgColor indexed="64"/>
      </patternFill>
    </fill>
    <fill>
      <patternFill patternType="solid">
        <fgColor rgb="FF2DAE76"/>
        <bgColor indexed="64"/>
      </patternFill>
    </fill>
    <fill>
      <patternFill patternType="solid">
        <fgColor rgb="FFF4FFF5"/>
        <bgColor indexed="64"/>
      </patternFill>
    </fill>
    <fill>
      <patternFill patternType="solid">
        <fgColor rgb="FF382573"/>
        <bgColor indexed="64"/>
      </patternFill>
    </fill>
    <fill>
      <patternFill patternType="solid">
        <fgColor rgb="FF6BC3C4"/>
        <bgColor indexed="64"/>
      </patternFill>
    </fill>
    <fill>
      <patternFill patternType="solid">
        <fgColor rgb="FFCAF2E1"/>
        <bgColor indexed="64"/>
      </patternFill>
    </fill>
    <fill>
      <patternFill patternType="solid">
        <fgColor theme="2"/>
        <bgColor indexed="64"/>
      </patternFill>
    </fill>
    <fill>
      <patternFill patternType="solid">
        <fgColor rgb="FFFFFFFF"/>
        <bgColor indexed="64"/>
      </patternFill>
    </fill>
    <fill>
      <patternFill patternType="solid">
        <fgColor theme="1"/>
        <bgColor theme="1"/>
      </patternFill>
    </fill>
    <fill>
      <patternFill patternType="solid">
        <fgColor theme="0" tint="-0.14999847407452621"/>
        <bgColor theme="0" tint="-0.14999847407452621"/>
      </patternFill>
    </fill>
    <fill>
      <patternFill patternType="solid">
        <fgColor theme="6"/>
        <bgColor indexed="64"/>
      </patternFill>
    </fill>
    <fill>
      <patternFill patternType="solid">
        <fgColor theme="6" tint="0.39997558519241921"/>
        <bgColor indexed="64"/>
      </patternFill>
    </fill>
    <fill>
      <patternFill patternType="solid">
        <fgColor rgb="FF92D050"/>
        <bgColor indexed="64"/>
      </patternFill>
    </fill>
    <fill>
      <patternFill patternType="solid">
        <fgColor rgb="FFFFFF00"/>
        <bgColor indexed="64"/>
      </patternFill>
    </fill>
    <fill>
      <patternFill patternType="solid">
        <fgColor rgb="FFF7FFFA"/>
        <bgColor indexed="64"/>
      </patternFill>
    </fill>
    <fill>
      <patternFill patternType="solid">
        <fgColor rgb="FF91D5D3"/>
        <bgColor indexed="64"/>
      </patternFill>
    </fill>
    <fill>
      <patternFill patternType="solid">
        <fgColor rgb="FFDBF1F1"/>
        <bgColor indexed="64"/>
      </patternFill>
    </fill>
  </fills>
  <borders count="18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hair">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style="thin">
        <color indexed="64"/>
      </bottom>
      <diagonal/>
    </border>
    <border>
      <left style="hair">
        <color theme="0" tint="-0.24994659260841701"/>
      </left>
      <right style="hair">
        <color theme="0" tint="-0.24994659260841701"/>
      </right>
      <top style="medium">
        <color indexed="64"/>
      </top>
      <bottom style="medium">
        <color indexed="64"/>
      </bottom>
      <diagonal/>
    </border>
    <border>
      <left style="hair">
        <color theme="0" tint="-0.24994659260841701"/>
      </left>
      <right style="hair">
        <color theme="0" tint="-0.24994659260841701"/>
      </right>
      <top/>
      <bottom style="hair">
        <color indexed="64"/>
      </bottom>
      <diagonal/>
    </border>
    <border>
      <left style="hair">
        <color theme="0" tint="-0.24994659260841701"/>
      </left>
      <right/>
      <top style="medium">
        <color indexed="64"/>
      </top>
      <bottom style="medium">
        <color indexed="64"/>
      </bottom>
      <diagonal/>
    </border>
    <border>
      <left/>
      <right style="hair">
        <color theme="0" tint="-0.24994659260841701"/>
      </right>
      <top style="medium">
        <color indexed="64"/>
      </top>
      <bottom style="medium">
        <color indexed="64"/>
      </bottom>
      <diagonal/>
    </border>
    <border>
      <left style="medium">
        <color indexed="64"/>
      </left>
      <right/>
      <top style="medium">
        <color indexed="64"/>
      </top>
      <bottom style="hair">
        <color theme="1"/>
      </bottom>
      <diagonal/>
    </border>
    <border>
      <left/>
      <right/>
      <top style="medium">
        <color indexed="64"/>
      </top>
      <bottom style="hair">
        <color theme="1"/>
      </bottom>
      <diagonal/>
    </border>
    <border>
      <left style="medium">
        <color indexed="64"/>
      </left>
      <right/>
      <top style="hair">
        <color theme="1"/>
      </top>
      <bottom style="hair">
        <color theme="1"/>
      </bottom>
      <diagonal/>
    </border>
    <border>
      <left/>
      <right/>
      <top style="hair">
        <color theme="1"/>
      </top>
      <bottom style="hair">
        <color theme="1"/>
      </bottom>
      <diagonal/>
    </border>
    <border>
      <left/>
      <right/>
      <top style="medium">
        <color indexed="64"/>
      </top>
      <bottom style="hair">
        <color auto="1"/>
      </bottom>
      <diagonal/>
    </border>
    <border>
      <left/>
      <right/>
      <top style="hair">
        <color auto="1"/>
      </top>
      <bottom style="hair">
        <color auto="1"/>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right/>
      <top style="thin">
        <color indexed="64"/>
      </top>
      <bottom/>
      <diagonal/>
    </border>
    <border>
      <left/>
      <right/>
      <top/>
      <bottom style="thin">
        <color indexed="64"/>
      </bottom>
      <diagonal/>
    </border>
    <border>
      <left style="medium">
        <color indexed="64"/>
      </left>
      <right/>
      <top style="hair">
        <color indexed="64"/>
      </top>
      <bottom style="hair">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theme="0" tint="-0.24994659260841701"/>
      </left>
      <right style="medium">
        <color indexed="64"/>
      </right>
      <top style="medium">
        <color indexed="64"/>
      </top>
      <bottom style="medium">
        <color indexed="64"/>
      </bottom>
      <diagonal/>
    </border>
    <border>
      <left/>
      <right style="hair">
        <color theme="0" tint="-0.24994659260841701"/>
      </right>
      <top/>
      <bottom style="hair">
        <color indexed="64"/>
      </bottom>
      <diagonal/>
    </border>
    <border>
      <left style="hair">
        <color theme="0" tint="-0.24994659260841701"/>
      </left>
      <right style="medium">
        <color indexed="64"/>
      </right>
      <top/>
      <bottom style="hair">
        <color indexed="64"/>
      </bottom>
      <diagonal/>
    </border>
    <border>
      <left style="medium">
        <color indexed="64"/>
      </left>
      <right style="medium">
        <color indexed="64"/>
      </right>
      <top/>
      <bottom style="hair">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style="thin">
        <color auto="1"/>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hair">
        <color theme="0" tint="-0.24994659260841701"/>
      </left>
      <right/>
      <top/>
      <bottom style="hair">
        <color indexed="64"/>
      </bottom>
      <diagonal/>
    </border>
    <border>
      <left/>
      <right style="hair">
        <color indexed="64"/>
      </right>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diagonal/>
    </border>
    <border>
      <left/>
      <right style="medium">
        <color indexed="64"/>
      </right>
      <top style="medium">
        <color indexed="64"/>
      </top>
      <bottom style="hair">
        <color indexed="64"/>
      </bottom>
      <diagonal/>
    </border>
    <border>
      <left style="hair">
        <color theme="0" tint="-0.24994659260841701"/>
      </left>
      <right style="hair">
        <color theme="0" tint="-0.24994659260841701"/>
      </right>
      <top style="hair">
        <color indexed="64"/>
      </top>
      <bottom style="hair">
        <color indexed="64"/>
      </bottom>
      <diagonal/>
    </border>
    <border>
      <left style="hair">
        <color theme="0" tint="-0.24994659260841701"/>
      </left>
      <right style="hair">
        <color theme="0" tint="-0.24994659260841701"/>
      </right>
      <top/>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style="medium">
        <color indexed="64"/>
      </top>
      <bottom style="medium">
        <color theme="1"/>
      </bottom>
      <diagonal/>
    </border>
    <border>
      <left/>
      <right/>
      <top style="medium">
        <color indexed="64"/>
      </top>
      <bottom style="medium">
        <color theme="1"/>
      </bottom>
      <diagonal/>
    </border>
    <border>
      <left/>
      <right style="medium">
        <color theme="1"/>
      </right>
      <top style="medium">
        <color indexed="64"/>
      </top>
      <bottom style="medium">
        <color theme="1"/>
      </bottom>
      <diagonal/>
    </border>
    <border>
      <left style="thin">
        <color theme="1"/>
      </left>
      <right style="thin">
        <color theme="1"/>
      </right>
      <top style="thin">
        <color theme="1"/>
      </top>
      <bottom style="thin">
        <color theme="1"/>
      </bottom>
      <diagonal/>
    </border>
    <border>
      <left style="medium">
        <color theme="1"/>
      </left>
      <right style="medium">
        <color indexed="64"/>
      </right>
      <top style="medium">
        <color indexed="64"/>
      </top>
      <bottom style="hair">
        <color indexed="64"/>
      </bottom>
      <diagonal/>
    </border>
    <border>
      <left style="medium">
        <color theme="1"/>
      </left>
      <right style="medium">
        <color indexed="64"/>
      </right>
      <top style="hair">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theme="1"/>
      </right>
      <top style="thin">
        <color indexed="64"/>
      </top>
      <bottom style="thin">
        <color indexed="64"/>
      </bottom>
      <diagonal/>
    </border>
    <border>
      <left style="thin">
        <color indexed="64"/>
      </left>
      <right style="medium">
        <color theme="1"/>
      </right>
      <top style="thin">
        <color indexed="64"/>
      </top>
      <bottom style="thin">
        <color indexed="64"/>
      </bottom>
      <diagonal/>
    </border>
    <border>
      <left/>
      <right style="medium">
        <color theme="1"/>
      </right>
      <top style="thin">
        <color auto="1"/>
      </top>
      <bottom/>
      <diagonal/>
    </border>
    <border>
      <left/>
      <right style="medium">
        <color theme="1"/>
      </right>
      <top/>
      <bottom style="thin">
        <color indexed="64"/>
      </bottom>
      <diagonal/>
    </border>
    <border>
      <left style="medium">
        <color theme="1"/>
      </left>
      <right/>
      <top/>
      <bottom style="thin">
        <color indexed="64"/>
      </bottom>
      <diagonal/>
    </border>
    <border>
      <left style="medium">
        <color theme="1"/>
      </left>
      <right style="thin">
        <color indexed="64"/>
      </right>
      <top style="thin">
        <color indexed="64"/>
      </top>
      <bottom style="thin">
        <color indexed="64"/>
      </bottom>
      <diagonal/>
    </border>
    <border>
      <left style="medium">
        <color theme="1"/>
      </left>
      <right/>
      <top style="thin">
        <color indexed="64"/>
      </top>
      <bottom style="thin">
        <color indexed="64"/>
      </bottom>
      <diagonal/>
    </border>
    <border>
      <left style="medium">
        <color theme="1"/>
      </left>
      <right style="thin">
        <color indexed="64"/>
      </right>
      <top/>
      <bottom style="thin">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style="thin">
        <color theme="1"/>
      </right>
      <top style="medium">
        <color indexed="64"/>
      </top>
      <bottom style="thin">
        <color theme="1"/>
      </bottom>
      <diagonal/>
    </border>
    <border>
      <left style="thin">
        <color theme="1"/>
      </left>
      <right style="thin">
        <color theme="1"/>
      </right>
      <top style="medium">
        <color indexed="64"/>
      </top>
      <bottom style="thin">
        <color theme="1"/>
      </bottom>
      <diagonal/>
    </border>
    <border>
      <left style="thin">
        <color theme="1"/>
      </left>
      <right style="medium">
        <color indexed="64"/>
      </right>
      <top style="medium">
        <color indexed="64"/>
      </top>
      <bottom style="thin">
        <color theme="1"/>
      </bottom>
      <diagonal/>
    </border>
    <border>
      <left style="medium">
        <color indexed="64"/>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style="medium">
        <color indexed="64"/>
      </right>
      <top style="thin">
        <color theme="1"/>
      </top>
      <bottom style="medium">
        <color indexed="64"/>
      </bottom>
      <diagonal/>
    </border>
    <border>
      <left style="hair">
        <color indexed="64"/>
      </left>
      <right style="hair">
        <color theme="0" tint="-0.24994659260841701"/>
      </right>
      <top style="medium">
        <color indexed="64"/>
      </top>
      <bottom style="medium">
        <color indexed="64"/>
      </bottom>
      <diagonal/>
    </border>
    <border>
      <left style="thin">
        <color theme="1"/>
      </left>
      <right/>
      <top style="thin">
        <color theme="1"/>
      </top>
      <bottom style="thin">
        <color theme="1"/>
      </bottom>
      <diagonal/>
    </border>
    <border>
      <left style="medium">
        <color indexed="64"/>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medium">
        <color indexed="64"/>
      </right>
      <top style="thin">
        <color indexed="64"/>
      </top>
      <bottom style="thin">
        <color theme="1"/>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theme="1"/>
      </left>
      <right/>
      <top style="thin">
        <color theme="1"/>
      </top>
      <bottom style="medium">
        <color indexed="64"/>
      </bottom>
      <diagonal/>
    </border>
    <border>
      <left style="thin">
        <color theme="2" tint="-0.249977111117893"/>
      </left>
      <right style="medium">
        <color theme="2" tint="-0.249977111117893"/>
      </right>
      <top style="thin">
        <color theme="2" tint="-0.249977111117893"/>
      </top>
      <bottom style="medium">
        <color theme="2" tint="-0.249977111117893"/>
      </bottom>
      <diagonal/>
    </border>
    <border>
      <left style="thin">
        <color theme="2" tint="-0.249977111117893"/>
      </left>
      <right/>
      <top style="thin">
        <color theme="2" tint="-0.249977111117893"/>
      </top>
      <bottom style="medium">
        <color theme="2" tint="-0.249977111117893"/>
      </bottom>
      <diagonal/>
    </border>
    <border>
      <left style="thin">
        <color theme="2" tint="-0.249977111117893"/>
      </left>
      <right style="thin">
        <color theme="2" tint="-0.249977111117893"/>
      </right>
      <top style="thin">
        <color theme="2" tint="-0.249977111117893"/>
      </top>
      <bottom style="medium">
        <color theme="2" tint="-0.249977111117893"/>
      </bottom>
      <diagonal/>
    </border>
    <border>
      <left style="medium">
        <color theme="2" tint="-0.249977111117893"/>
      </left>
      <right style="thin">
        <color theme="2" tint="-0.249977111117893"/>
      </right>
      <top style="thin">
        <color theme="2" tint="-0.249977111117893"/>
      </top>
      <bottom style="medium">
        <color theme="2" tint="-0.249977111117893"/>
      </bottom>
      <diagonal/>
    </border>
    <border>
      <left style="thin">
        <color theme="2" tint="-0.249977111117893"/>
      </left>
      <right style="medium">
        <color theme="2" tint="-0.249977111117893"/>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medium">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medium">
        <color theme="2" tint="-0.249977111117893"/>
      </right>
      <top style="medium">
        <color theme="2" tint="-0.249977111117893"/>
      </top>
      <bottom style="thin">
        <color theme="2" tint="-0.249977111117893"/>
      </bottom>
      <diagonal/>
    </border>
    <border>
      <left style="thin">
        <color theme="2" tint="-0.249977111117893"/>
      </left>
      <right/>
      <top style="medium">
        <color theme="2" tint="-0.249977111117893"/>
      </top>
      <bottom style="thin">
        <color theme="2" tint="-0.249977111117893"/>
      </bottom>
      <diagonal/>
    </border>
    <border>
      <left style="thin">
        <color theme="2" tint="-0.249977111117893"/>
      </left>
      <right style="thin">
        <color theme="2" tint="-0.249977111117893"/>
      </right>
      <top style="medium">
        <color theme="2" tint="-0.249977111117893"/>
      </top>
      <bottom style="thin">
        <color theme="2" tint="-0.249977111117893"/>
      </bottom>
      <diagonal/>
    </border>
    <border>
      <left style="medium">
        <color theme="2" tint="-0.249977111117893"/>
      </left>
      <right style="thin">
        <color theme="2" tint="-0.249977111117893"/>
      </right>
      <top style="medium">
        <color theme="2" tint="-0.249977111117893"/>
      </top>
      <bottom style="thin">
        <color theme="2" tint="-0.249977111117893"/>
      </bottom>
      <diagonal/>
    </border>
    <border>
      <left style="thin">
        <color theme="2" tint="-0.249977111117893"/>
      </left>
      <right style="medium">
        <color theme="2" tint="-0.249977111117893"/>
      </right>
      <top/>
      <bottom style="thin">
        <color theme="2" tint="-0.249977111117893"/>
      </bottom>
      <diagonal/>
    </border>
    <border>
      <left style="thin">
        <color theme="2" tint="-0.249977111117893"/>
      </left>
      <right/>
      <top/>
      <bottom style="thin">
        <color theme="2" tint="-0.249977111117893"/>
      </bottom>
      <diagonal/>
    </border>
    <border>
      <left style="thin">
        <color theme="2" tint="-0.249977111117893"/>
      </left>
      <right style="thin">
        <color theme="2" tint="-0.249977111117893"/>
      </right>
      <top/>
      <bottom style="thin">
        <color theme="2" tint="-0.249977111117893"/>
      </bottom>
      <diagonal/>
    </border>
    <border>
      <left style="medium">
        <color theme="2" tint="-0.249977111117893"/>
      </left>
      <right style="thin">
        <color theme="2" tint="-0.249977111117893"/>
      </right>
      <top/>
      <bottom style="thin">
        <color theme="2" tint="-0.249977111117893"/>
      </bottom>
      <diagonal/>
    </border>
    <border>
      <left style="thin">
        <color theme="2" tint="-0.249977111117893"/>
      </left>
      <right style="medium">
        <color theme="2" tint="-0.249977111117893"/>
      </right>
      <top style="medium">
        <color theme="2" tint="-0.249977111117893"/>
      </top>
      <bottom style="medium">
        <color theme="2" tint="-0.249977111117893"/>
      </bottom>
      <diagonal/>
    </border>
    <border>
      <left style="thin">
        <color theme="2" tint="-0.249977111117893"/>
      </left>
      <right/>
      <top style="medium">
        <color theme="2" tint="-0.249977111117893"/>
      </top>
      <bottom style="medium">
        <color theme="2" tint="-0.249977111117893"/>
      </bottom>
      <diagonal/>
    </border>
    <border>
      <left style="thin">
        <color theme="2" tint="-0.249977111117893"/>
      </left>
      <right style="thin">
        <color theme="2" tint="-0.249977111117893"/>
      </right>
      <top style="medium">
        <color theme="2" tint="-0.249977111117893"/>
      </top>
      <bottom style="medium">
        <color theme="2" tint="-0.249977111117893"/>
      </bottom>
      <diagonal/>
    </border>
    <border>
      <left style="medium">
        <color theme="2" tint="-0.249977111117893"/>
      </left>
      <right style="thin">
        <color theme="2" tint="-0.249977111117893"/>
      </right>
      <top style="medium">
        <color theme="2" tint="-0.249977111117893"/>
      </top>
      <bottom style="medium">
        <color theme="2" tint="-0.249977111117893"/>
      </bottom>
      <diagonal/>
    </border>
    <border>
      <left style="thin">
        <color theme="2" tint="-0.249977111117893"/>
      </left>
      <right/>
      <top/>
      <bottom style="medium">
        <color theme="2" tint="-0.249977111117893"/>
      </bottom>
      <diagonal/>
    </border>
    <border>
      <left style="thin">
        <color theme="2" tint="-0.249977111117893"/>
      </left>
      <right style="thin">
        <color theme="2" tint="-0.249977111117893"/>
      </right>
      <top/>
      <bottom style="medium">
        <color theme="2" tint="-0.249977111117893"/>
      </bottom>
      <diagonal/>
    </border>
    <border>
      <left style="medium">
        <color theme="2" tint="-0.249977111117893"/>
      </left>
      <right style="thin">
        <color theme="2" tint="-0.249977111117893"/>
      </right>
      <top style="thin">
        <color theme="2" tint="-9.9978637043366805E-2"/>
      </top>
      <bottom style="medium">
        <color theme="2" tint="-0.249977111117893"/>
      </bottom>
      <diagonal/>
    </border>
    <border>
      <left style="medium">
        <color theme="2" tint="-0.249977111117893"/>
      </left>
      <right style="thin">
        <color theme="2" tint="-0.249977111117893"/>
      </right>
      <top style="medium">
        <color theme="2" tint="-0.249977111117893"/>
      </top>
      <bottom/>
      <diagonal/>
    </border>
    <border>
      <left style="thin">
        <color theme="2" tint="-0.249977111117893"/>
      </left>
      <right/>
      <top style="thin">
        <color theme="2" tint="-0.249977111117893"/>
      </top>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medium">
        <color theme="2" tint="-0.249977111117893"/>
      </right>
      <top style="thin">
        <color theme="2" tint="-0.249977111117893"/>
      </top>
      <bottom/>
      <diagonal/>
    </border>
    <border>
      <left style="medium">
        <color theme="2" tint="-0.249977111117893"/>
      </left>
      <right style="thin">
        <color theme="2" tint="-0.249977111117893"/>
      </right>
      <top style="thin">
        <color theme="2" tint="-0.249977111117893"/>
      </top>
      <bottom/>
      <diagonal/>
    </border>
    <border>
      <left/>
      <right style="medium">
        <color theme="2" tint="-0.249977111117893"/>
      </right>
      <top style="medium">
        <color theme="2" tint="-0.249977111117893"/>
      </top>
      <bottom style="medium">
        <color theme="2" tint="-0.249977111117893"/>
      </bottom>
      <diagonal/>
    </border>
    <border>
      <left/>
      <right/>
      <top style="medium">
        <color theme="2" tint="-0.249977111117893"/>
      </top>
      <bottom style="medium">
        <color theme="2" tint="-0.249977111117893"/>
      </bottom>
      <diagonal/>
    </border>
    <border>
      <left/>
      <right/>
      <top/>
      <bottom style="medium">
        <color theme="2" tint="-0.249977111117893"/>
      </bottom>
      <diagonal/>
    </border>
    <border>
      <left style="medium">
        <color theme="2" tint="-0.249977111117893"/>
      </left>
      <right/>
      <top style="medium">
        <color theme="2" tint="-0.249977111117893"/>
      </top>
      <bottom style="medium">
        <color theme="2" tint="-0.249977111117893"/>
      </bottom>
      <diagonal/>
    </border>
    <border>
      <left/>
      <right/>
      <top style="thin">
        <color theme="4"/>
      </top>
      <bottom style="medium">
        <color theme="2" tint="-0.249977111117893"/>
      </bottom>
      <diagonal/>
    </border>
    <border>
      <left/>
      <right/>
      <top/>
      <bottom style="thin">
        <color theme="4"/>
      </bottom>
      <diagonal/>
    </border>
    <border>
      <left style="thin">
        <color theme="1"/>
      </left>
      <right style="thin">
        <color theme="1"/>
      </right>
      <top style="medium">
        <color theme="1"/>
      </top>
      <bottom style="medium">
        <color theme="1"/>
      </bottom>
      <diagonal/>
    </border>
    <border>
      <left style="thin">
        <color theme="1"/>
      </left>
      <right style="thin">
        <color theme="1"/>
      </right>
      <top style="thin">
        <color theme="1"/>
      </top>
      <bottom style="medium">
        <color theme="1"/>
      </bottom>
      <diagonal/>
    </border>
    <border>
      <left style="medium">
        <color indexed="64"/>
      </left>
      <right style="medium">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theme="2" tint="-0.249977111117893"/>
      </left>
      <right style="thin">
        <color theme="2" tint="-0.249977111117893"/>
      </right>
      <top style="medium">
        <color indexed="64"/>
      </top>
      <bottom/>
      <diagonal/>
    </border>
    <border>
      <left style="medium">
        <color indexed="64"/>
      </left>
      <right style="thin">
        <color theme="2" tint="-0.249977111117893"/>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theme="1"/>
      </top>
      <bottom style="medium">
        <color indexed="64"/>
      </bottom>
      <diagonal/>
    </border>
    <border>
      <left style="hair">
        <color indexed="64"/>
      </left>
      <right style="hair">
        <color indexed="64"/>
      </right>
      <top style="hair">
        <color indexed="64"/>
      </top>
      <bottom style="medium">
        <color indexed="64"/>
      </bottom>
      <diagonal/>
    </border>
    <border>
      <left style="thin">
        <color theme="2" tint="-0.249977111117893"/>
      </left>
      <right/>
      <top style="medium">
        <color indexed="64"/>
      </top>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medium">
        <color indexed="64"/>
      </left>
      <right/>
      <top style="medium">
        <color theme="1"/>
      </top>
      <bottom/>
      <diagonal/>
    </border>
    <border>
      <left style="medium">
        <color indexed="64"/>
      </left>
      <right/>
      <top style="medium">
        <color indexed="64"/>
      </top>
      <bottom style="medium">
        <color theme="1"/>
      </bottom>
      <diagonal/>
    </border>
    <border>
      <left style="thin">
        <color indexed="64"/>
      </left>
      <right style="thin">
        <color indexed="64"/>
      </right>
      <top/>
      <bottom style="medium">
        <color indexed="64"/>
      </bottom>
      <diagonal/>
    </border>
    <border>
      <left style="medium">
        <color indexed="64"/>
      </left>
      <right style="medium">
        <color indexed="64"/>
      </right>
      <top style="hair">
        <color theme="1"/>
      </top>
      <bottom style="hair">
        <color theme="1"/>
      </bottom>
      <diagonal/>
    </border>
    <border>
      <left style="medium">
        <color indexed="64"/>
      </left>
      <right style="medium">
        <color indexed="64"/>
      </right>
      <top style="hair">
        <color theme="1"/>
      </top>
      <bottom style="medium">
        <color indexed="64"/>
      </bottom>
      <diagonal/>
    </border>
    <border>
      <left/>
      <right style="medium">
        <color indexed="64"/>
      </right>
      <top style="medium">
        <color indexed="64"/>
      </top>
      <bottom style="medium">
        <color theme="1"/>
      </bottom>
      <diagonal/>
    </border>
    <border>
      <left style="medium">
        <color theme="2" tint="-0.249977111117893"/>
      </left>
      <right style="thin">
        <color theme="2" tint="-0.249977111117893"/>
      </right>
      <top/>
      <bottom style="medium">
        <color theme="2" tint="-0.249977111117893"/>
      </bottom>
      <diagonal/>
    </border>
    <border>
      <left style="thin">
        <color theme="2" tint="-0.249977111117893"/>
      </left>
      <right style="medium">
        <color theme="2" tint="-0.249977111117893"/>
      </right>
      <top/>
      <bottom style="medium">
        <color theme="2" tint="-0.249977111117893"/>
      </bottom>
      <diagonal/>
    </border>
    <border>
      <left style="medium">
        <color theme="2" tint="-0.249977111117893"/>
      </left>
      <right style="thin">
        <color theme="2" tint="-0.249977111117893"/>
      </right>
      <top/>
      <bottom/>
      <diagonal/>
    </border>
    <border>
      <left style="thin">
        <color theme="2" tint="-0.249977111117893"/>
      </left>
      <right style="thin">
        <color theme="2" tint="-0.249977111117893"/>
      </right>
      <top/>
      <bottom/>
      <diagonal/>
    </border>
    <border>
      <left style="thin">
        <color theme="2" tint="-0.249977111117893"/>
      </left>
      <right/>
      <top/>
      <bottom/>
      <diagonal/>
    </border>
    <border>
      <left style="thin">
        <color theme="2" tint="-0.249977111117893"/>
      </left>
      <right style="medium">
        <color theme="2" tint="-0.249977111117893"/>
      </right>
      <top/>
      <bottom/>
      <diagonal/>
    </border>
    <border>
      <left style="thin">
        <color indexed="64"/>
      </left>
      <right style="medium">
        <color theme="1"/>
      </right>
      <top/>
      <bottom/>
      <diagonal/>
    </border>
    <border>
      <left/>
      <right style="medium">
        <color indexed="64"/>
      </right>
      <top/>
      <bottom style="thin">
        <color indexed="64"/>
      </bottom>
      <diagonal/>
    </border>
  </borders>
  <cellStyleXfs count="41">
    <xf numFmtId="0" fontId="0" fillId="0" borderId="0"/>
    <xf numFmtId="43" fontId="11" fillId="0" borderId="0" applyFont="0" applyFill="0" applyBorder="0" applyAlignment="0" applyProtection="0"/>
    <xf numFmtId="0" fontId="12" fillId="0" borderId="0" applyNumberFormat="0" applyFill="0" applyBorder="0" applyAlignment="0" applyProtection="0">
      <alignment vertical="top"/>
      <protection locked="0"/>
    </xf>
    <xf numFmtId="0" fontId="13" fillId="0" borderId="0"/>
    <xf numFmtId="0" fontId="10" fillId="0" borderId="0"/>
    <xf numFmtId="9" fontId="11" fillId="0" borderId="0" applyFont="0" applyFill="0" applyBorder="0" applyAlignment="0" applyProtection="0"/>
    <xf numFmtId="0" fontId="11" fillId="0" borderId="0"/>
    <xf numFmtId="0" fontId="9" fillId="0" borderId="0"/>
    <xf numFmtId="0" fontId="8" fillId="0" borderId="0"/>
    <xf numFmtId="9" fontId="8" fillId="0" borderId="0" applyFont="0" applyFill="0" applyBorder="0" applyAlignment="0" applyProtection="0"/>
    <xf numFmtId="0" fontId="8" fillId="0" borderId="0"/>
    <xf numFmtId="0" fontId="11" fillId="0" borderId="0"/>
    <xf numFmtId="0" fontId="28" fillId="0" borderId="0"/>
    <xf numFmtId="0" fontId="22" fillId="0" borderId="0"/>
    <xf numFmtId="0" fontId="29" fillId="0" borderId="0" applyNumberFormat="0" applyFill="0" applyBorder="0" applyAlignment="0" applyProtection="0">
      <alignment vertical="top"/>
      <protection locked="0"/>
    </xf>
    <xf numFmtId="0" fontId="7" fillId="0" borderId="0"/>
    <xf numFmtId="43" fontId="11" fillId="0" borderId="0" applyFont="0" applyFill="0" applyBorder="0" applyAlignment="0" applyProtection="0"/>
    <xf numFmtId="0" fontId="11" fillId="0" borderId="0"/>
    <xf numFmtId="0" fontId="5" fillId="0" borderId="0"/>
    <xf numFmtId="9" fontId="5" fillId="0" borderId="0" applyFont="0" applyFill="0" applyBorder="0" applyAlignment="0" applyProtection="0"/>
    <xf numFmtId="0" fontId="4" fillId="0" borderId="0"/>
    <xf numFmtId="0" fontId="3" fillId="0" borderId="0"/>
    <xf numFmtId="0" fontId="12" fillId="0" borderId="0" applyNumberFormat="0" applyFill="0" applyBorder="0" applyAlignment="0" applyProtection="0">
      <alignment vertical="top"/>
      <protection locked="0"/>
    </xf>
    <xf numFmtId="0" fontId="3" fillId="0" borderId="0"/>
    <xf numFmtId="0" fontId="91" fillId="0" borderId="0" applyNumberFormat="0" applyFill="0" applyBorder="0" applyAlignment="0" applyProtection="0"/>
    <xf numFmtId="43" fontId="11"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43" fontId="11"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cellStyleXfs>
  <cellXfs count="932">
    <xf numFmtId="0" fontId="0" fillId="0" borderId="0" xfId="0"/>
    <xf numFmtId="0" fontId="0" fillId="0" borderId="0" xfId="0" quotePrefix="1"/>
    <xf numFmtId="0" fontId="0" fillId="3" borderId="0" xfId="0" applyFill="1"/>
    <xf numFmtId="0" fontId="14" fillId="0" borderId="0" xfId="0" applyFont="1"/>
    <xf numFmtId="0" fontId="14" fillId="0" borderId="0" xfId="0" applyFont="1" applyAlignment="1">
      <alignment vertical="center"/>
    </xf>
    <xf numFmtId="0" fontId="20" fillId="5" borderId="0" xfId="0" applyFont="1" applyFill="1" applyAlignment="1">
      <alignment horizontal="center" vertical="center" wrapText="1"/>
    </xf>
    <xf numFmtId="0" fontId="17" fillId="5" borderId="0" xfId="0" applyFont="1" applyFill="1" applyAlignment="1">
      <alignment vertical="center"/>
    </xf>
    <xf numFmtId="0" fontId="20" fillId="5" borderId="0" xfId="0" applyFont="1" applyFill="1" applyAlignment="1">
      <alignment vertical="center"/>
    </xf>
    <xf numFmtId="0" fontId="17" fillId="5" borderId="0" xfId="0" applyFont="1" applyFill="1" applyAlignment="1">
      <alignment horizontal="left" vertical="top" wrapText="1"/>
    </xf>
    <xf numFmtId="0" fontId="17" fillId="5" borderId="0" xfId="0" applyFont="1" applyFill="1" applyAlignment="1" applyProtection="1">
      <alignment horizontal="left" vertical="top" wrapText="1"/>
      <protection hidden="1"/>
    </xf>
    <xf numFmtId="0" fontId="17" fillId="5" borderId="0" xfId="0" applyFont="1" applyFill="1" applyAlignment="1">
      <alignment vertical="center" wrapText="1"/>
    </xf>
    <xf numFmtId="0" fontId="17" fillId="5" borderId="0" xfId="0" applyFont="1" applyFill="1"/>
    <xf numFmtId="0" fontId="17" fillId="5" borderId="0" xfId="0" applyFont="1" applyFill="1" applyAlignment="1">
      <alignment wrapText="1"/>
    </xf>
    <xf numFmtId="0" fontId="22" fillId="3" borderId="0" xfId="0" applyFont="1" applyFill="1"/>
    <xf numFmtId="0" fontId="23" fillId="3" borderId="0" xfId="0" applyFont="1" applyFill="1" applyAlignment="1">
      <alignment vertical="top"/>
    </xf>
    <xf numFmtId="0" fontId="24" fillId="3" borderId="0" xfId="0" applyFont="1" applyFill="1" applyAlignment="1">
      <alignment horizontal="left" vertical="top"/>
    </xf>
    <xf numFmtId="0" fontId="22" fillId="3" borderId="0" xfId="0" applyFont="1" applyFill="1" applyAlignment="1">
      <alignment vertical="top" wrapText="1"/>
    </xf>
    <xf numFmtId="0" fontId="17" fillId="0" borderId="0" xfId="0" applyFont="1" applyAlignment="1">
      <alignment horizontal="center"/>
    </xf>
    <xf numFmtId="166" fontId="17" fillId="0" borderId="0" xfId="0" applyNumberFormat="1" applyFont="1" applyAlignment="1">
      <alignment horizontal="center"/>
    </xf>
    <xf numFmtId="0" fontId="17" fillId="0" borderId="0" xfId="0" applyFont="1" applyAlignment="1">
      <alignment horizontal="left" wrapText="1"/>
    </xf>
    <xf numFmtId="1" fontId="17" fillId="0" borderId="0" xfId="0" applyNumberFormat="1" applyFont="1" applyAlignment="1">
      <alignment horizontal="center"/>
    </xf>
    <xf numFmtId="0" fontId="17" fillId="0" borderId="0" xfId="0" applyFont="1" applyAlignment="1">
      <alignment horizontal="left"/>
    </xf>
    <xf numFmtId="5" fontId="17" fillId="0" borderId="0" xfId="1" applyNumberFormat="1" applyFont="1"/>
    <xf numFmtId="164" fontId="17" fillId="0" borderId="0" xfId="0" applyNumberFormat="1" applyFont="1"/>
    <xf numFmtId="0" fontId="17" fillId="0" borderId="0" xfId="0" applyFont="1"/>
    <xf numFmtId="0" fontId="17" fillId="0" borderId="0" xfId="0" applyFont="1" applyAlignment="1">
      <alignment vertical="center"/>
    </xf>
    <xf numFmtId="0" fontId="17" fillId="5" borderId="0" xfId="0" applyFont="1" applyFill="1" applyAlignment="1">
      <alignment horizontal="center"/>
    </xf>
    <xf numFmtId="166" fontId="17" fillId="5" borderId="0" xfId="0" applyNumberFormat="1" applyFont="1" applyFill="1" applyAlignment="1">
      <alignment horizontal="center"/>
    </xf>
    <xf numFmtId="0" fontId="17" fillId="5" borderId="0" xfId="0" applyFont="1" applyFill="1" applyAlignment="1">
      <alignment horizontal="left" wrapText="1"/>
    </xf>
    <xf numFmtId="1" fontId="17" fillId="5" borderId="0" xfId="0" applyNumberFormat="1" applyFont="1" applyFill="1" applyAlignment="1">
      <alignment horizontal="center"/>
    </xf>
    <xf numFmtId="0" fontId="17" fillId="5" borderId="0" xfId="0" applyFont="1" applyFill="1" applyAlignment="1">
      <alignment horizontal="left"/>
    </xf>
    <xf numFmtId="5" fontId="17" fillId="5" borderId="0" xfId="1" applyNumberFormat="1" applyFont="1" applyFill="1"/>
    <xf numFmtId="164" fontId="17" fillId="5" borderId="0" xfId="0" applyNumberFormat="1" applyFont="1" applyFill="1"/>
    <xf numFmtId="0" fontId="20" fillId="5" borderId="0" xfId="0" applyFont="1" applyFill="1" applyAlignment="1" applyProtection="1">
      <alignment horizontal="left" vertical="top" wrapText="1"/>
      <protection hidden="1"/>
    </xf>
    <xf numFmtId="0" fontId="0" fillId="5" borderId="0" xfId="0" applyFill="1"/>
    <xf numFmtId="0" fontId="20" fillId="5" borderId="0" xfId="0" applyFont="1" applyFill="1" applyAlignment="1">
      <alignment horizontal="left" vertical="top" wrapText="1"/>
    </xf>
    <xf numFmtId="0" fontId="22" fillId="0" borderId="0" xfId="8" applyFont="1" applyAlignment="1" applyProtection="1">
      <alignment vertical="center"/>
      <protection hidden="1"/>
    </xf>
    <xf numFmtId="0" fontId="27" fillId="0" borderId="0" xfId="8" applyFont="1" applyAlignment="1" applyProtection="1">
      <alignment vertical="center"/>
      <protection hidden="1"/>
    </xf>
    <xf numFmtId="0" fontId="22" fillId="0" borderId="0" xfId="8" applyFont="1" applyAlignment="1" applyProtection="1">
      <alignment horizontal="center" vertical="center"/>
      <protection hidden="1"/>
    </xf>
    <xf numFmtId="0" fontId="22" fillId="0" borderId="1" xfId="8" applyFont="1" applyBorder="1" applyAlignment="1" applyProtection="1">
      <alignment vertical="center"/>
      <protection hidden="1"/>
    </xf>
    <xf numFmtId="0" fontId="22" fillId="5" borderId="0" xfId="13" applyFill="1" applyAlignment="1" applyProtection="1">
      <alignment horizontal="left" vertical="top"/>
      <protection hidden="1"/>
    </xf>
    <xf numFmtId="0" fontId="22" fillId="5" borderId="0" xfId="13" applyFill="1" applyAlignment="1" applyProtection="1">
      <alignment horizontal="left" vertical="top" wrapText="1"/>
      <protection hidden="1"/>
    </xf>
    <xf numFmtId="0" fontId="17" fillId="5" borderId="1" xfId="0" applyFont="1" applyFill="1" applyBorder="1" applyAlignment="1" applyProtection="1">
      <alignment horizontal="left" vertical="top" wrapText="1"/>
      <protection hidden="1"/>
    </xf>
    <xf numFmtId="14" fontId="17" fillId="5" borderId="0" xfId="0" applyNumberFormat="1" applyFont="1" applyFill="1" applyAlignment="1">
      <alignment vertical="center"/>
    </xf>
    <xf numFmtId="0" fontId="30" fillId="4" borderId="1" xfId="0" applyFont="1" applyFill="1" applyBorder="1" applyAlignment="1" applyProtection="1">
      <alignment vertical="top" wrapText="1"/>
      <protection locked="0" hidden="1"/>
    </xf>
    <xf numFmtId="0" fontId="17" fillId="0" borderId="0" xfId="0" applyFont="1" applyAlignment="1" applyProtection="1">
      <alignment vertical="top" wrapText="1"/>
      <protection locked="0" hidden="1"/>
    </xf>
    <xf numFmtId="0" fontId="17" fillId="2" borderId="1" xfId="0" applyFont="1" applyFill="1" applyBorder="1" applyAlignment="1" applyProtection="1">
      <alignment horizontal="left" vertical="top" wrapText="1"/>
      <protection locked="0" hidden="1"/>
    </xf>
    <xf numFmtId="1" fontId="17" fillId="0" borderId="0" xfId="0" applyNumberFormat="1" applyFont="1" applyAlignment="1" applyProtection="1">
      <alignment vertical="top" wrapText="1"/>
      <protection locked="0" hidden="1"/>
    </xf>
    <xf numFmtId="5" fontId="17" fillId="0" borderId="0" xfId="0" applyNumberFormat="1" applyFont="1" applyAlignment="1" applyProtection="1">
      <alignment vertical="top" wrapText="1"/>
      <protection locked="0" hidden="1"/>
    </xf>
    <xf numFmtId="9" fontId="17" fillId="0" borderId="0" xfId="0" applyNumberFormat="1" applyFont="1" applyAlignment="1" applyProtection="1">
      <alignment vertical="top" wrapText="1"/>
      <protection locked="0" hidden="1"/>
    </xf>
    <xf numFmtId="2" fontId="17" fillId="0" borderId="0" xfId="0" applyNumberFormat="1" applyFont="1" applyAlignment="1" applyProtection="1">
      <alignment vertical="top" wrapText="1"/>
      <protection locked="0" hidden="1"/>
    </xf>
    <xf numFmtId="43" fontId="17" fillId="0" borderId="0" xfId="0" applyNumberFormat="1" applyFont="1" applyAlignment="1" applyProtection="1">
      <alignment vertical="top" wrapText="1"/>
      <protection locked="0" hidden="1"/>
    </xf>
    <xf numFmtId="0" fontId="31" fillId="0" borderId="0" xfId="0" applyFont="1" applyAlignment="1" applyProtection="1">
      <alignment vertical="top" wrapText="1"/>
      <protection locked="0" hidden="1"/>
    </xf>
    <xf numFmtId="0" fontId="30" fillId="4" borderId="1" xfId="0" applyFont="1" applyFill="1" applyBorder="1" applyAlignment="1" applyProtection="1">
      <alignment horizontal="left" vertical="top" wrapText="1"/>
      <protection locked="0" hidden="1"/>
    </xf>
    <xf numFmtId="14" fontId="17" fillId="2" borderId="1" xfId="0" applyNumberFormat="1" applyFont="1" applyFill="1" applyBorder="1" applyAlignment="1" applyProtection="1">
      <alignment horizontal="left" vertical="top" wrapText="1"/>
      <protection locked="0" hidden="1"/>
    </xf>
    <xf numFmtId="1" fontId="17" fillId="2" borderId="1" xfId="0" applyNumberFormat="1" applyFont="1" applyFill="1" applyBorder="1" applyAlignment="1" applyProtection="1">
      <alignment horizontal="left" vertical="top" wrapText="1"/>
      <protection locked="0" hidden="1"/>
    </xf>
    <xf numFmtId="171" fontId="17" fillId="2" borderId="1" xfId="0" applyNumberFormat="1" applyFont="1" applyFill="1" applyBorder="1" applyAlignment="1" applyProtection="1">
      <alignment horizontal="left" vertical="top" wrapText="1"/>
      <protection locked="0" hidden="1"/>
    </xf>
    <xf numFmtId="9" fontId="17" fillId="2" borderId="1" xfId="5" applyFont="1" applyFill="1" applyBorder="1" applyAlignment="1" applyProtection="1">
      <alignment horizontal="left" vertical="top" wrapText="1"/>
      <protection locked="0" hidden="1"/>
    </xf>
    <xf numFmtId="0" fontId="32" fillId="2" borderId="1" xfId="0" applyFont="1" applyFill="1" applyBorder="1" applyAlignment="1" applyProtection="1">
      <alignment horizontal="left" vertical="top" wrapText="1"/>
      <protection locked="0" hidden="1"/>
    </xf>
    <xf numFmtId="9" fontId="32" fillId="2" borderId="1" xfId="5" applyFont="1" applyFill="1" applyBorder="1" applyAlignment="1" applyProtection="1">
      <alignment horizontal="left" vertical="top" wrapText="1"/>
      <protection locked="0" hidden="1"/>
    </xf>
    <xf numFmtId="2" fontId="17" fillId="2" borderId="1" xfId="0" applyNumberFormat="1" applyFont="1" applyFill="1" applyBorder="1" applyAlignment="1" applyProtection="1">
      <alignment horizontal="left" vertical="top" wrapText="1"/>
      <protection locked="0" hidden="1"/>
    </xf>
    <xf numFmtId="43" fontId="17" fillId="2" borderId="1" xfId="0" applyNumberFormat="1" applyFont="1" applyFill="1" applyBorder="1" applyAlignment="1" applyProtection="1">
      <alignment horizontal="left" vertical="top" wrapText="1"/>
      <protection locked="0" hidden="1"/>
    </xf>
    <xf numFmtId="43" fontId="17" fillId="2" borderId="1" xfId="1" applyFont="1" applyFill="1" applyBorder="1" applyAlignment="1" applyProtection="1">
      <alignment horizontal="left" vertical="top" wrapText="1"/>
      <protection locked="0" hidden="1"/>
    </xf>
    <xf numFmtId="10" fontId="17" fillId="2" borderId="1" xfId="0" applyNumberFormat="1" applyFont="1" applyFill="1" applyBorder="1" applyAlignment="1" applyProtection="1">
      <alignment horizontal="left" vertical="top" wrapText="1"/>
      <protection locked="0" hidden="1"/>
    </xf>
    <xf numFmtId="0" fontId="25" fillId="0" borderId="0" xfId="0" applyFont="1" applyAlignment="1" applyProtection="1">
      <alignment vertical="top" wrapText="1"/>
      <protection locked="0" hidden="1"/>
    </xf>
    <xf numFmtId="0" fontId="17" fillId="0" borderId="0" xfId="0" applyFont="1" applyAlignment="1">
      <alignment horizontal="left" vertical="top"/>
    </xf>
    <xf numFmtId="2" fontId="17" fillId="0" borderId="0" xfId="0" applyNumberFormat="1" applyFont="1"/>
    <xf numFmtId="0" fontId="21" fillId="0" borderId="0" xfId="0" applyFont="1" applyAlignment="1">
      <alignment horizontal="left" vertical="top"/>
    </xf>
    <xf numFmtId="0" fontId="20" fillId="0" borderId="0" xfId="0" applyFont="1" applyAlignment="1">
      <alignment horizontal="left" vertical="center"/>
    </xf>
    <xf numFmtId="0" fontId="20" fillId="0" borderId="0" xfId="0" applyFont="1" applyAlignment="1">
      <alignment vertical="center"/>
    </xf>
    <xf numFmtId="2" fontId="20" fillId="0" borderId="0" xfId="0" applyNumberFormat="1" applyFont="1" applyAlignment="1">
      <alignment vertical="center"/>
    </xf>
    <xf numFmtId="0" fontId="18" fillId="0" borderId="0" xfId="0" applyFont="1" applyAlignment="1">
      <alignment horizontal="left" vertical="top"/>
    </xf>
    <xf numFmtId="0" fontId="18" fillId="0" borderId="0" xfId="0" applyFont="1" applyAlignment="1">
      <alignment horizontal="left" vertical="top" wrapText="1"/>
    </xf>
    <xf numFmtId="0" fontId="17" fillId="0" borderId="0" xfId="0" applyFont="1" applyProtection="1">
      <protection hidden="1"/>
    </xf>
    <xf numFmtId="14" fontId="17" fillId="0" borderId="0" xfId="0" applyNumberFormat="1" applyFont="1"/>
    <xf numFmtId="0" fontId="17" fillId="0" borderId="1" xfId="0" applyFont="1" applyBorder="1" applyProtection="1">
      <protection hidden="1"/>
    </xf>
    <xf numFmtId="2" fontId="17" fillId="0" borderId="0" xfId="0" applyNumberFormat="1" applyFont="1" applyProtection="1">
      <protection hidden="1"/>
    </xf>
    <xf numFmtId="43" fontId="17" fillId="0" borderId="0" xfId="0" applyNumberFormat="1" applyFont="1" applyProtection="1">
      <protection hidden="1"/>
    </xf>
    <xf numFmtId="2" fontId="17" fillId="10" borderId="0" xfId="0" applyNumberFormat="1" applyFont="1" applyFill="1"/>
    <xf numFmtId="0" fontId="17" fillId="10" borderId="0" xfId="0" applyFont="1" applyFill="1"/>
    <xf numFmtId="0" fontId="17" fillId="12" borderId="0" xfId="0" applyFont="1" applyFill="1"/>
    <xf numFmtId="2" fontId="17" fillId="13" borderId="0" xfId="0" applyNumberFormat="1" applyFont="1" applyFill="1"/>
    <xf numFmtId="0" fontId="17" fillId="13" borderId="0" xfId="0" applyFont="1" applyFill="1"/>
    <xf numFmtId="0" fontId="17" fillId="6" borderId="0" xfId="0" applyFont="1" applyFill="1"/>
    <xf numFmtId="2" fontId="17" fillId="11" borderId="0" xfId="0" applyNumberFormat="1" applyFont="1" applyFill="1"/>
    <xf numFmtId="0" fontId="17" fillId="11" borderId="0" xfId="0" applyFont="1" applyFill="1"/>
    <xf numFmtId="0" fontId="17" fillId="14" borderId="0" xfId="0" applyFont="1" applyFill="1"/>
    <xf numFmtId="0" fontId="17" fillId="14" borderId="0" xfId="0" applyFont="1" applyFill="1" applyAlignment="1">
      <alignment horizontal="center"/>
    </xf>
    <xf numFmtId="0" fontId="17" fillId="9" borderId="0" xfId="0" applyFont="1" applyFill="1"/>
    <xf numFmtId="0" fontId="17" fillId="2" borderId="0" xfId="0" applyFont="1" applyFill="1"/>
    <xf numFmtId="49" fontId="17" fillId="2" borderId="1" xfId="0" applyNumberFormat="1" applyFont="1" applyFill="1" applyBorder="1" applyAlignment="1" applyProtection="1">
      <alignment horizontal="left" vertical="top" wrapText="1"/>
      <protection locked="0" hidden="1"/>
    </xf>
    <xf numFmtId="0" fontId="22" fillId="5" borderId="76" xfId="13" applyFill="1" applyBorder="1" applyAlignment="1" applyProtection="1">
      <alignment horizontal="left" vertical="top" wrapText="1"/>
      <protection hidden="1"/>
    </xf>
    <xf numFmtId="0" fontId="39" fillId="5" borderId="77" xfId="13" applyFont="1" applyFill="1" applyBorder="1" applyAlignment="1" applyProtection="1">
      <alignment horizontal="left" vertical="top" wrapText="1"/>
      <protection hidden="1"/>
    </xf>
    <xf numFmtId="0" fontId="6" fillId="5" borderId="77" xfId="0" applyFont="1" applyFill="1" applyBorder="1" applyAlignment="1">
      <alignment vertical="center"/>
    </xf>
    <xf numFmtId="0" fontId="40" fillId="5" borderId="77" xfId="13" applyFont="1" applyFill="1" applyBorder="1" applyAlignment="1" applyProtection="1">
      <alignment horizontal="left" vertical="top" wrapText="1"/>
      <protection hidden="1"/>
    </xf>
    <xf numFmtId="0" fontId="6" fillId="5" borderId="77" xfId="13" applyFont="1" applyFill="1" applyBorder="1" applyAlignment="1" applyProtection="1">
      <alignment horizontal="left" vertical="top" wrapText="1"/>
      <protection hidden="1"/>
    </xf>
    <xf numFmtId="0" fontId="22" fillId="15" borderId="78" xfId="13" applyFill="1" applyBorder="1" applyAlignment="1" applyProtection="1">
      <alignment horizontal="left" vertical="top" wrapText="1"/>
      <protection hidden="1"/>
    </xf>
    <xf numFmtId="0" fontId="22" fillId="5" borderId="82" xfId="0" applyFont="1" applyFill="1" applyBorder="1"/>
    <xf numFmtId="0" fontId="22" fillId="5" borderId="0" xfId="0" applyFont="1" applyFill="1"/>
    <xf numFmtId="0" fontId="22" fillId="5" borderId="83" xfId="0" applyFont="1" applyFill="1" applyBorder="1"/>
    <xf numFmtId="0" fontId="23" fillId="5" borderId="82" xfId="0" applyFont="1" applyFill="1" applyBorder="1" applyAlignment="1">
      <alignment vertical="top"/>
    </xf>
    <xf numFmtId="0" fontId="24" fillId="5" borderId="82" xfId="0" applyFont="1" applyFill="1" applyBorder="1" applyAlignment="1">
      <alignment horizontal="left" vertical="top"/>
    </xf>
    <xf numFmtId="0" fontId="22" fillId="5" borderId="83" xfId="0" applyFont="1" applyFill="1" applyBorder="1" applyAlignment="1">
      <alignment horizontal="left" vertical="top" wrapText="1"/>
    </xf>
    <xf numFmtId="0" fontId="41" fillId="5" borderId="0" xfId="0" applyFont="1" applyFill="1" applyAlignment="1">
      <alignment horizontal="left" vertical="top"/>
    </xf>
    <xf numFmtId="0" fontId="38" fillId="5" borderId="83" xfId="0" applyFont="1" applyFill="1" applyBorder="1"/>
    <xf numFmtId="0" fontId="42" fillId="5" borderId="0" xfId="0" applyFont="1" applyFill="1" applyAlignment="1">
      <alignment vertical="top"/>
    </xf>
    <xf numFmtId="0" fontId="38" fillId="5" borderId="0" xfId="0" applyFont="1" applyFill="1"/>
    <xf numFmtId="0" fontId="38" fillId="5" borderId="0" xfId="0" applyFont="1" applyFill="1" applyAlignment="1">
      <alignment horizontal="left" vertical="top" wrapText="1"/>
    </xf>
    <xf numFmtId="0" fontId="6" fillId="5" borderId="0" xfId="0" applyFont="1" applyFill="1" applyAlignment="1">
      <alignment horizontal="left" vertical="top" wrapText="1"/>
    </xf>
    <xf numFmtId="0" fontId="6" fillId="5" borderId="83" xfId="0" applyFont="1" applyFill="1" applyBorder="1" applyAlignment="1">
      <alignment horizontal="left" vertical="top" wrapText="1"/>
    </xf>
    <xf numFmtId="0" fontId="6" fillId="5" borderId="0" xfId="0" applyFont="1" applyFill="1"/>
    <xf numFmtId="0" fontId="6" fillId="5" borderId="83" xfId="0" applyFont="1" applyFill="1" applyBorder="1"/>
    <xf numFmtId="0" fontId="40" fillId="5" borderId="0" xfId="0" applyFont="1" applyFill="1" applyAlignment="1">
      <alignment horizontal="left" vertical="top"/>
    </xf>
    <xf numFmtId="165" fontId="36" fillId="5" borderId="1" xfId="1" applyNumberFormat="1" applyFont="1" applyFill="1" applyBorder="1" applyAlignment="1" applyProtection="1">
      <alignment horizontal="left" vertical="center"/>
      <protection hidden="1"/>
    </xf>
    <xf numFmtId="165" fontId="6" fillId="5" borderId="1" xfId="1" applyNumberFormat="1" applyFont="1" applyFill="1" applyBorder="1" applyAlignment="1" applyProtection="1">
      <alignment vertical="center"/>
      <protection hidden="1"/>
    </xf>
    <xf numFmtId="49" fontId="6" fillId="0" borderId="49" xfId="0" applyNumberFormat="1" applyFont="1" applyBorder="1" applyAlignment="1" applyProtection="1">
      <alignment horizontal="left" vertical="center" wrapText="1"/>
      <protection locked="0"/>
    </xf>
    <xf numFmtId="0" fontId="6" fillId="0" borderId="9" xfId="0" applyFont="1" applyBorder="1" applyAlignment="1" applyProtection="1">
      <alignment horizontal="center" vertical="center" wrapText="1"/>
      <protection locked="0"/>
    </xf>
    <xf numFmtId="2" fontId="6" fillId="0" borderId="36" xfId="0" applyNumberFormat="1" applyFont="1" applyBorder="1" applyAlignment="1" applyProtection="1">
      <alignment horizontal="center" vertical="center" wrapText="1"/>
      <protection locked="0"/>
    </xf>
    <xf numFmtId="2" fontId="6" fillId="0" borderId="58" xfId="0" applyNumberFormat="1" applyFont="1" applyBorder="1" applyAlignment="1" applyProtection="1">
      <alignment horizontal="center" vertical="center" wrapText="1"/>
      <protection locked="0"/>
    </xf>
    <xf numFmtId="165" fontId="6" fillId="0" borderId="36" xfId="1" applyNumberFormat="1" applyFont="1" applyBorder="1" applyAlignment="1" applyProtection="1">
      <alignment horizontal="center" vertical="center" wrapText="1"/>
      <protection locked="0"/>
    </xf>
    <xf numFmtId="165" fontId="6" fillId="0" borderId="9" xfId="1" applyNumberFormat="1" applyFont="1" applyBorder="1" applyAlignment="1" applyProtection="1">
      <alignment horizontal="center" vertical="center" wrapText="1"/>
      <protection locked="0"/>
    </xf>
    <xf numFmtId="171" fontId="6" fillId="0" borderId="70" xfId="1" applyNumberFormat="1" applyFont="1" applyBorder="1" applyAlignment="1" applyProtection="1">
      <alignment horizontal="center" vertical="center" wrapText="1"/>
      <protection locked="0"/>
    </xf>
    <xf numFmtId="14" fontId="6" fillId="0" borderId="75" xfId="0" applyNumberFormat="1" applyFont="1" applyBorder="1" applyAlignment="1" applyProtection="1">
      <alignment horizontal="center" vertical="center" wrapText="1"/>
      <protection locked="0"/>
    </xf>
    <xf numFmtId="14" fontId="6" fillId="0" borderId="74" xfId="0" applyNumberFormat="1" applyFont="1" applyBorder="1" applyAlignment="1" applyProtection="1">
      <alignment horizontal="center" vertical="center" wrapText="1"/>
      <protection locked="0"/>
    </xf>
    <xf numFmtId="14" fontId="6" fillId="0" borderId="36" xfId="0" applyNumberFormat="1" applyFont="1" applyBorder="1" applyAlignment="1" applyProtection="1">
      <alignment horizontal="center" vertical="center" wrapText="1"/>
      <protection locked="0"/>
    </xf>
    <xf numFmtId="0" fontId="6" fillId="5" borderId="0" xfId="0" applyFont="1" applyFill="1" applyAlignment="1">
      <alignment horizontal="center"/>
    </xf>
    <xf numFmtId="166" fontId="6" fillId="5" borderId="0" xfId="0" applyNumberFormat="1" applyFont="1" applyFill="1" applyAlignment="1">
      <alignment horizontal="center"/>
    </xf>
    <xf numFmtId="0" fontId="6" fillId="5" borderId="0" xfId="0" applyFont="1" applyFill="1" applyAlignment="1">
      <alignment horizontal="left" wrapText="1"/>
    </xf>
    <xf numFmtId="1" fontId="6" fillId="5" borderId="0" xfId="0" applyNumberFormat="1" applyFont="1" applyFill="1" applyAlignment="1">
      <alignment horizontal="center"/>
    </xf>
    <xf numFmtId="0" fontId="6" fillId="5" borderId="0" xfId="0" applyFont="1" applyFill="1" applyAlignment="1">
      <alignment horizontal="left"/>
    </xf>
    <xf numFmtId="5" fontId="6" fillId="5" borderId="0" xfId="1" applyNumberFormat="1" applyFont="1" applyFill="1"/>
    <xf numFmtId="164" fontId="6" fillId="5" borderId="0" xfId="0" applyNumberFormat="1" applyFont="1" applyFill="1"/>
    <xf numFmtId="165" fontId="34" fillId="15" borderId="18" xfId="1" applyNumberFormat="1" applyFont="1" applyFill="1" applyBorder="1" applyAlignment="1" applyProtection="1">
      <alignment vertical="center" wrapText="1"/>
      <protection hidden="1"/>
    </xf>
    <xf numFmtId="165" fontId="36" fillId="15" borderId="30" xfId="1" applyNumberFormat="1" applyFont="1" applyFill="1" applyBorder="1" applyAlignment="1" applyProtection="1">
      <alignment vertical="center"/>
      <protection hidden="1"/>
    </xf>
    <xf numFmtId="0" fontId="34" fillId="15" borderId="12" xfId="0" applyFont="1" applyFill="1" applyBorder="1" applyAlignment="1">
      <alignment horizontal="center" vertical="center" wrapText="1"/>
    </xf>
    <xf numFmtId="0" fontId="34" fillId="15" borderId="35" xfId="0" applyFont="1" applyFill="1" applyBorder="1" applyAlignment="1">
      <alignment vertical="center" wrapText="1"/>
    </xf>
    <xf numFmtId="0" fontId="34" fillId="15" borderId="35" xfId="0" applyFont="1" applyFill="1" applyBorder="1" applyAlignment="1">
      <alignment horizontal="center" vertical="center" wrapText="1"/>
    </xf>
    <xf numFmtId="0" fontId="34" fillId="15" borderId="56" xfId="0" applyFont="1" applyFill="1" applyBorder="1" applyAlignment="1">
      <alignment horizontal="center" vertical="center" wrapText="1"/>
    </xf>
    <xf numFmtId="0" fontId="34" fillId="15" borderId="13" xfId="0" applyFont="1" applyFill="1" applyBorder="1" applyAlignment="1">
      <alignment horizontal="center" vertical="center" wrapText="1"/>
    </xf>
    <xf numFmtId="0" fontId="34" fillId="15" borderId="6" xfId="0" applyFont="1" applyFill="1" applyBorder="1" applyAlignment="1">
      <alignment horizontal="center" vertical="center" wrapText="1"/>
    </xf>
    <xf numFmtId="165" fontId="34" fillId="15" borderId="12" xfId="1" applyNumberFormat="1" applyFont="1" applyFill="1" applyBorder="1" applyAlignment="1">
      <alignment horizontal="center" vertical="center" wrapText="1"/>
    </xf>
    <xf numFmtId="0" fontId="34" fillId="15" borderId="12" xfId="0" applyFont="1" applyFill="1" applyBorder="1" applyAlignment="1">
      <alignment horizontal="center" vertical="center"/>
    </xf>
    <xf numFmtId="0" fontId="34" fillId="15" borderId="17" xfId="0" applyFont="1" applyFill="1" applyBorder="1" applyAlignment="1">
      <alignment horizontal="center" vertical="center" wrapText="1"/>
    </xf>
    <xf numFmtId="9" fontId="6" fillId="16" borderId="59" xfId="5" applyFont="1" applyFill="1" applyBorder="1" applyAlignment="1" applyProtection="1">
      <alignment horizontal="center" vertical="center" wrapText="1"/>
      <protection hidden="1"/>
    </xf>
    <xf numFmtId="170" fontId="6" fillId="16" borderId="71" xfId="1" applyNumberFormat="1" applyFont="1" applyFill="1" applyBorder="1" applyAlignment="1" applyProtection="1">
      <alignment horizontal="center" vertical="center" wrapText="1"/>
      <protection hidden="1"/>
    </xf>
    <xf numFmtId="9" fontId="6" fillId="16" borderId="73" xfId="5" applyFont="1" applyFill="1" applyBorder="1" applyAlignment="1" applyProtection="1">
      <alignment horizontal="center" vertical="center" wrapText="1"/>
      <protection hidden="1"/>
    </xf>
    <xf numFmtId="170" fontId="6" fillId="16" borderId="49" xfId="1" applyNumberFormat="1" applyFont="1" applyFill="1" applyBorder="1" applyAlignment="1" applyProtection="1">
      <alignment horizontal="center" vertical="center" wrapText="1"/>
      <protection hidden="1"/>
    </xf>
    <xf numFmtId="9" fontId="6" fillId="16" borderId="46" xfId="5" applyFont="1" applyFill="1" applyBorder="1" applyAlignment="1" applyProtection="1">
      <alignment horizontal="center" vertical="center" wrapText="1"/>
      <protection hidden="1"/>
    </xf>
    <xf numFmtId="170" fontId="6" fillId="16" borderId="15" xfId="1" applyNumberFormat="1" applyFont="1" applyFill="1" applyBorder="1" applyAlignment="1" applyProtection="1">
      <alignment horizontal="center" vertical="center" wrapText="1"/>
      <protection hidden="1"/>
    </xf>
    <xf numFmtId="170" fontId="6" fillId="16" borderId="72" xfId="1" applyNumberFormat="1" applyFont="1" applyFill="1" applyBorder="1" applyAlignment="1" applyProtection="1">
      <alignment horizontal="center" vertical="center" wrapText="1"/>
      <protection hidden="1"/>
    </xf>
    <xf numFmtId="164" fontId="6" fillId="16" borderId="39" xfId="1" applyNumberFormat="1" applyFont="1" applyFill="1" applyBorder="1" applyAlignment="1" applyProtection="1">
      <alignment horizontal="center" vertical="center" wrapText="1"/>
      <protection hidden="1"/>
    </xf>
    <xf numFmtId="43" fontId="6" fillId="16" borderId="2" xfId="1" applyFont="1" applyFill="1" applyBorder="1" applyAlignment="1" applyProtection="1">
      <alignment horizontal="right" vertical="center" wrapText="1" indent="1"/>
      <protection hidden="1"/>
    </xf>
    <xf numFmtId="167" fontId="6" fillId="16" borderId="43" xfId="1" applyNumberFormat="1" applyFont="1" applyFill="1" applyBorder="1" applyAlignment="1" applyProtection="1">
      <alignment horizontal="right" vertical="center" wrapText="1" indent="1"/>
      <protection hidden="1"/>
    </xf>
    <xf numFmtId="43" fontId="6" fillId="16" borderId="40" xfId="1" applyFont="1" applyFill="1" applyBorder="1" applyAlignment="1" applyProtection="1">
      <alignment horizontal="right" vertical="center" wrapText="1" indent="1"/>
      <protection hidden="1"/>
    </xf>
    <xf numFmtId="43" fontId="6" fillId="16" borderId="3" xfId="1" applyFont="1" applyFill="1" applyBorder="1" applyAlignment="1" applyProtection="1">
      <alignment horizontal="right" vertical="center" wrapText="1" indent="1"/>
      <protection hidden="1"/>
    </xf>
    <xf numFmtId="164" fontId="6" fillId="16" borderId="41" xfId="1" applyNumberFormat="1" applyFont="1" applyFill="1" applyBorder="1" applyAlignment="1" applyProtection="1">
      <alignment horizontal="center" vertical="center" wrapText="1"/>
      <protection hidden="1"/>
    </xf>
    <xf numFmtId="43" fontId="6" fillId="16" borderId="44" xfId="1" applyFont="1" applyFill="1" applyBorder="1" applyAlignment="1" applyProtection="1">
      <alignment horizontal="right" vertical="center" wrapText="1" indent="1"/>
      <protection hidden="1"/>
    </xf>
    <xf numFmtId="43" fontId="6" fillId="16" borderId="42" xfId="1" applyFont="1" applyFill="1" applyBorder="1" applyAlignment="1" applyProtection="1">
      <alignment horizontal="right" vertical="center" wrapText="1" indent="1"/>
      <protection hidden="1"/>
    </xf>
    <xf numFmtId="43" fontId="6" fillId="16" borderId="45" xfId="1" applyFont="1" applyFill="1" applyBorder="1" applyAlignment="1" applyProtection="1">
      <alignment horizontal="right" vertical="center" wrapText="1" indent="1"/>
      <protection hidden="1"/>
    </xf>
    <xf numFmtId="164" fontId="6" fillId="5" borderId="0" xfId="1" applyNumberFormat="1" applyFont="1" applyFill="1" applyBorder="1" applyAlignment="1" applyProtection="1">
      <alignment horizontal="center" vertical="center" wrapText="1"/>
      <protection hidden="1"/>
    </xf>
    <xf numFmtId="43" fontId="6" fillId="5" borderId="0" xfId="1" applyFont="1" applyFill="1" applyBorder="1" applyAlignment="1" applyProtection="1">
      <alignment horizontal="right" vertical="center" wrapText="1" indent="2"/>
      <protection hidden="1"/>
    </xf>
    <xf numFmtId="167" fontId="6" fillId="5" borderId="0" xfId="1" applyNumberFormat="1" applyFont="1" applyFill="1" applyBorder="1" applyAlignment="1" applyProtection="1">
      <alignment horizontal="right" vertical="center" wrapText="1" indent="1"/>
      <protection hidden="1"/>
    </xf>
    <xf numFmtId="43" fontId="6" fillId="5" borderId="0" xfId="1" applyFont="1" applyFill="1" applyBorder="1" applyAlignment="1" applyProtection="1">
      <alignment horizontal="right" vertical="center" wrapText="1" indent="1"/>
      <protection hidden="1"/>
    </xf>
    <xf numFmtId="43" fontId="6" fillId="5" borderId="0" xfId="1" applyFont="1" applyFill="1" applyBorder="1" applyAlignment="1" applyProtection="1">
      <alignment horizontal="left" vertical="center" wrapText="1"/>
      <protection hidden="1"/>
    </xf>
    <xf numFmtId="0" fontId="36" fillId="5" borderId="0" xfId="0" applyFont="1" applyFill="1" applyAlignment="1" applyProtection="1">
      <alignment horizontal="center" vertical="center" wrapText="1"/>
      <protection hidden="1"/>
    </xf>
    <xf numFmtId="0" fontId="6" fillId="5" borderId="82" xfId="0" applyFont="1" applyFill="1" applyBorder="1" applyAlignment="1">
      <alignment horizontal="center" vertical="center"/>
    </xf>
    <xf numFmtId="0" fontId="6" fillId="0" borderId="82" xfId="0" applyFont="1" applyBorder="1" applyAlignment="1">
      <alignment horizontal="center" vertical="center"/>
    </xf>
    <xf numFmtId="0" fontId="6" fillId="0" borderId="88" xfId="0" applyFont="1" applyBorder="1" applyAlignment="1">
      <alignment horizontal="center" vertical="center"/>
    </xf>
    <xf numFmtId="0" fontId="6" fillId="0" borderId="89" xfId="0" applyFont="1" applyBorder="1" applyAlignment="1">
      <alignment horizontal="center" vertical="center"/>
    </xf>
    <xf numFmtId="0" fontId="6" fillId="0" borderId="82" xfId="0" applyFont="1" applyBorder="1" applyAlignment="1">
      <alignment vertical="center"/>
    </xf>
    <xf numFmtId="166" fontId="34" fillId="15" borderId="6" xfId="0" applyNumberFormat="1" applyFont="1" applyFill="1" applyBorder="1" applyAlignment="1">
      <alignment horizontal="center" vertical="center" wrapText="1"/>
    </xf>
    <xf numFmtId="172" fontId="39" fillId="0" borderId="1" xfId="8" applyNumberFormat="1" applyFont="1" applyBorder="1" applyAlignment="1" applyProtection="1">
      <alignment horizontal="left" vertical="center"/>
      <protection locked="0"/>
    </xf>
    <xf numFmtId="49" fontId="40" fillId="0" borderId="20" xfId="8" applyNumberFormat="1" applyFont="1" applyBorder="1" applyAlignment="1" applyProtection="1">
      <alignment horizontal="center" vertical="center" wrapText="1"/>
      <protection locked="0"/>
    </xf>
    <xf numFmtId="14" fontId="38" fillId="0" borderId="65" xfId="10" applyNumberFormat="1" applyFont="1" applyBorder="1" applyAlignment="1" applyProtection="1">
      <alignment horizontal="center" vertical="center"/>
      <protection locked="0"/>
    </xf>
    <xf numFmtId="1" fontId="38" fillId="0" borderId="26" xfId="10" applyNumberFormat="1" applyFont="1" applyBorder="1" applyAlignment="1" applyProtection="1">
      <alignment horizontal="center" vertical="center"/>
      <protection locked="0"/>
    </xf>
    <xf numFmtId="14" fontId="38" fillId="0" borderId="30" xfId="10" applyNumberFormat="1" applyFont="1" applyBorder="1" applyAlignment="1" applyProtection="1">
      <alignment horizontal="center" vertical="center"/>
      <protection locked="0"/>
    </xf>
    <xf numFmtId="166" fontId="6" fillId="0" borderId="0" xfId="8" applyNumberFormat="1" applyFont="1" applyAlignment="1" applyProtection="1">
      <alignment horizontal="center"/>
      <protection hidden="1"/>
    </xf>
    <xf numFmtId="0" fontId="40" fillId="0" borderId="0" xfId="0" applyFont="1" applyAlignment="1" applyProtection="1">
      <alignment vertical="center" wrapText="1"/>
      <protection hidden="1"/>
    </xf>
    <xf numFmtId="0" fontId="40" fillId="0" borderId="62" xfId="0" applyFont="1" applyBorder="1" applyAlignment="1" applyProtection="1">
      <alignment horizontal="right" vertical="center" wrapText="1"/>
      <protection hidden="1"/>
    </xf>
    <xf numFmtId="0" fontId="40" fillId="0" borderId="0" xfId="0" applyFont="1" applyAlignment="1" applyProtection="1">
      <alignment horizontal="right" vertical="center" wrapText="1"/>
      <protection hidden="1"/>
    </xf>
    <xf numFmtId="171" fontId="6" fillId="0" borderId="0" xfId="0" applyNumberFormat="1" applyFont="1" applyAlignment="1" applyProtection="1">
      <alignment horizontal="right" vertical="center" wrapText="1"/>
      <protection hidden="1"/>
    </xf>
    <xf numFmtId="171" fontId="6" fillId="0" borderId="0" xfId="0" applyNumberFormat="1" applyFont="1" applyAlignment="1" applyProtection="1">
      <alignment horizontal="left" vertical="center" wrapText="1"/>
      <protection hidden="1"/>
    </xf>
    <xf numFmtId="0" fontId="34" fillId="17" borderId="66" xfId="10" applyFont="1" applyFill="1" applyBorder="1" applyAlignment="1" applyProtection="1">
      <alignment horizontal="center" vertical="center" wrapText="1"/>
      <protection hidden="1"/>
    </xf>
    <xf numFmtId="0" fontId="34" fillId="17" borderId="67" xfId="10" applyFont="1" applyFill="1" applyBorder="1" applyAlignment="1" applyProtection="1">
      <alignment horizontal="center" vertical="center" wrapText="1"/>
      <protection hidden="1"/>
    </xf>
    <xf numFmtId="0" fontId="34" fillId="17" borderId="68" xfId="10" applyFont="1" applyFill="1" applyBorder="1" applyAlignment="1" applyProtection="1">
      <alignment horizontal="center" vertical="center" wrapText="1"/>
      <protection hidden="1"/>
    </xf>
    <xf numFmtId="0" fontId="6" fillId="8" borderId="26" xfId="10" applyFont="1" applyFill="1" applyBorder="1" applyAlignment="1" applyProtection="1">
      <alignment vertical="center"/>
      <protection hidden="1"/>
    </xf>
    <xf numFmtId="0" fontId="6" fillId="8" borderId="21" xfId="10" applyFont="1" applyFill="1" applyBorder="1" applyAlignment="1" applyProtection="1">
      <alignment vertical="center"/>
      <protection hidden="1"/>
    </xf>
    <xf numFmtId="0" fontId="38" fillId="17" borderId="21" xfId="10" applyFont="1" applyFill="1" applyBorder="1" applyAlignment="1" applyProtection="1">
      <alignment vertical="center"/>
      <protection hidden="1"/>
    </xf>
    <xf numFmtId="14" fontId="38" fillId="17" borderId="65" xfId="10" applyNumberFormat="1" applyFont="1" applyFill="1" applyBorder="1" applyAlignment="1" applyProtection="1">
      <alignment horizontal="center" vertical="center"/>
      <protection locked="0"/>
    </xf>
    <xf numFmtId="1" fontId="38" fillId="17" borderId="26" xfId="10" applyNumberFormat="1" applyFont="1" applyFill="1" applyBorder="1" applyAlignment="1" applyProtection="1">
      <alignment horizontal="center" vertical="center"/>
      <protection locked="0"/>
    </xf>
    <xf numFmtId="0" fontId="6" fillId="8" borderId="90" xfId="10" applyFont="1" applyFill="1" applyBorder="1" applyAlignment="1" applyProtection="1">
      <alignment vertical="center"/>
      <protection hidden="1"/>
    </xf>
    <xf numFmtId="0" fontId="38" fillId="0" borderId="0" xfId="8" applyFont="1" applyAlignment="1" applyProtection="1">
      <alignment vertical="center"/>
      <protection hidden="1"/>
    </xf>
    <xf numFmtId="1" fontId="62" fillId="0" borderId="0" xfId="8" applyNumberFormat="1" applyFont="1" applyAlignment="1" applyProtection="1">
      <alignment vertical="center"/>
      <protection hidden="1"/>
    </xf>
    <xf numFmtId="14" fontId="38" fillId="0" borderId="63" xfId="10" applyNumberFormat="1" applyFont="1" applyBorder="1" applyAlignment="1" applyProtection="1">
      <alignment horizontal="center" vertical="center"/>
      <protection locked="0"/>
    </xf>
    <xf numFmtId="1" fontId="38" fillId="0" borderId="91" xfId="10" applyNumberFormat="1" applyFont="1" applyBorder="1" applyAlignment="1" applyProtection="1">
      <alignment horizontal="center" vertical="center"/>
      <protection locked="0"/>
    </xf>
    <xf numFmtId="14" fontId="38" fillId="0" borderId="87" xfId="10" applyNumberFormat="1" applyFont="1" applyBorder="1" applyAlignment="1" applyProtection="1">
      <alignment horizontal="center" vertical="center"/>
      <protection locked="0"/>
    </xf>
    <xf numFmtId="166" fontId="6" fillId="0" borderId="79" xfId="8" applyNumberFormat="1" applyFont="1" applyBorder="1" applyAlignment="1" applyProtection="1">
      <alignment horizontal="center"/>
      <protection hidden="1"/>
    </xf>
    <xf numFmtId="166" fontId="6" fillId="0" borderId="80" xfId="8" applyNumberFormat="1" applyFont="1" applyBorder="1" applyAlignment="1" applyProtection="1">
      <alignment horizontal="center"/>
      <protection hidden="1"/>
    </xf>
    <xf numFmtId="166" fontId="6" fillId="0" borderId="81" xfId="8" applyNumberFormat="1" applyFont="1" applyBorder="1" applyAlignment="1" applyProtection="1">
      <alignment horizontal="center"/>
      <protection hidden="1"/>
    </xf>
    <xf numFmtId="166" fontId="39" fillId="0" borderId="82" xfId="8" applyNumberFormat="1" applyFont="1" applyBorder="1" applyAlignment="1" applyProtection="1">
      <alignment horizontal="left"/>
      <protection hidden="1"/>
    </xf>
    <xf numFmtId="166" fontId="6" fillId="0" borderId="83" xfId="8" applyNumberFormat="1" applyFont="1" applyBorder="1" applyAlignment="1" applyProtection="1">
      <alignment horizontal="center"/>
      <protection hidden="1"/>
    </xf>
    <xf numFmtId="0" fontId="38" fillId="0" borderId="82" xfId="8" applyFont="1" applyBorder="1" applyAlignment="1" applyProtection="1">
      <alignment horizontal="left" vertical="center"/>
      <protection hidden="1"/>
    </xf>
    <xf numFmtId="0" fontId="38" fillId="0" borderId="83" xfId="8" applyFont="1" applyBorder="1" applyAlignment="1" applyProtection="1">
      <alignment vertical="center"/>
      <protection hidden="1"/>
    </xf>
    <xf numFmtId="0" fontId="40" fillId="0" borderId="82" xfId="8" applyFont="1" applyBorder="1" applyAlignment="1" applyProtection="1">
      <alignment vertical="center"/>
      <protection hidden="1"/>
    </xf>
    <xf numFmtId="0" fontId="57" fillId="0" borderId="0" xfId="8" applyFont="1" applyAlignment="1" applyProtection="1">
      <alignment horizontal="left" vertical="center" wrapText="1"/>
      <protection hidden="1"/>
    </xf>
    <xf numFmtId="0" fontId="57" fillId="0" borderId="83" xfId="8" applyFont="1" applyBorder="1" applyAlignment="1" applyProtection="1">
      <alignment horizontal="left" vertical="center" wrapText="1"/>
      <protection hidden="1"/>
    </xf>
    <xf numFmtId="0" fontId="36" fillId="0" borderId="82" xfId="8" applyFont="1" applyBorder="1" applyAlignment="1" applyProtection="1">
      <alignment vertical="center"/>
      <protection hidden="1"/>
    </xf>
    <xf numFmtId="0" fontId="6" fillId="0" borderId="82" xfId="8" applyFont="1" applyBorder="1" applyAlignment="1" applyProtection="1">
      <alignment vertical="center"/>
      <protection hidden="1"/>
    </xf>
    <xf numFmtId="0" fontId="58" fillId="0" borderId="0" xfId="8" applyFont="1" applyAlignment="1" applyProtection="1">
      <alignment horizontal="right"/>
      <protection hidden="1"/>
    </xf>
    <xf numFmtId="171" fontId="38" fillId="0" borderId="93" xfId="0" applyNumberFormat="1" applyFont="1" applyBorder="1" applyAlignment="1" applyProtection="1">
      <alignment horizontal="right" vertical="center" wrapText="1"/>
      <protection locked="0"/>
    </xf>
    <xf numFmtId="171" fontId="40" fillId="0" borderId="94" xfId="0" applyNumberFormat="1" applyFont="1" applyBorder="1" applyAlignment="1" applyProtection="1">
      <alignment horizontal="right" vertical="center" wrapText="1"/>
      <protection hidden="1"/>
    </xf>
    <xf numFmtId="171" fontId="40" fillId="0" borderId="83" xfId="0" applyNumberFormat="1" applyFont="1" applyBorder="1" applyAlignment="1" applyProtection="1">
      <alignment horizontal="right" vertical="center" wrapText="1"/>
      <protection hidden="1"/>
    </xf>
    <xf numFmtId="0" fontId="38" fillId="0" borderId="0" xfId="8" applyFont="1" applyAlignment="1" applyProtection="1">
      <alignment horizontal="right" vertical="center"/>
      <protection hidden="1"/>
    </xf>
    <xf numFmtId="49" fontId="44" fillId="0" borderId="0" xfId="8" applyNumberFormat="1" applyFont="1" applyAlignment="1" applyProtection="1">
      <alignment horizontal="left" vertical="center" wrapText="1"/>
      <protection hidden="1"/>
    </xf>
    <xf numFmtId="171" fontId="6" fillId="16" borderId="93" xfId="0" applyNumberFormat="1" applyFont="1" applyFill="1" applyBorder="1" applyAlignment="1">
      <alignment horizontal="right" vertical="center" wrapText="1"/>
    </xf>
    <xf numFmtId="0" fontId="6" fillId="0" borderId="0" xfId="8" applyFont="1" applyAlignment="1" applyProtection="1">
      <alignment horizontal="right" vertical="center"/>
      <protection hidden="1"/>
    </xf>
    <xf numFmtId="0" fontId="60" fillId="0" borderId="0" xfId="8" applyFont="1" applyAlignment="1" applyProtection="1">
      <alignment horizontal="left" vertical="center" wrapText="1"/>
      <protection hidden="1"/>
    </xf>
    <xf numFmtId="166" fontId="6" fillId="0" borderId="82" xfId="8" applyNumberFormat="1" applyFont="1" applyBorder="1" applyAlignment="1" applyProtection="1">
      <alignment horizontal="center"/>
      <protection hidden="1"/>
    </xf>
    <xf numFmtId="0" fontId="6" fillId="0" borderId="0" xfId="8" applyFont="1" applyAlignment="1" applyProtection="1">
      <alignment vertical="center"/>
      <protection hidden="1"/>
    </xf>
    <xf numFmtId="0" fontId="6" fillId="0" borderId="0" xfId="8" applyFont="1" applyAlignment="1" applyProtection="1">
      <alignment horizontal="center" vertical="center"/>
      <protection hidden="1"/>
    </xf>
    <xf numFmtId="0" fontId="43" fillId="0" borderId="0" xfId="2" applyFont="1" applyBorder="1" applyAlignment="1" applyProtection="1">
      <alignment vertical="center"/>
      <protection hidden="1"/>
    </xf>
    <xf numFmtId="15" fontId="63" fillId="15" borderId="53" xfId="0" applyNumberFormat="1" applyFont="1" applyFill="1" applyBorder="1" applyAlignment="1">
      <alignment horizontal="center"/>
    </xf>
    <xf numFmtId="0" fontId="63" fillId="15" borderId="54" xfId="0" applyFont="1" applyFill="1" applyBorder="1" applyAlignment="1">
      <alignment horizontal="center"/>
    </xf>
    <xf numFmtId="0" fontId="63" fillId="15" borderId="54" xfId="0" applyFont="1" applyFill="1" applyBorder="1" applyAlignment="1">
      <alignment horizontal="left"/>
    </xf>
    <xf numFmtId="0" fontId="63" fillId="15" borderId="55" xfId="0" applyFont="1" applyFill="1" applyBorder="1" applyAlignment="1">
      <alignment horizontal="left"/>
    </xf>
    <xf numFmtId="17" fontId="28" fillId="5" borderId="25" xfId="0" applyNumberFormat="1" applyFont="1" applyFill="1" applyBorder="1" applyAlignment="1">
      <alignment horizontal="center" vertical="top"/>
    </xf>
    <xf numFmtId="0" fontId="28" fillId="5" borderId="20" xfId="0" applyFont="1" applyFill="1" applyBorder="1" applyAlignment="1">
      <alignment horizontal="center" vertical="top"/>
    </xf>
    <xf numFmtId="0" fontId="28" fillId="5" borderId="20" xfId="0" applyFont="1" applyFill="1" applyBorder="1" applyAlignment="1">
      <alignment horizontal="left" vertical="top" wrapText="1"/>
    </xf>
    <xf numFmtId="0" fontId="28" fillId="5" borderId="26" xfId="0" applyFont="1" applyFill="1" applyBorder="1" applyAlignment="1">
      <alignment horizontal="left" vertical="top"/>
    </xf>
    <xf numFmtId="17" fontId="28" fillId="5" borderId="19" xfId="0" applyNumberFormat="1" applyFont="1" applyFill="1" applyBorder="1" applyAlignment="1">
      <alignment horizontal="center" vertical="top"/>
    </xf>
    <xf numFmtId="0" fontId="28" fillId="5" borderId="1" xfId="0" applyFont="1" applyFill="1" applyBorder="1" applyAlignment="1">
      <alignment horizontal="center" vertical="top"/>
    </xf>
    <xf numFmtId="0" fontId="28" fillId="5" borderId="1" xfId="0" applyFont="1" applyFill="1" applyBorder="1" applyAlignment="1">
      <alignment horizontal="left" vertical="top" wrapText="1"/>
    </xf>
    <xf numFmtId="0" fontId="28" fillId="5" borderId="21" xfId="0" applyFont="1" applyFill="1" applyBorder="1" applyAlignment="1">
      <alignment horizontal="left" vertical="top"/>
    </xf>
    <xf numFmtId="0" fontId="28" fillId="5" borderId="1" xfId="0" applyFont="1" applyFill="1" applyBorder="1" applyAlignment="1">
      <alignment horizontal="left" wrapText="1"/>
    </xf>
    <xf numFmtId="17" fontId="6" fillId="5" borderId="25" xfId="0" applyNumberFormat="1" applyFont="1" applyFill="1" applyBorder="1" applyAlignment="1">
      <alignment horizontal="center" vertical="top"/>
    </xf>
    <xf numFmtId="0" fontId="28" fillId="5" borderId="27" xfId="0" applyFont="1" applyFill="1" applyBorder="1" applyAlignment="1">
      <alignment horizontal="left" vertical="top" wrapText="1"/>
    </xf>
    <xf numFmtId="0" fontId="6" fillId="5" borderId="20" xfId="0" applyFont="1" applyFill="1" applyBorder="1" applyAlignment="1">
      <alignment horizontal="center" vertical="top"/>
    </xf>
    <xf numFmtId="0" fontId="6" fillId="5" borderId="20" xfId="0" applyFont="1" applyFill="1" applyBorder="1" applyAlignment="1">
      <alignment vertical="top" wrapText="1"/>
    </xf>
    <xf numFmtId="0" fontId="28" fillId="5" borderId="26" xfId="0" applyFont="1" applyFill="1" applyBorder="1" applyAlignment="1">
      <alignment vertical="top"/>
    </xf>
    <xf numFmtId="17" fontId="6" fillId="5" borderId="19" xfId="0" applyNumberFormat="1" applyFont="1" applyFill="1" applyBorder="1" applyAlignment="1">
      <alignment horizontal="center" vertical="top"/>
    </xf>
    <xf numFmtId="0" fontId="6" fillId="5" borderId="1" xfId="0" applyFont="1" applyFill="1" applyBorder="1" applyAlignment="1">
      <alignment horizontal="center" vertical="top"/>
    </xf>
    <xf numFmtId="0" fontId="6" fillId="5" borderId="1" xfId="0" applyFont="1" applyFill="1" applyBorder="1" applyAlignment="1">
      <alignment vertical="top" wrapText="1"/>
    </xf>
    <xf numFmtId="0" fontId="28" fillId="5" borderId="21" xfId="0" applyFont="1" applyFill="1" applyBorder="1" applyAlignment="1">
      <alignment vertical="top"/>
    </xf>
    <xf numFmtId="17" fontId="6" fillId="5" borderId="22" xfId="0" applyNumberFormat="1" applyFont="1" applyFill="1" applyBorder="1" applyAlignment="1">
      <alignment horizontal="center" vertical="top"/>
    </xf>
    <xf numFmtId="0" fontId="6" fillId="5" borderId="23" xfId="0" applyFont="1" applyFill="1" applyBorder="1" applyAlignment="1">
      <alignment horizontal="center" vertical="top"/>
    </xf>
    <xf numFmtId="0" fontId="6" fillId="5" borderId="23" xfId="0" applyFont="1" applyFill="1" applyBorder="1" applyAlignment="1">
      <alignment vertical="top" wrapText="1"/>
    </xf>
    <xf numFmtId="0" fontId="28" fillId="5" borderId="24" xfId="0" applyFont="1" applyFill="1" applyBorder="1" applyAlignment="1">
      <alignment vertical="top"/>
    </xf>
    <xf numFmtId="0" fontId="19" fillId="0" borderId="0" xfId="2" applyFont="1" applyFill="1" applyAlignment="1" applyProtection="1">
      <alignment vertical="center"/>
    </xf>
    <xf numFmtId="0" fontId="19" fillId="15" borderId="14" xfId="2" applyFont="1" applyFill="1" applyBorder="1" applyAlignment="1" applyProtection="1">
      <alignment vertical="center"/>
    </xf>
    <xf numFmtId="0" fontId="14" fillId="15" borderId="12" xfId="0" applyFont="1" applyFill="1" applyBorder="1" applyAlignment="1">
      <alignment vertical="center"/>
    </xf>
    <xf numFmtId="0" fontId="14" fillId="15" borderId="17" xfId="0" applyFont="1" applyFill="1" applyBorder="1" applyAlignment="1">
      <alignment vertical="center"/>
    </xf>
    <xf numFmtId="0" fontId="19" fillId="0" borderId="0" xfId="2" applyFont="1" applyFill="1" applyAlignment="1" applyProtection="1"/>
    <xf numFmtId="0" fontId="28" fillId="0" borderId="50" xfId="4" applyFont="1" applyBorder="1" applyAlignment="1">
      <alignment horizontal="left" vertical="center"/>
    </xf>
    <xf numFmtId="169" fontId="28" fillId="0" borderId="31" xfId="0" applyNumberFormat="1" applyFont="1" applyBorder="1" applyAlignment="1">
      <alignment horizontal="center" vertical="center"/>
    </xf>
    <xf numFmtId="0" fontId="28" fillId="0" borderId="52" xfId="4" applyFont="1" applyBorder="1" applyAlignment="1">
      <alignment horizontal="left" vertical="center"/>
    </xf>
    <xf numFmtId="169" fontId="28" fillId="0" borderId="28" xfId="0" applyNumberFormat="1" applyFont="1" applyBorder="1" applyAlignment="1">
      <alignment horizontal="center" vertical="center"/>
    </xf>
    <xf numFmtId="0" fontId="6" fillId="0" borderId="51" xfId="0" applyFont="1" applyBorder="1" applyAlignment="1">
      <alignment horizontal="left" vertical="center"/>
    </xf>
    <xf numFmtId="0" fontId="28" fillId="0" borderId="51" xfId="4" applyFont="1" applyBorder="1" applyAlignment="1">
      <alignment horizontal="left" vertical="center"/>
    </xf>
    <xf numFmtId="169" fontId="28" fillId="0" borderId="28" xfId="4" applyNumberFormat="1" applyFont="1" applyBorder="1" applyAlignment="1">
      <alignment horizontal="center" vertical="center"/>
    </xf>
    <xf numFmtId="0" fontId="6" fillId="0" borderId="51" xfId="0" applyFont="1" applyBorder="1" applyAlignment="1">
      <alignment vertical="center"/>
    </xf>
    <xf numFmtId="0" fontId="6" fillId="0" borderId="15" xfId="0" applyFont="1" applyBorder="1" applyAlignment="1">
      <alignment vertical="center"/>
    </xf>
    <xf numFmtId="0" fontId="28" fillId="0" borderId="51" xfId="0" applyFont="1" applyBorder="1" applyAlignment="1">
      <alignment vertical="center"/>
    </xf>
    <xf numFmtId="169" fontId="28" fillId="0" borderId="29" xfId="4" applyNumberFormat="1" applyFont="1" applyBorder="1" applyAlignment="1">
      <alignment horizontal="center" vertical="center"/>
    </xf>
    <xf numFmtId="14" fontId="28" fillId="5" borderId="48" xfId="6" applyNumberFormat="1" applyFont="1" applyFill="1" applyBorder="1" applyAlignment="1">
      <alignment horizontal="left" vertical="center"/>
    </xf>
    <xf numFmtId="0" fontId="28" fillId="5" borderId="48" xfId="6" applyFont="1" applyFill="1" applyBorder="1" applyAlignment="1">
      <alignment horizontal="left" vertical="center"/>
    </xf>
    <xf numFmtId="0" fontId="28" fillId="5" borderId="32" xfId="6" applyFont="1" applyFill="1" applyBorder="1" applyAlignment="1">
      <alignment horizontal="left" vertical="center" wrapText="1"/>
    </xf>
    <xf numFmtId="0" fontId="28" fillId="5" borderId="34" xfId="6" applyFont="1" applyFill="1" applyBorder="1" applyAlignment="1">
      <alignment horizontal="left" vertical="center"/>
    </xf>
    <xf numFmtId="0" fontId="28" fillId="5" borderId="47" xfId="6" applyFont="1" applyFill="1" applyBorder="1" applyAlignment="1">
      <alignment horizontal="left" vertical="center"/>
    </xf>
    <xf numFmtId="0" fontId="28" fillId="5" borderId="33" xfId="6" applyFont="1" applyFill="1" applyBorder="1" applyAlignment="1">
      <alignment horizontal="left" vertical="center" wrapText="1"/>
    </xf>
    <xf numFmtId="0" fontId="36" fillId="5" borderId="8" xfId="0" applyFont="1" applyFill="1" applyBorder="1" applyAlignment="1">
      <alignment vertical="top" wrapText="1"/>
    </xf>
    <xf numFmtId="0" fontId="15" fillId="15" borderId="100" xfId="0" applyFont="1" applyFill="1" applyBorder="1" applyAlignment="1">
      <alignment vertical="top" wrapText="1"/>
    </xf>
    <xf numFmtId="0" fontId="15" fillId="15" borderId="101" xfId="0" applyFont="1" applyFill="1" applyBorder="1" applyAlignment="1">
      <alignment vertical="top" wrapText="1"/>
    </xf>
    <xf numFmtId="0" fontId="15" fillId="15" borderId="102" xfId="0" applyFont="1" applyFill="1" applyBorder="1" applyAlignment="1">
      <alignment vertical="top" wrapText="1"/>
    </xf>
    <xf numFmtId="166" fontId="17" fillId="15" borderId="100" xfId="8" applyNumberFormat="1" applyFont="1" applyFill="1" applyBorder="1" applyAlignment="1" applyProtection="1">
      <alignment horizontal="center"/>
      <protection hidden="1"/>
    </xf>
    <xf numFmtId="166" fontId="17" fillId="15" borderId="101" xfId="8" applyNumberFormat="1" applyFont="1" applyFill="1" applyBorder="1" applyAlignment="1" applyProtection="1">
      <alignment horizontal="center"/>
      <protection hidden="1"/>
    </xf>
    <xf numFmtId="166" fontId="17" fillId="15" borderId="102" xfId="8" applyNumberFormat="1" applyFont="1" applyFill="1" applyBorder="1" applyAlignment="1" applyProtection="1">
      <alignment horizontal="center"/>
      <protection hidden="1"/>
    </xf>
    <xf numFmtId="164" fontId="66" fillId="15" borderId="14" xfId="1" applyNumberFormat="1" applyFont="1" applyFill="1" applyBorder="1" applyAlignment="1" applyProtection="1">
      <alignment horizontal="center" vertical="center" wrapText="1"/>
      <protection hidden="1"/>
    </xf>
    <xf numFmtId="0" fontId="6" fillId="15" borderId="14" xfId="0" applyFont="1" applyFill="1" applyBorder="1" applyAlignment="1">
      <alignment vertical="center"/>
    </xf>
    <xf numFmtId="0" fontId="6" fillId="15" borderId="12" xfId="0" applyFont="1" applyFill="1" applyBorder="1" applyAlignment="1">
      <alignment vertical="center"/>
    </xf>
    <xf numFmtId="0" fontId="6" fillId="15" borderId="17" xfId="0" applyFont="1" applyFill="1" applyBorder="1" applyAlignment="1">
      <alignment vertical="center"/>
    </xf>
    <xf numFmtId="171" fontId="6" fillId="5" borderId="5" xfId="1" applyNumberFormat="1" applyFont="1" applyFill="1" applyBorder="1" applyAlignment="1" applyProtection="1">
      <alignment horizontal="center" vertical="center" wrapText="1"/>
      <protection locked="0"/>
    </xf>
    <xf numFmtId="171" fontId="6" fillId="16" borderId="5" xfId="1" applyNumberFormat="1" applyFont="1" applyFill="1" applyBorder="1" applyAlignment="1" applyProtection="1">
      <alignment horizontal="center" vertical="center" wrapText="1"/>
      <protection hidden="1"/>
    </xf>
    <xf numFmtId="164" fontId="6" fillId="16" borderId="6" xfId="1" applyNumberFormat="1" applyFont="1" applyFill="1" applyBorder="1" applyAlignment="1" applyProtection="1">
      <alignment horizontal="center" vertical="center" wrapText="1"/>
      <protection hidden="1"/>
    </xf>
    <xf numFmtId="2" fontId="6" fillId="16" borderId="6" xfId="1" applyNumberFormat="1" applyFont="1" applyFill="1" applyBorder="1" applyAlignment="1" applyProtection="1">
      <alignment horizontal="center" vertical="center" wrapText="1"/>
      <protection hidden="1"/>
    </xf>
    <xf numFmtId="167" fontId="6" fillId="16" borderId="6" xfId="1" applyNumberFormat="1" applyFont="1" applyFill="1" applyBorder="1" applyAlignment="1" applyProtection="1">
      <alignment horizontal="right" vertical="center" wrapText="1" indent="1"/>
      <protection hidden="1"/>
    </xf>
    <xf numFmtId="43" fontId="6" fillId="16" borderId="6" xfId="1" applyFont="1" applyFill="1" applyBorder="1" applyAlignment="1" applyProtection="1">
      <alignment horizontal="right" vertical="center" wrapText="1" indent="1"/>
      <protection hidden="1"/>
    </xf>
    <xf numFmtId="43" fontId="6" fillId="16" borderId="6" xfId="1" applyFont="1" applyFill="1" applyBorder="1" applyAlignment="1" applyProtection="1">
      <alignment horizontal="left" vertical="center" wrapText="1"/>
      <protection hidden="1"/>
    </xf>
    <xf numFmtId="43" fontId="6" fillId="16" borderId="7" xfId="1" applyFont="1" applyFill="1" applyBorder="1" applyAlignment="1" applyProtection="1">
      <alignment horizontal="left" vertical="center" wrapText="1"/>
      <protection hidden="1"/>
    </xf>
    <xf numFmtId="0" fontId="36" fillId="16" borderId="7" xfId="0" applyFont="1" applyFill="1" applyBorder="1" applyAlignment="1" applyProtection="1">
      <alignment horizontal="center" vertical="center" wrapText="1"/>
      <protection hidden="1"/>
    </xf>
    <xf numFmtId="164" fontId="34" fillId="15" borderId="14" xfId="0" applyNumberFormat="1" applyFont="1" applyFill="1" applyBorder="1" applyAlignment="1">
      <alignment horizontal="center" vertical="center" wrapText="1"/>
    </xf>
    <xf numFmtId="164" fontId="34" fillId="15" borderId="12" xfId="0" applyNumberFormat="1" applyFont="1" applyFill="1" applyBorder="1" applyAlignment="1">
      <alignment horizontal="center" vertical="center" wrapText="1"/>
    </xf>
    <xf numFmtId="0" fontId="34" fillId="15" borderId="17" xfId="0" applyFont="1" applyFill="1" applyBorder="1" applyAlignment="1">
      <alignment horizontal="center" vertical="center"/>
    </xf>
    <xf numFmtId="165" fontId="34" fillId="15" borderId="14" xfId="1" applyNumberFormat="1" applyFont="1" applyFill="1" applyBorder="1" applyAlignment="1">
      <alignment horizontal="center" vertical="center" wrapText="1"/>
    </xf>
    <xf numFmtId="165" fontId="34" fillId="15" borderId="17" xfId="1" applyNumberFormat="1" applyFont="1" applyFill="1" applyBorder="1" applyAlignment="1">
      <alignment horizontal="center" vertical="center" wrapText="1"/>
    </xf>
    <xf numFmtId="9" fontId="36" fillId="0" borderId="15" xfId="5" applyFont="1" applyBorder="1" applyAlignment="1" applyProtection="1">
      <alignment horizontal="center" vertical="center" wrapText="1"/>
      <protection hidden="1"/>
    </xf>
    <xf numFmtId="0" fontId="38" fillId="0" borderId="82" xfId="8" applyFont="1" applyBorder="1" applyAlignment="1" applyProtection="1">
      <alignment vertical="center"/>
      <protection hidden="1"/>
    </xf>
    <xf numFmtId="0" fontId="6" fillId="8" borderId="112" xfId="10" applyFont="1" applyFill="1" applyBorder="1" applyAlignment="1" applyProtection="1">
      <alignment vertical="center"/>
      <protection hidden="1"/>
    </xf>
    <xf numFmtId="14" fontId="38" fillId="0" borderId="106" xfId="10" applyNumberFormat="1" applyFont="1" applyBorder="1" applyAlignment="1" applyProtection="1">
      <alignment horizontal="center" vertical="center"/>
      <protection locked="0"/>
    </xf>
    <xf numFmtId="1" fontId="38" fillId="0" borderId="107" xfId="10" applyNumberFormat="1" applyFont="1" applyBorder="1" applyAlignment="1" applyProtection="1">
      <alignment horizontal="center" vertical="center"/>
      <protection locked="0"/>
    </xf>
    <xf numFmtId="14" fontId="38" fillId="0" borderId="108" xfId="10" applyNumberFormat="1" applyFont="1" applyBorder="1" applyAlignment="1" applyProtection="1">
      <alignment horizontal="center" vertical="center"/>
      <protection locked="0"/>
    </xf>
    <xf numFmtId="14" fontId="38" fillId="0" borderId="109" xfId="10" applyNumberFormat="1" applyFont="1" applyBorder="1" applyAlignment="1" applyProtection="1">
      <alignment horizontal="center" vertical="center"/>
      <protection locked="0"/>
    </xf>
    <xf numFmtId="1" fontId="38" fillId="0" borderId="110" xfId="10" applyNumberFormat="1" applyFont="1" applyBorder="1" applyAlignment="1" applyProtection="1">
      <alignment horizontal="center" vertical="center"/>
      <protection locked="0"/>
    </xf>
    <xf numFmtId="14" fontId="38" fillId="0" borderId="113" xfId="10" applyNumberFormat="1" applyFont="1" applyBorder="1" applyAlignment="1" applyProtection="1">
      <alignment horizontal="center" vertical="center"/>
      <protection locked="0"/>
    </xf>
    <xf numFmtId="14" fontId="38" fillId="0" borderId="114" xfId="10" applyNumberFormat="1" applyFont="1" applyBorder="1" applyAlignment="1" applyProtection="1">
      <alignment horizontal="center" vertical="center"/>
      <protection locked="0"/>
    </xf>
    <xf numFmtId="1" fontId="38" fillId="0" borderId="115" xfId="10" applyNumberFormat="1" applyFont="1" applyBorder="1" applyAlignment="1" applyProtection="1">
      <alignment horizontal="center" vertical="center"/>
      <protection locked="0"/>
    </xf>
    <xf numFmtId="0" fontId="34" fillId="17" borderId="116" xfId="10" applyFont="1" applyFill="1" applyBorder="1" applyAlignment="1" applyProtection="1">
      <alignment horizontal="center" vertical="center" wrapText="1"/>
      <protection hidden="1"/>
    </xf>
    <xf numFmtId="0" fontId="61" fillId="17" borderId="19" xfId="10" applyFont="1" applyFill="1" applyBorder="1" applyAlignment="1" applyProtection="1">
      <alignment horizontal="center" vertical="center" wrapText="1"/>
      <protection hidden="1"/>
    </xf>
    <xf numFmtId="0" fontId="6" fillId="8" borderId="118" xfId="10" applyFont="1" applyFill="1" applyBorder="1" applyAlignment="1" applyProtection="1">
      <alignment vertical="center"/>
      <protection hidden="1"/>
    </xf>
    <xf numFmtId="0" fontId="54" fillId="8" borderId="19" xfId="10" applyFont="1" applyFill="1" applyBorder="1" applyAlignment="1" applyProtection="1">
      <alignment horizontal="center" vertical="center"/>
      <protection hidden="1"/>
    </xf>
    <xf numFmtId="0" fontId="54" fillId="8" borderId="117" xfId="10" applyFont="1" applyFill="1" applyBorder="1" applyAlignment="1" applyProtection="1">
      <alignment horizontal="center" vertical="center"/>
      <protection hidden="1"/>
    </xf>
    <xf numFmtId="0" fontId="6" fillId="5" borderId="12" xfId="0" applyFont="1" applyFill="1" applyBorder="1"/>
    <xf numFmtId="0" fontId="6" fillId="5" borderId="17" xfId="0" applyFont="1" applyFill="1" applyBorder="1"/>
    <xf numFmtId="0" fontId="39" fillId="0" borderId="14" xfId="0" applyFont="1" applyBorder="1" applyAlignment="1">
      <alignment horizontal="left" vertical="center"/>
    </xf>
    <xf numFmtId="0" fontId="6" fillId="0" borderId="12" xfId="0" applyFont="1" applyBorder="1"/>
    <xf numFmtId="0" fontId="6" fillId="0" borderId="17" xfId="0" applyFont="1" applyBorder="1"/>
    <xf numFmtId="0" fontId="39" fillId="5" borderId="14" xfId="0" applyFont="1" applyFill="1" applyBorder="1" applyAlignment="1">
      <alignment horizontal="left" vertical="center"/>
    </xf>
    <xf numFmtId="0" fontId="28" fillId="0" borderId="82" xfId="17" applyFont="1" applyBorder="1" applyAlignment="1" applyProtection="1">
      <alignment vertical="center" wrapText="1"/>
      <protection hidden="1"/>
    </xf>
    <xf numFmtId="0" fontId="48" fillId="0" borderId="0" xfId="17" applyFont="1" applyAlignment="1" applyProtection="1">
      <alignment horizontal="center" vertical="center" wrapText="1"/>
      <protection hidden="1"/>
    </xf>
    <xf numFmtId="0" fontId="28" fillId="0" borderId="0" xfId="17" applyFont="1" applyAlignment="1" applyProtection="1">
      <alignment horizontal="left" vertical="top" wrapText="1"/>
      <protection hidden="1"/>
    </xf>
    <xf numFmtId="0" fontId="28" fillId="0" borderId="0" xfId="17" applyFont="1" applyAlignment="1" applyProtection="1">
      <alignment vertical="center" wrapText="1"/>
      <protection hidden="1"/>
    </xf>
    <xf numFmtId="0" fontId="28" fillId="0" borderId="0" xfId="17" applyFont="1" applyAlignment="1" applyProtection="1">
      <alignment vertical="top" wrapText="1"/>
      <protection hidden="1"/>
    </xf>
    <xf numFmtId="0" fontId="37" fillId="17" borderId="97" xfId="17" applyFont="1" applyFill="1" applyBorder="1" applyAlignment="1" applyProtection="1">
      <alignment vertical="top" wrapText="1"/>
      <protection hidden="1"/>
    </xf>
    <xf numFmtId="0" fontId="48" fillId="0" borderId="82" xfId="17" applyFont="1" applyBorder="1" applyAlignment="1" applyProtection="1">
      <alignment horizontal="left" vertical="top" wrapText="1"/>
      <protection hidden="1"/>
    </xf>
    <xf numFmtId="0" fontId="48" fillId="0" borderId="97" xfId="17" applyFont="1" applyBorder="1" applyAlignment="1" applyProtection="1">
      <alignment vertical="top" wrapText="1"/>
      <protection hidden="1"/>
    </xf>
    <xf numFmtId="0" fontId="77" fillId="0" borderId="82" xfId="17" applyFont="1" applyBorder="1" applyAlignment="1" applyProtection="1">
      <alignment vertical="center" wrapText="1"/>
      <protection hidden="1"/>
    </xf>
    <xf numFmtId="0" fontId="77" fillId="5" borderId="0" xfId="17" applyFont="1" applyFill="1" applyAlignment="1" applyProtection="1">
      <alignment horizontal="center" vertical="center" wrapText="1"/>
      <protection hidden="1"/>
    </xf>
    <xf numFmtId="0" fontId="77" fillId="5" borderId="0" xfId="17" applyFont="1" applyFill="1" applyAlignment="1" applyProtection="1">
      <alignment vertical="center" wrapText="1"/>
      <protection hidden="1"/>
    </xf>
    <xf numFmtId="0" fontId="78" fillId="0" borderId="57" xfId="0" applyFont="1" applyBorder="1" applyAlignment="1" applyProtection="1">
      <alignment horizontal="left" vertical="center" wrapText="1"/>
      <protection locked="0"/>
    </xf>
    <xf numFmtId="0" fontId="17" fillId="19" borderId="0" xfId="0" applyFont="1" applyFill="1"/>
    <xf numFmtId="0" fontId="22" fillId="0" borderId="15" xfId="8" applyFont="1" applyBorder="1" applyAlignment="1" applyProtection="1">
      <alignment vertical="center"/>
      <protection hidden="1"/>
    </xf>
    <xf numFmtId="0" fontId="40" fillId="0" borderId="33" xfId="0" applyFont="1" applyBorder="1" applyAlignment="1" applyProtection="1">
      <alignment horizontal="right" vertical="center" wrapText="1"/>
      <protection hidden="1"/>
    </xf>
    <xf numFmtId="0" fontId="22" fillId="5" borderId="0" xfId="0" applyFont="1" applyFill="1" applyAlignment="1">
      <alignment horizontal="left" vertical="top" wrapText="1"/>
    </xf>
    <xf numFmtId="0" fontId="6" fillId="0" borderId="0" xfId="8" applyFont="1" applyAlignment="1" applyProtection="1">
      <alignment horizontal="left" vertical="center"/>
      <protection hidden="1"/>
    </xf>
    <xf numFmtId="0" fontId="6" fillId="0" borderId="0" xfId="0" applyFont="1" applyAlignment="1" applyProtection="1">
      <alignment horizontal="left" vertical="center" wrapText="1"/>
      <protection hidden="1"/>
    </xf>
    <xf numFmtId="0" fontId="54" fillId="8" borderId="19" xfId="10" applyFont="1" applyFill="1" applyBorder="1" applyAlignment="1" applyProtection="1">
      <alignment horizontal="center" vertical="center" wrapText="1"/>
      <protection hidden="1"/>
    </xf>
    <xf numFmtId="171" fontId="6" fillId="0" borderId="0" xfId="0" applyNumberFormat="1" applyFont="1" applyAlignment="1">
      <alignment horizontal="left" vertical="center" wrapText="1"/>
    </xf>
    <xf numFmtId="171" fontId="38" fillId="0" borderId="0" xfId="0" applyNumberFormat="1" applyFont="1" applyAlignment="1">
      <alignment horizontal="right" vertical="center" wrapText="1"/>
    </xf>
    <xf numFmtId="49" fontId="38" fillId="0" borderId="0" xfId="8" applyNumberFormat="1" applyFont="1" applyAlignment="1">
      <alignment horizontal="left" vertical="top" wrapText="1"/>
    </xf>
    <xf numFmtId="49" fontId="38" fillId="0" borderId="83" xfId="8" applyNumberFormat="1" applyFont="1" applyBorder="1" applyAlignment="1">
      <alignment horizontal="left" vertical="top" wrapText="1"/>
    </xf>
    <xf numFmtId="0" fontId="6" fillId="0" borderId="0" xfId="0" applyFont="1"/>
    <xf numFmtId="0" fontId="6" fillId="0" borderId="83" xfId="0" applyFont="1" applyBorder="1"/>
    <xf numFmtId="171" fontId="38" fillId="0" borderId="83" xfId="0" applyNumberFormat="1" applyFont="1" applyBorder="1" applyAlignment="1">
      <alignment horizontal="right" vertical="center" wrapText="1"/>
    </xf>
    <xf numFmtId="171" fontId="38" fillId="0" borderId="95" xfId="0" applyNumberFormat="1" applyFont="1" applyBorder="1" applyAlignment="1">
      <alignment horizontal="right" vertical="center" wrapText="1"/>
    </xf>
    <xf numFmtId="0" fontId="34" fillId="15" borderId="14" xfId="0" applyFont="1" applyFill="1" applyBorder="1" applyAlignment="1">
      <alignment horizontal="center" vertical="center" wrapText="1"/>
    </xf>
    <xf numFmtId="0" fontId="34" fillId="15" borderId="38" xfId="0" applyFont="1" applyFill="1" applyBorder="1" applyAlignment="1">
      <alignment horizontal="center" vertical="center"/>
    </xf>
    <xf numFmtId="0" fontId="6" fillId="0" borderId="0" xfId="0" applyFont="1" applyAlignment="1">
      <alignment vertical="center"/>
    </xf>
    <xf numFmtId="0" fontId="37" fillId="0" borderId="0" xfId="0" applyFont="1" applyAlignment="1">
      <alignment vertical="center"/>
    </xf>
    <xf numFmtId="0" fontId="6" fillId="0" borderId="0" xfId="0" applyFont="1" applyAlignment="1">
      <alignment horizontal="center" vertical="center" wrapText="1"/>
    </xf>
    <xf numFmtId="2" fontId="6" fillId="0" borderId="0" xfId="0" applyNumberFormat="1" applyFont="1" applyAlignment="1">
      <alignment horizontal="center" vertical="center" wrapText="1"/>
    </xf>
    <xf numFmtId="2" fontId="6" fillId="0" borderId="0" xfId="0" applyNumberFormat="1" applyFont="1" applyAlignment="1">
      <alignment horizontal="left" vertical="center" wrapText="1"/>
    </xf>
    <xf numFmtId="170" fontId="6" fillId="0" borderId="0" xfId="1" applyNumberFormat="1" applyFont="1" applyBorder="1" applyAlignment="1" applyProtection="1">
      <alignment horizontal="center" vertical="center" wrapText="1"/>
    </xf>
    <xf numFmtId="0" fontId="6" fillId="5" borderId="0" xfId="0" applyFont="1" applyFill="1" applyAlignment="1">
      <alignment horizontal="center" vertical="center" wrapText="1"/>
    </xf>
    <xf numFmtId="2" fontId="6" fillId="5" borderId="0" xfId="0" applyNumberFormat="1" applyFont="1" applyFill="1" applyAlignment="1">
      <alignment horizontal="center" vertical="center" wrapText="1"/>
    </xf>
    <xf numFmtId="2" fontId="6" fillId="5" borderId="0" xfId="0" applyNumberFormat="1" applyFont="1" applyFill="1" applyAlignment="1">
      <alignment horizontal="left" vertical="center" wrapText="1"/>
    </xf>
    <xf numFmtId="170" fontId="6" fillId="5" borderId="0" xfId="1" applyNumberFormat="1" applyFont="1" applyFill="1" applyBorder="1" applyAlignment="1" applyProtection="1">
      <alignment horizontal="center" vertical="center" wrapText="1"/>
    </xf>
    <xf numFmtId="9" fontId="6" fillId="5" borderId="0" xfId="1" applyNumberFormat="1" applyFont="1" applyFill="1" applyBorder="1" applyAlignment="1" applyProtection="1">
      <alignment horizontal="center" vertical="center" wrapText="1"/>
    </xf>
    <xf numFmtId="0" fontId="6" fillId="0" borderId="11" xfId="0" applyFont="1" applyBorder="1" applyAlignment="1">
      <alignment horizontal="center" vertical="center"/>
    </xf>
    <xf numFmtId="0" fontId="6" fillId="0" borderId="0" xfId="0" applyFont="1" applyAlignment="1">
      <alignment horizontal="center" vertical="center"/>
    </xf>
    <xf numFmtId="0" fontId="54" fillId="0" borderId="0" xfId="0" applyFont="1" applyAlignment="1">
      <alignment horizontal="left" vertical="top" wrapText="1"/>
    </xf>
    <xf numFmtId="0" fontId="54" fillId="0" borderId="17" xfId="0" applyFont="1" applyBorder="1" applyAlignment="1">
      <alignment horizontal="left" vertical="top" wrapText="1"/>
    </xf>
    <xf numFmtId="0" fontId="6" fillId="5" borderId="0" xfId="0" applyFont="1" applyFill="1" applyAlignment="1">
      <alignment vertical="center"/>
    </xf>
    <xf numFmtId="0" fontId="6" fillId="5" borderId="83" xfId="0" applyFont="1" applyFill="1" applyBorder="1" applyAlignment="1">
      <alignment vertical="center"/>
    </xf>
    <xf numFmtId="0" fontId="6" fillId="0" borderId="83" xfId="0" applyFont="1" applyBorder="1" applyAlignment="1">
      <alignment vertical="center"/>
    </xf>
    <xf numFmtId="166" fontId="51" fillId="5" borderId="6" xfId="0" applyNumberFormat="1" applyFont="1" applyFill="1" applyBorder="1" applyAlignment="1">
      <alignment horizontal="center"/>
    </xf>
    <xf numFmtId="0" fontId="51" fillId="5" borderId="6" xfId="0" applyFont="1" applyFill="1" applyBorder="1" applyAlignment="1">
      <alignment horizontal="left" wrapText="1"/>
    </xf>
    <xf numFmtId="1" fontId="51" fillId="5" borderId="6" xfId="0" applyNumberFormat="1" applyFont="1" applyFill="1" applyBorder="1" applyAlignment="1">
      <alignment horizontal="center"/>
    </xf>
    <xf numFmtId="0" fontId="51" fillId="5" borderId="6" xfId="0" applyFont="1" applyFill="1" applyBorder="1" applyAlignment="1">
      <alignment horizontal="left"/>
    </xf>
    <xf numFmtId="5" fontId="51" fillId="5" borderId="6" xfId="1" applyNumberFormat="1" applyFont="1" applyFill="1" applyBorder="1" applyProtection="1"/>
    <xf numFmtId="166" fontId="49" fillId="5" borderId="15" xfId="0" applyNumberFormat="1" applyFont="1" applyFill="1" applyBorder="1"/>
    <xf numFmtId="5" fontId="6" fillId="5" borderId="0" xfId="1" applyNumberFormat="1" applyFont="1" applyFill="1" applyBorder="1" applyAlignment="1" applyProtection="1">
      <alignment vertical="center"/>
    </xf>
    <xf numFmtId="0" fontId="28" fillId="5" borderId="6" xfId="0" applyFont="1" applyFill="1" applyBorder="1"/>
    <xf numFmtId="0" fontId="28" fillId="5" borderId="6" xfId="0" applyFont="1" applyFill="1" applyBorder="1" applyAlignment="1">
      <alignment horizontal="left"/>
    </xf>
    <xf numFmtId="5" fontId="36" fillId="0" borderId="0" xfId="1" applyNumberFormat="1" applyFont="1" applyBorder="1" applyAlignment="1" applyProtection="1">
      <alignment horizontal="center" vertical="center" wrapText="1"/>
    </xf>
    <xf numFmtId="0" fontId="45" fillId="0" borderId="82" xfId="2" applyFont="1" applyBorder="1" applyAlignment="1" applyProtection="1">
      <protection locked="0" hidden="1"/>
    </xf>
    <xf numFmtId="0" fontId="14" fillId="7" borderId="0" xfId="0" applyFont="1" applyFill="1" applyProtection="1">
      <protection hidden="1"/>
    </xf>
    <xf numFmtId="15" fontId="14" fillId="7" borderId="0" xfId="0" applyNumberFormat="1" applyFont="1" applyFill="1" applyAlignment="1" applyProtection="1">
      <alignment horizontal="center"/>
      <protection hidden="1"/>
    </xf>
    <xf numFmtId="0" fontId="16" fillId="7" borderId="0" xfId="0" applyFont="1" applyFill="1" applyAlignment="1" applyProtection="1">
      <alignment vertical="top"/>
      <protection hidden="1"/>
    </xf>
    <xf numFmtId="0" fontId="14" fillId="7" borderId="0" xfId="0" applyFont="1" applyFill="1" applyAlignment="1" applyProtection="1">
      <alignment vertical="top"/>
      <protection hidden="1"/>
    </xf>
    <xf numFmtId="0" fontId="14" fillId="7" borderId="0" xfId="0" applyFont="1" applyFill="1" applyAlignment="1" applyProtection="1">
      <alignment horizontal="center" vertical="top"/>
      <protection hidden="1"/>
    </xf>
    <xf numFmtId="0" fontId="14" fillId="20" borderId="0" xfId="0" applyFont="1" applyFill="1" applyProtection="1">
      <protection hidden="1"/>
    </xf>
    <xf numFmtId="0" fontId="14" fillId="5" borderId="0" xfId="0" applyFont="1" applyFill="1" applyProtection="1">
      <protection hidden="1"/>
    </xf>
    <xf numFmtId="168" fontId="80" fillId="0" borderId="119" xfId="1" applyNumberFormat="1" applyFont="1" applyBorder="1" applyAlignment="1" applyProtection="1">
      <alignment horizontal="left" vertical="center" indent="1"/>
      <protection hidden="1"/>
    </xf>
    <xf numFmtId="0" fontId="81" fillId="0" borderId="120" xfId="0" applyFont="1" applyBorder="1" applyAlignment="1" applyProtection="1">
      <alignment horizontal="center" vertical="center"/>
      <protection hidden="1"/>
    </xf>
    <xf numFmtId="0" fontId="81" fillId="0" borderId="121" xfId="0" applyFont="1" applyBorder="1" applyAlignment="1" applyProtection="1">
      <alignment horizontal="left" vertical="center" indent="1"/>
      <protection hidden="1"/>
    </xf>
    <xf numFmtId="0" fontId="81" fillId="0" borderId="122" xfId="0" applyFont="1" applyBorder="1" applyAlignment="1" applyProtection="1">
      <alignment horizontal="left" vertical="center" indent="1"/>
      <protection hidden="1"/>
    </xf>
    <xf numFmtId="0" fontId="6" fillId="20" borderId="0" xfId="0" applyFont="1" applyFill="1" applyProtection="1">
      <protection hidden="1"/>
    </xf>
    <xf numFmtId="0" fontId="6" fillId="5" borderId="0" xfId="0" applyFont="1" applyFill="1" applyProtection="1">
      <protection hidden="1"/>
    </xf>
    <xf numFmtId="168" fontId="80" fillId="0" borderId="123" xfId="1" applyNumberFormat="1" applyFont="1" applyBorder="1" applyAlignment="1" applyProtection="1">
      <alignment horizontal="left" vertical="center" indent="1"/>
      <protection hidden="1"/>
    </xf>
    <xf numFmtId="0" fontId="81" fillId="0" borderId="124" xfId="0" applyFont="1" applyBorder="1" applyAlignment="1" applyProtection="1">
      <alignment horizontal="center" vertical="center"/>
      <protection hidden="1"/>
    </xf>
    <xf numFmtId="0" fontId="81" fillId="0" borderId="125" xfId="0" applyFont="1" applyBorder="1" applyAlignment="1" applyProtection="1">
      <alignment horizontal="left" vertical="center" indent="1"/>
      <protection hidden="1"/>
    </xf>
    <xf numFmtId="0" fontId="81" fillId="0" borderId="126" xfId="0" applyFont="1" applyBorder="1" applyAlignment="1" applyProtection="1">
      <alignment horizontal="left" vertical="center" indent="1"/>
      <protection hidden="1"/>
    </xf>
    <xf numFmtId="0" fontId="6" fillId="20" borderId="0" xfId="0" applyFont="1" applyFill="1" applyAlignment="1" applyProtection="1">
      <alignment horizontal="center"/>
      <protection hidden="1"/>
    </xf>
    <xf numFmtId="0" fontId="6" fillId="5" borderId="0" xfId="0" applyFont="1" applyFill="1" applyAlignment="1" applyProtection="1">
      <alignment horizontal="center"/>
      <protection hidden="1"/>
    </xf>
    <xf numFmtId="0" fontId="80" fillId="0" borderId="126" xfId="0" applyFont="1" applyBorder="1" applyAlignment="1" applyProtection="1">
      <alignment horizontal="left" vertical="center" indent="1"/>
      <protection hidden="1"/>
    </xf>
    <xf numFmtId="168" fontId="80" fillId="0" borderId="127" xfId="1" applyNumberFormat="1" applyFont="1" applyBorder="1" applyAlignment="1" applyProtection="1">
      <alignment horizontal="left" vertical="center" indent="1"/>
      <protection hidden="1"/>
    </xf>
    <xf numFmtId="0" fontId="81" fillId="0" borderId="128" xfId="0" applyFont="1" applyBorder="1" applyAlignment="1" applyProtection="1">
      <alignment horizontal="center" vertical="center"/>
      <protection hidden="1"/>
    </xf>
    <xf numFmtId="0" fontId="81" fillId="0" borderId="129" xfId="0" applyFont="1" applyBorder="1" applyAlignment="1" applyProtection="1">
      <alignment horizontal="left" vertical="center" indent="1"/>
      <protection hidden="1"/>
    </xf>
    <xf numFmtId="0" fontId="80" fillId="0" borderId="130" xfId="0" applyFont="1" applyBorder="1" applyAlignment="1" applyProtection="1">
      <alignment horizontal="left" vertical="center" indent="1"/>
      <protection hidden="1"/>
    </xf>
    <xf numFmtId="0" fontId="80" fillId="0" borderId="122" xfId="0" applyFont="1" applyBorder="1" applyAlignment="1" applyProtection="1">
      <alignment horizontal="left" vertical="center" indent="1"/>
      <protection hidden="1"/>
    </xf>
    <xf numFmtId="168" fontId="80" fillId="0" borderId="131" xfId="1" applyNumberFormat="1" applyFont="1" applyBorder="1" applyAlignment="1" applyProtection="1">
      <alignment horizontal="left" vertical="center" indent="1"/>
      <protection hidden="1"/>
    </xf>
    <xf numFmtId="0" fontId="81" fillId="0" borderId="132" xfId="0" applyFont="1" applyBorder="1" applyAlignment="1" applyProtection="1">
      <alignment horizontal="center" vertical="center"/>
      <protection hidden="1"/>
    </xf>
    <xf numFmtId="0" fontId="81" fillId="0" borderId="133" xfId="0" applyFont="1" applyBorder="1" applyAlignment="1" applyProtection="1">
      <alignment horizontal="left" vertical="center" indent="1"/>
      <protection hidden="1"/>
    </xf>
    <xf numFmtId="0" fontId="80" fillId="0" borderId="134" xfId="0" applyFont="1" applyBorder="1" applyAlignment="1" applyProtection="1">
      <alignment horizontal="left" vertical="center" indent="1"/>
      <protection hidden="1"/>
    </xf>
    <xf numFmtId="168" fontId="80" fillId="0" borderId="135" xfId="1" applyNumberFormat="1" applyFont="1" applyBorder="1" applyAlignment="1" applyProtection="1">
      <alignment horizontal="left" vertical="center" indent="1"/>
      <protection hidden="1"/>
    </xf>
    <xf numFmtId="0" fontId="81" fillId="0" borderId="136" xfId="0" applyFont="1" applyBorder="1" applyAlignment="1" applyProtection="1">
      <alignment horizontal="center" vertical="center"/>
      <protection hidden="1"/>
    </xf>
    <xf numFmtId="0" fontId="81" fillId="0" borderId="137" xfId="0" applyFont="1" applyBorder="1" applyAlignment="1" applyProtection="1">
      <alignment horizontal="left" vertical="center" indent="1"/>
      <protection hidden="1"/>
    </xf>
    <xf numFmtId="0" fontId="80" fillId="0" borderId="138" xfId="0" applyFont="1" applyBorder="1" applyAlignment="1" applyProtection="1">
      <alignment horizontal="left" vertical="center" indent="1"/>
      <protection hidden="1"/>
    </xf>
    <xf numFmtId="168" fontId="80" fillId="0" borderId="119" xfId="1" applyNumberFormat="1" applyFont="1" applyFill="1" applyBorder="1" applyAlignment="1" applyProtection="1">
      <alignment horizontal="left" vertical="center" indent="1"/>
      <protection hidden="1"/>
    </xf>
    <xf numFmtId="0" fontId="81" fillId="0" borderId="139" xfId="0" applyFont="1" applyBorder="1" applyAlignment="1" applyProtection="1">
      <alignment horizontal="center" vertical="center"/>
      <protection hidden="1"/>
    </xf>
    <xf numFmtId="0" fontId="81" fillId="0" borderId="140" xfId="0" applyFont="1" applyBorder="1" applyAlignment="1" applyProtection="1">
      <alignment horizontal="left" vertical="center" indent="1"/>
      <protection hidden="1"/>
    </xf>
    <xf numFmtId="0" fontId="81" fillId="0" borderId="141" xfId="0" applyFont="1" applyBorder="1" applyAlignment="1" applyProtection="1">
      <alignment horizontal="left" vertical="center" indent="1"/>
      <protection hidden="1"/>
    </xf>
    <xf numFmtId="0" fontId="81" fillId="0" borderId="120" xfId="0" applyFont="1" applyBorder="1" applyAlignment="1" applyProtection="1">
      <alignment horizontal="center" vertical="center" wrapText="1"/>
      <protection hidden="1"/>
    </xf>
    <xf numFmtId="0" fontId="81" fillId="0" borderId="121" xfId="0" applyFont="1" applyBorder="1" applyAlignment="1" applyProtection="1">
      <alignment horizontal="left" vertical="center" wrapText="1" indent="1"/>
      <protection hidden="1"/>
    </xf>
    <xf numFmtId="0" fontId="81" fillId="0" borderId="128" xfId="0" applyFont="1" applyBorder="1" applyAlignment="1" applyProtection="1">
      <alignment horizontal="center" vertical="center" wrapText="1"/>
      <protection hidden="1"/>
    </xf>
    <xf numFmtId="0" fontId="81" fillId="0" borderId="129" xfId="0" applyFont="1" applyBorder="1" applyAlignment="1" applyProtection="1">
      <alignment horizontal="left" vertical="center" wrapText="1" indent="1"/>
      <protection hidden="1"/>
    </xf>
    <xf numFmtId="0" fontId="81"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left" vertical="center" wrapText="1" indent="1"/>
      <protection hidden="1"/>
    </xf>
    <xf numFmtId="0" fontId="80" fillId="0" borderId="142" xfId="0" applyFont="1" applyBorder="1" applyAlignment="1" applyProtection="1">
      <alignment horizontal="left" vertical="center" indent="1"/>
      <protection hidden="1"/>
    </xf>
    <xf numFmtId="0" fontId="81" fillId="0" borderId="143" xfId="0" applyFont="1" applyBorder="1" applyAlignment="1" applyProtection="1">
      <alignment horizontal="center" vertical="center"/>
      <protection hidden="1"/>
    </xf>
    <xf numFmtId="168" fontId="80" fillId="21" borderId="123" xfId="1" applyNumberFormat="1" applyFont="1" applyFill="1" applyBorder="1" applyAlignment="1" applyProtection="1">
      <alignment horizontal="left" vertical="center" indent="1"/>
      <protection hidden="1"/>
    </xf>
    <xf numFmtId="0" fontId="81" fillId="21" borderId="125" xfId="0" applyFont="1" applyFill="1" applyBorder="1" applyAlignment="1" applyProtection="1">
      <alignment horizontal="left" vertical="center" indent="1"/>
      <protection hidden="1"/>
    </xf>
    <xf numFmtId="0" fontId="80" fillId="21" borderId="126" xfId="0" applyFont="1" applyFill="1" applyBorder="1" applyAlignment="1" applyProtection="1">
      <alignment horizontal="left" vertical="center" indent="1"/>
      <protection hidden="1"/>
    </xf>
    <xf numFmtId="168" fontId="80" fillId="21" borderId="131" xfId="1" applyNumberFormat="1" applyFont="1" applyFill="1" applyBorder="1" applyAlignment="1" applyProtection="1">
      <alignment horizontal="left" vertical="center" indent="1"/>
      <protection hidden="1"/>
    </xf>
    <xf numFmtId="0" fontId="81" fillId="21" borderId="133" xfId="0" applyFont="1" applyFill="1" applyBorder="1" applyAlignment="1" applyProtection="1">
      <alignment horizontal="left" vertical="center" indent="1"/>
      <protection hidden="1"/>
    </xf>
    <xf numFmtId="0" fontId="82" fillId="21" borderId="126" xfId="0" applyFont="1" applyFill="1" applyBorder="1" applyAlignment="1" applyProtection="1">
      <alignment horizontal="left" indent="1"/>
      <protection hidden="1"/>
    </xf>
    <xf numFmtId="0" fontId="80" fillId="21" borderId="142" xfId="0" applyFont="1" applyFill="1" applyBorder="1" applyAlignment="1" applyProtection="1">
      <alignment horizontal="left" vertical="center" indent="1"/>
      <protection hidden="1"/>
    </xf>
    <xf numFmtId="0" fontId="81" fillId="0" borderId="129" xfId="0" applyFont="1" applyBorder="1" applyAlignment="1" applyProtection="1">
      <alignment horizontal="center" vertical="center"/>
      <protection hidden="1"/>
    </xf>
    <xf numFmtId="0" fontId="81" fillId="0" borderId="144" xfId="0" applyFont="1" applyBorder="1" applyAlignment="1" applyProtection="1">
      <alignment horizontal="center" vertical="center"/>
      <protection hidden="1"/>
    </xf>
    <xf numFmtId="0" fontId="81" fillId="5" borderId="125" xfId="0" applyFont="1" applyFill="1" applyBorder="1" applyAlignment="1" applyProtection="1">
      <alignment horizontal="left" vertical="center" indent="1"/>
      <protection hidden="1"/>
    </xf>
    <xf numFmtId="168" fontId="80" fillId="0" borderId="145" xfId="1" applyNumberFormat="1" applyFont="1" applyBorder="1" applyAlignment="1" applyProtection="1">
      <alignment horizontal="left" vertical="center" indent="1"/>
      <protection hidden="1"/>
    </xf>
    <xf numFmtId="0" fontId="81" fillId="0" borderId="144" xfId="0" applyFont="1" applyBorder="1" applyAlignment="1" applyProtection="1">
      <alignment horizontal="left" vertical="center" indent="1"/>
      <protection hidden="1"/>
    </xf>
    <xf numFmtId="0" fontId="80" fillId="0" borderId="146" xfId="0" applyFont="1" applyBorder="1" applyAlignment="1" applyProtection="1">
      <alignment horizontal="left" vertical="center" indent="1"/>
      <protection hidden="1"/>
    </xf>
    <xf numFmtId="0" fontId="80" fillId="0" borderId="130" xfId="0" applyFont="1" applyBorder="1" applyAlignment="1" applyProtection="1">
      <alignment horizontal="left" vertical="center" wrapText="1" indent="1"/>
      <protection hidden="1"/>
    </xf>
    <xf numFmtId="0" fontId="83" fillId="15" borderId="147" xfId="0" applyFont="1" applyFill="1" applyBorder="1" applyAlignment="1" applyProtection="1">
      <alignment horizontal="left" vertical="center" wrapText="1" indent="1"/>
      <protection hidden="1"/>
    </xf>
    <xf numFmtId="0" fontId="83" fillId="15" borderId="148" xfId="0" applyFont="1" applyFill="1" applyBorder="1" applyAlignment="1" applyProtection="1">
      <alignment horizontal="left" vertical="center" wrapText="1" indent="1"/>
      <protection hidden="1"/>
    </xf>
    <xf numFmtId="0" fontId="83" fillId="15" borderId="149" xfId="0" applyFont="1" applyFill="1" applyBorder="1" applyAlignment="1" applyProtection="1">
      <alignment horizontal="left" vertical="center" indent="1"/>
      <protection hidden="1"/>
    </xf>
    <xf numFmtId="0" fontId="83" fillId="15" borderId="150" xfId="0" applyFont="1" applyFill="1" applyBorder="1" applyAlignment="1" applyProtection="1">
      <alignment horizontal="left" vertical="center" indent="1"/>
      <protection hidden="1"/>
    </xf>
    <xf numFmtId="0" fontId="81" fillId="0" borderId="120" xfId="0" applyFont="1" applyBorder="1" applyAlignment="1" applyProtection="1">
      <alignment horizontal="left" vertical="center" indent="1"/>
      <protection hidden="1"/>
    </xf>
    <xf numFmtId="168" fontId="80" fillId="0" borderId="145" xfId="1" applyNumberFormat="1" applyFont="1" applyFill="1" applyBorder="1" applyAlignment="1" applyProtection="1">
      <alignment horizontal="left" vertical="center" indent="1"/>
      <protection hidden="1"/>
    </xf>
    <xf numFmtId="0" fontId="81" fillId="0" borderId="143" xfId="0" applyFont="1" applyBorder="1" applyAlignment="1" applyProtection="1">
      <alignment horizontal="left" vertical="center" indent="1"/>
      <protection hidden="1"/>
    </xf>
    <xf numFmtId="0" fontId="84" fillId="7" borderId="0" xfId="0" applyFont="1" applyFill="1" applyAlignment="1" applyProtection="1">
      <alignment wrapText="1"/>
      <protection hidden="1"/>
    </xf>
    <xf numFmtId="0" fontId="84" fillId="20" borderId="0" xfId="0" applyFont="1" applyFill="1" applyProtection="1">
      <protection hidden="1"/>
    </xf>
    <xf numFmtId="0" fontId="76" fillId="20" borderId="0" xfId="0" applyFont="1" applyFill="1" applyAlignment="1" applyProtection="1">
      <alignment horizontal="center"/>
      <protection hidden="1"/>
    </xf>
    <xf numFmtId="0" fontId="76" fillId="5" borderId="0" xfId="0" applyFont="1" applyFill="1" applyAlignment="1" applyProtection="1">
      <alignment horizontal="center"/>
      <protection hidden="1"/>
    </xf>
    <xf numFmtId="0" fontId="84" fillId="5" borderId="0" xfId="0" applyFont="1" applyFill="1" applyAlignment="1" applyProtection="1">
      <alignment wrapText="1"/>
      <protection hidden="1"/>
    </xf>
    <xf numFmtId="0" fontId="84" fillId="20" borderId="0" xfId="0" applyFont="1" applyFill="1" applyAlignment="1" applyProtection="1">
      <alignment wrapText="1"/>
      <protection hidden="1"/>
    </xf>
    <xf numFmtId="0" fontId="14" fillId="7" borderId="0" xfId="0" applyFont="1" applyFill="1" applyAlignment="1" applyProtection="1">
      <alignment wrapText="1"/>
      <protection hidden="1"/>
    </xf>
    <xf numFmtId="168" fontId="80" fillId="0" borderId="123" xfId="1" applyNumberFormat="1" applyFont="1" applyFill="1" applyBorder="1" applyAlignment="1" applyProtection="1">
      <alignment horizontal="left" vertical="center" indent="1"/>
      <protection hidden="1"/>
    </xf>
    <xf numFmtId="0" fontId="81" fillId="0" borderId="124" xfId="0" applyFont="1" applyBorder="1" applyAlignment="1" applyProtection="1">
      <alignment horizontal="left" vertical="center" indent="1"/>
      <protection hidden="1"/>
    </xf>
    <xf numFmtId="0" fontId="14" fillId="5" borderId="0" xfId="0" applyFont="1" applyFill="1" applyAlignment="1" applyProtection="1">
      <alignment wrapText="1"/>
      <protection hidden="1"/>
    </xf>
    <xf numFmtId="0" fontId="14" fillId="20" borderId="0" xfId="0" applyFont="1" applyFill="1" applyAlignment="1" applyProtection="1">
      <alignment wrapText="1"/>
      <protection hidden="1"/>
    </xf>
    <xf numFmtId="0" fontId="81" fillId="0" borderId="132" xfId="0" applyFont="1" applyBorder="1" applyAlignment="1" applyProtection="1">
      <alignment horizontal="left" vertical="center" indent="1"/>
      <protection hidden="1"/>
    </xf>
    <xf numFmtId="0" fontId="81" fillId="0" borderId="128" xfId="0" applyFont="1" applyBorder="1" applyAlignment="1" applyProtection="1">
      <alignment horizontal="left" vertical="center" indent="1"/>
      <protection hidden="1"/>
    </xf>
    <xf numFmtId="0" fontId="84" fillId="7" borderId="0" xfId="0" applyFont="1" applyFill="1" applyProtection="1">
      <protection hidden="1"/>
    </xf>
    <xf numFmtId="0" fontId="83" fillId="15" borderId="148" xfId="0" applyFont="1" applyFill="1" applyBorder="1" applyAlignment="1" applyProtection="1">
      <alignment horizontal="left" vertical="center" indent="1"/>
      <protection hidden="1"/>
    </xf>
    <xf numFmtId="0" fontId="84" fillId="5" borderId="0" xfId="0" applyFont="1" applyFill="1" applyProtection="1">
      <protection hidden="1"/>
    </xf>
    <xf numFmtId="0" fontId="46" fillId="0" borderId="152" xfId="0" applyFont="1" applyBorder="1" applyAlignment="1" applyProtection="1">
      <alignment horizontal="left" vertical="center"/>
      <protection hidden="1"/>
    </xf>
    <xf numFmtId="0" fontId="87" fillId="0" borderId="0" xfId="0" applyFont="1" applyAlignment="1" applyProtection="1">
      <alignment vertical="center"/>
      <protection hidden="1"/>
    </xf>
    <xf numFmtId="15" fontId="14" fillId="20" borderId="0" xfId="0" applyNumberFormat="1" applyFont="1" applyFill="1" applyAlignment="1" applyProtection="1">
      <alignment horizontal="center"/>
      <protection hidden="1"/>
    </xf>
    <xf numFmtId="15" fontId="14" fillId="5" borderId="0" xfId="0" applyNumberFormat="1" applyFont="1" applyFill="1" applyAlignment="1" applyProtection="1">
      <alignment horizontal="center"/>
      <protection hidden="1"/>
    </xf>
    <xf numFmtId="0" fontId="16" fillId="5" borderId="0" xfId="0" applyFont="1" applyFill="1" applyAlignment="1" applyProtection="1">
      <alignment vertical="top"/>
      <protection hidden="1"/>
    </xf>
    <xf numFmtId="0" fontId="14" fillId="5" borderId="0" xfId="0" applyFont="1" applyFill="1" applyAlignment="1" applyProtection="1">
      <alignment vertical="top"/>
      <protection hidden="1"/>
    </xf>
    <xf numFmtId="0" fontId="16" fillId="20" borderId="0" xfId="0" applyFont="1" applyFill="1" applyAlignment="1" applyProtection="1">
      <alignment vertical="top"/>
      <protection hidden="1"/>
    </xf>
    <xf numFmtId="0" fontId="14" fillId="20" borderId="0" xfId="0" applyFont="1" applyFill="1" applyAlignment="1" applyProtection="1">
      <alignment vertical="top"/>
      <protection hidden="1"/>
    </xf>
    <xf numFmtId="0" fontId="14" fillId="20" borderId="0" xfId="0" applyFont="1" applyFill="1" applyAlignment="1" applyProtection="1">
      <alignment horizontal="center" vertical="top"/>
      <protection hidden="1"/>
    </xf>
    <xf numFmtId="0" fontId="6" fillId="18" borderId="97" xfId="17" applyFont="1" applyFill="1" applyBorder="1" applyAlignment="1" applyProtection="1">
      <alignment horizontal="left" vertical="top" wrapText="1"/>
      <protection hidden="1"/>
    </xf>
    <xf numFmtId="0" fontId="37" fillId="17" borderId="97" xfId="17" applyFont="1" applyFill="1" applyBorder="1" applyAlignment="1" applyProtection="1">
      <alignment horizontal="left" vertical="top" wrapText="1"/>
      <protection hidden="1"/>
    </xf>
    <xf numFmtId="0" fontId="34" fillId="0" borderId="30" xfId="17" applyFont="1" applyBorder="1" applyAlignment="1" applyProtection="1">
      <alignment horizontal="center" vertical="center" wrapText="1"/>
      <protection locked="0"/>
    </xf>
    <xf numFmtId="0" fontId="34" fillId="0" borderId="1" xfId="17" applyFont="1" applyBorder="1" applyAlignment="1" applyProtection="1">
      <alignment horizontal="center" vertical="center" wrapText="1"/>
      <protection locked="0"/>
    </xf>
    <xf numFmtId="0" fontId="34" fillId="0" borderId="34" xfId="17" applyFont="1" applyBorder="1" applyAlignment="1" applyProtection="1">
      <alignment horizontal="center" vertical="center" wrapText="1"/>
      <protection locked="0"/>
    </xf>
    <xf numFmtId="0" fontId="21" fillId="24" borderId="13" xfId="0" applyFont="1" applyFill="1" applyBorder="1" applyAlignment="1">
      <alignment horizontal="center" vertical="center"/>
    </xf>
    <xf numFmtId="0" fontId="14" fillId="3" borderId="0" xfId="0" applyFont="1" applyFill="1"/>
    <xf numFmtId="169" fontId="17" fillId="25" borderId="155" xfId="0" applyNumberFormat="1" applyFont="1" applyFill="1" applyBorder="1" applyAlignment="1">
      <alignment horizontal="center" vertical="center"/>
    </xf>
    <xf numFmtId="169" fontId="17" fillId="25" borderId="28" xfId="0" applyNumberFormat="1" applyFont="1" applyFill="1" applyBorder="1" applyAlignment="1">
      <alignment horizontal="center" vertical="center"/>
    </xf>
    <xf numFmtId="0" fontId="17" fillId="25" borderId="28" xfId="0" applyFont="1" applyFill="1" applyBorder="1" applyAlignment="1">
      <alignment horizontal="center" vertical="center"/>
    </xf>
    <xf numFmtId="169" fontId="18" fillId="25" borderId="28" xfId="4" applyNumberFormat="1" applyFont="1" applyFill="1" applyBorder="1" applyAlignment="1">
      <alignment horizontal="center" vertical="center"/>
    </xf>
    <xf numFmtId="173" fontId="18" fillId="25" borderId="29" xfId="4" applyNumberFormat="1" applyFont="1" applyFill="1" applyBorder="1" applyAlignment="1">
      <alignment horizontal="center" vertical="center"/>
    </xf>
    <xf numFmtId="165" fontId="6" fillId="5" borderId="1" xfId="1" applyNumberFormat="1" applyFont="1" applyFill="1" applyBorder="1" applyAlignment="1" applyProtection="1">
      <alignment vertical="center" wrapText="1"/>
      <protection hidden="1"/>
    </xf>
    <xf numFmtId="0" fontId="87" fillId="0" borderId="0" xfId="0" applyFont="1" applyAlignment="1" applyProtection="1">
      <alignment horizontal="left" vertical="center" wrapText="1"/>
      <protection hidden="1"/>
    </xf>
    <xf numFmtId="0" fontId="87" fillId="0" borderId="152" xfId="0" applyFont="1" applyBorder="1" applyAlignment="1" applyProtection="1">
      <alignment horizontal="left" vertical="center" wrapText="1"/>
      <protection hidden="1"/>
    </xf>
    <xf numFmtId="0" fontId="46" fillId="5" borderId="14" xfId="0" applyFont="1" applyFill="1" applyBorder="1" applyAlignment="1">
      <alignment vertical="center"/>
    </xf>
    <xf numFmtId="0" fontId="34" fillId="15" borderId="5" xfId="0" applyFont="1" applyFill="1" applyBorder="1" applyAlignment="1">
      <alignment vertical="center" wrapText="1"/>
    </xf>
    <xf numFmtId="0" fontId="66" fillId="15" borderId="10" xfId="0" applyFont="1" applyFill="1" applyBorder="1" applyAlignment="1">
      <alignment horizontal="center" vertical="center"/>
    </xf>
    <xf numFmtId="0" fontId="37" fillId="15" borderId="7" xfId="0" applyFont="1" applyFill="1" applyBorder="1" applyAlignment="1">
      <alignment vertical="center"/>
    </xf>
    <xf numFmtId="166" fontId="51" fillId="5" borderId="0" xfId="0" applyNumberFormat="1" applyFont="1" applyFill="1" applyAlignment="1">
      <alignment horizontal="center"/>
    </xf>
    <xf numFmtId="0" fontId="6" fillId="0" borderId="13" xfId="0" applyFont="1" applyBorder="1" applyAlignment="1">
      <alignment horizontal="center" vertical="center"/>
    </xf>
    <xf numFmtId="0" fontId="37" fillId="15" borderId="13" xfId="0" applyFont="1" applyFill="1" applyBorder="1" applyAlignment="1">
      <alignment horizontal="center" vertical="center"/>
    </xf>
    <xf numFmtId="0" fontId="17" fillId="0" borderId="16" xfId="0" applyFont="1" applyBorder="1" applyAlignment="1">
      <alignment horizontal="center"/>
    </xf>
    <xf numFmtId="166" fontId="17" fillId="0" borderId="2" xfId="0" applyNumberFormat="1" applyFont="1" applyBorder="1" applyAlignment="1">
      <alignment horizontal="center"/>
    </xf>
    <xf numFmtId="0" fontId="17" fillId="0" borderId="2" xfId="0" applyFont="1" applyBorder="1" applyAlignment="1">
      <alignment horizontal="left" wrapText="1"/>
    </xf>
    <xf numFmtId="1" fontId="17" fillId="0" borderId="2" xfId="0" applyNumberFormat="1" applyFont="1" applyBorder="1" applyAlignment="1">
      <alignment horizontal="center"/>
    </xf>
    <xf numFmtId="0" fontId="17" fillId="0" borderId="2" xfId="0" applyFont="1" applyBorder="1" applyAlignment="1">
      <alignment horizontal="left"/>
    </xf>
    <xf numFmtId="5" fontId="17" fillId="0" borderId="2" xfId="1" applyNumberFormat="1" applyFont="1" applyBorder="1" applyProtection="1"/>
    <xf numFmtId="164" fontId="17" fillId="0" borderId="2" xfId="0" applyNumberFormat="1" applyFont="1" applyBorder="1"/>
    <xf numFmtId="0" fontId="17" fillId="0" borderId="2" xfId="0" applyFont="1" applyBorder="1"/>
    <xf numFmtId="0" fontId="17" fillId="0" borderId="2" xfId="0" applyFont="1" applyBorder="1" applyAlignment="1">
      <alignment horizontal="center"/>
    </xf>
    <xf numFmtId="0" fontId="17" fillId="0" borderId="3" xfId="0" applyFont="1" applyBorder="1"/>
    <xf numFmtId="166" fontId="47" fillId="5" borderId="15" xfId="0" applyNumberFormat="1" applyFont="1" applyFill="1" applyBorder="1" applyAlignment="1">
      <alignment horizontal="left" vertical="center"/>
    </xf>
    <xf numFmtId="0" fontId="28" fillId="5" borderId="0" xfId="0" applyFont="1" applyFill="1" applyAlignment="1" applyProtection="1">
      <alignment vertical="center"/>
      <protection hidden="1"/>
    </xf>
    <xf numFmtId="166" fontId="49" fillId="5" borderId="0" xfId="0" applyNumberFormat="1" applyFont="1" applyFill="1" applyAlignment="1">
      <alignment horizontal="left"/>
    </xf>
    <xf numFmtId="166" fontId="46" fillId="5" borderId="0" xfId="0" applyNumberFormat="1" applyFont="1" applyFill="1" applyAlignment="1">
      <alignment horizontal="left"/>
    </xf>
    <xf numFmtId="0" fontId="28" fillId="5" borderId="0" xfId="0" applyFont="1" applyFill="1" applyAlignment="1">
      <alignment horizontal="left"/>
    </xf>
    <xf numFmtId="164" fontId="28" fillId="5" borderId="0" xfId="0" applyNumberFormat="1" applyFont="1" applyFill="1"/>
    <xf numFmtId="0" fontId="48" fillId="5" borderId="0" xfId="0" applyFont="1" applyFill="1" applyAlignment="1">
      <alignment horizontal="center" vertical="center"/>
    </xf>
    <xf numFmtId="0" fontId="6" fillId="0" borderId="0" xfId="0" applyFont="1" applyAlignment="1">
      <alignment vertical="center" wrapText="1"/>
    </xf>
    <xf numFmtId="0" fontId="48" fillId="5" borderId="0" xfId="0" applyFont="1" applyFill="1" applyAlignment="1">
      <alignment horizontal="left" vertical="center" wrapText="1"/>
    </xf>
    <xf numFmtId="0" fontId="28" fillId="5" borderId="0" xfId="0" applyFont="1" applyFill="1"/>
    <xf numFmtId="166" fontId="47" fillId="5" borderId="15" xfId="0" applyNumberFormat="1" applyFont="1" applyFill="1" applyBorder="1" applyAlignment="1">
      <alignment vertical="center"/>
    </xf>
    <xf numFmtId="14" fontId="28" fillId="5" borderId="0" xfId="0" applyNumberFormat="1" applyFont="1" applyFill="1" applyAlignment="1" applyProtection="1">
      <alignment vertical="center"/>
      <protection hidden="1"/>
    </xf>
    <xf numFmtId="0" fontId="28" fillId="5" borderId="0" xfId="0" applyFont="1" applyFill="1" applyAlignment="1">
      <alignment vertical="center"/>
    </xf>
    <xf numFmtId="0" fontId="28" fillId="5" borderId="0" xfId="0" applyFont="1" applyFill="1" applyAlignment="1">
      <alignment horizontal="left" vertical="center"/>
    </xf>
    <xf numFmtId="166" fontId="49" fillId="5" borderId="0" xfId="0" applyNumberFormat="1" applyFont="1" applyFill="1"/>
    <xf numFmtId="0" fontId="47" fillId="5" borderId="15" xfId="0" applyFont="1" applyFill="1" applyBorder="1" applyAlignment="1">
      <alignment horizontal="left" vertical="center"/>
    </xf>
    <xf numFmtId="0" fontId="51" fillId="5" borderId="15" xfId="0" applyFont="1" applyFill="1" applyBorder="1" applyAlignment="1">
      <alignment horizontal="center"/>
    </xf>
    <xf numFmtId="166" fontId="49" fillId="5" borderId="15" xfId="0" applyNumberFormat="1" applyFont="1" applyFill="1" applyBorder="1" applyAlignment="1">
      <alignment horizontal="left"/>
    </xf>
    <xf numFmtId="0" fontId="36" fillId="0" borderId="0" xfId="0" applyFont="1" applyAlignment="1" applyProtection="1">
      <alignment wrapText="1"/>
      <protection hidden="1"/>
    </xf>
    <xf numFmtId="0" fontId="36" fillId="0" borderId="4" xfId="0" applyFont="1" applyBorder="1" applyAlignment="1" applyProtection="1">
      <alignment wrapText="1"/>
      <protection hidden="1"/>
    </xf>
    <xf numFmtId="0" fontId="35" fillId="0" borderId="5" xfId="0" applyFont="1" applyBorder="1"/>
    <xf numFmtId="0" fontId="90" fillId="17" borderId="157" xfId="0" applyFont="1" applyFill="1" applyBorder="1" applyAlignment="1" applyProtection="1">
      <alignment horizontal="left" vertical="center" wrapText="1"/>
      <protection hidden="1"/>
    </xf>
    <xf numFmtId="0" fontId="17" fillId="0" borderId="156" xfId="0" applyFont="1" applyBorder="1"/>
    <xf numFmtId="43" fontId="17" fillId="0" borderId="39" xfId="1" applyFont="1" applyFill="1" applyBorder="1" applyAlignment="1" applyProtection="1">
      <alignment horizontal="right" vertical="center" wrapText="1" indent="1"/>
      <protection hidden="1"/>
    </xf>
    <xf numFmtId="0" fontId="17" fillId="0" borderId="159" xfId="0" applyFont="1" applyBorder="1" applyAlignment="1">
      <alignment vertical="center"/>
    </xf>
    <xf numFmtId="43" fontId="17" fillId="0" borderId="41" xfId="1" applyFont="1" applyFill="1" applyBorder="1" applyAlignment="1" applyProtection="1">
      <alignment horizontal="right" vertical="center" wrapText="1" indent="1"/>
      <protection hidden="1"/>
    </xf>
    <xf numFmtId="0" fontId="17" fillId="0" borderId="156" xfId="0" applyFont="1" applyBorder="1" applyAlignment="1">
      <alignment vertical="center"/>
    </xf>
    <xf numFmtId="43" fontId="17" fillId="0" borderId="162" xfId="1" applyFont="1" applyFill="1" applyBorder="1" applyAlignment="1" applyProtection="1">
      <alignment horizontal="right" vertical="center" wrapText="1" indent="1"/>
      <protection hidden="1"/>
    </xf>
    <xf numFmtId="0" fontId="17" fillId="0" borderId="163" xfId="0" applyFont="1" applyBorder="1" applyAlignment="1">
      <alignment vertical="center"/>
    </xf>
    <xf numFmtId="0" fontId="90" fillId="17" borderId="157" xfId="0" applyFont="1" applyFill="1" applyBorder="1" applyAlignment="1" applyProtection="1">
      <alignment horizontal="center" vertical="center"/>
      <protection hidden="1"/>
    </xf>
    <xf numFmtId="0" fontId="90" fillId="17" borderId="158" xfId="0" applyFont="1" applyFill="1" applyBorder="1" applyAlignment="1" applyProtection="1">
      <alignment horizontal="center" vertical="center" wrapText="1"/>
      <protection hidden="1"/>
    </xf>
    <xf numFmtId="0" fontId="90" fillId="17" borderId="157" xfId="0" applyFont="1" applyFill="1" applyBorder="1" applyAlignment="1" applyProtection="1">
      <alignment horizontal="center" vertical="center" wrapText="1"/>
      <protection hidden="1"/>
    </xf>
    <xf numFmtId="0" fontId="17" fillId="0" borderId="10" xfId="0" applyFont="1" applyBorder="1"/>
    <xf numFmtId="0" fontId="17" fillId="26" borderId="156" xfId="0" applyFont="1" applyFill="1" applyBorder="1"/>
    <xf numFmtId="169" fontId="89" fillId="0" borderId="156" xfId="0" applyNumberFormat="1" applyFont="1" applyBorder="1" applyAlignment="1">
      <alignment horizontal="right" vertical="center"/>
    </xf>
    <xf numFmtId="1" fontId="34" fillId="15" borderId="35" xfId="0" applyNumberFormat="1" applyFont="1" applyFill="1" applyBorder="1" applyAlignment="1">
      <alignment horizontal="center" vertical="center" wrapText="1"/>
    </xf>
    <xf numFmtId="166" fontId="34" fillId="15" borderId="35" xfId="0" applyNumberFormat="1" applyFont="1" applyFill="1" applyBorder="1" applyAlignment="1">
      <alignment horizontal="center" vertical="center" wrapText="1"/>
    </xf>
    <xf numFmtId="0" fontId="34" fillId="15" borderId="111" xfId="0" applyFont="1" applyFill="1" applyBorder="1" applyAlignment="1">
      <alignment horizontal="center" vertical="center" wrapText="1"/>
    </xf>
    <xf numFmtId="170" fontId="17" fillId="0" borderId="0" xfId="0" applyNumberFormat="1" applyFont="1" applyAlignment="1">
      <alignment vertical="center"/>
    </xf>
    <xf numFmtId="43" fontId="17" fillId="0" borderId="0" xfId="0" applyNumberFormat="1" applyFont="1" applyAlignment="1">
      <alignment vertical="center"/>
    </xf>
    <xf numFmtId="0" fontId="90" fillId="17" borderId="164" xfId="0" applyFont="1" applyFill="1" applyBorder="1" applyAlignment="1" applyProtection="1">
      <alignment horizontal="center" vertical="center" wrapText="1"/>
      <protection hidden="1"/>
    </xf>
    <xf numFmtId="170" fontId="17" fillId="0" borderId="165" xfId="0" applyNumberFormat="1" applyFont="1" applyBorder="1" applyAlignment="1">
      <alignment vertical="center"/>
    </xf>
    <xf numFmtId="43" fontId="17" fillId="0" borderId="166" xfId="0" applyNumberFormat="1" applyFont="1" applyBorder="1" applyAlignment="1">
      <alignment vertical="center"/>
    </xf>
    <xf numFmtId="43" fontId="17" fillId="0" borderId="167" xfId="0" applyNumberFormat="1" applyFont="1" applyBorder="1" applyAlignment="1">
      <alignment vertical="center"/>
    </xf>
    <xf numFmtId="0" fontId="90" fillId="17" borderId="160" xfId="0" applyFont="1" applyFill="1" applyBorder="1" applyAlignment="1" applyProtection="1">
      <alignment horizontal="center" vertical="center" wrapText="1"/>
      <protection hidden="1"/>
    </xf>
    <xf numFmtId="174" fontId="17" fillId="0" borderId="161" xfId="0" applyNumberFormat="1" applyFont="1" applyBorder="1" applyAlignment="1">
      <alignment vertical="center"/>
    </xf>
    <xf numFmtId="0" fontId="26" fillId="27" borderId="1" xfId="0" applyFont="1" applyFill="1" applyBorder="1" applyAlignment="1" applyProtection="1">
      <alignment vertical="top"/>
      <protection hidden="1"/>
    </xf>
    <xf numFmtId="0" fontId="26" fillId="27" borderId="1" xfId="0" applyFont="1" applyFill="1" applyBorder="1" applyProtection="1">
      <protection hidden="1"/>
    </xf>
    <xf numFmtId="0" fontId="34" fillId="15" borderId="6" xfId="0" applyFont="1" applyFill="1" applyBorder="1" applyAlignment="1">
      <alignment horizontal="left" vertical="center"/>
    </xf>
    <xf numFmtId="0" fontId="77" fillId="0" borderId="0" xfId="0" applyFont="1" applyAlignment="1" applyProtection="1">
      <alignment vertical="top" wrapText="1"/>
      <protection hidden="1"/>
    </xf>
    <xf numFmtId="167" fontId="6" fillId="16" borderId="42" xfId="1" applyNumberFormat="1" applyFont="1" applyFill="1" applyBorder="1" applyAlignment="1" applyProtection="1">
      <alignment horizontal="right" vertical="center" wrapText="1" indent="1"/>
      <protection hidden="1"/>
    </xf>
    <xf numFmtId="0" fontId="40" fillId="0" borderId="82" xfId="8" applyFont="1" applyBorder="1" applyProtection="1">
      <protection hidden="1"/>
    </xf>
    <xf numFmtId="0" fontId="38" fillId="0" borderId="0" xfId="8" applyFont="1" applyProtection="1">
      <protection hidden="1"/>
    </xf>
    <xf numFmtId="0" fontId="38" fillId="0" borderId="83" xfId="8" applyFont="1" applyBorder="1" applyProtection="1">
      <protection hidden="1"/>
    </xf>
    <xf numFmtId="0" fontId="22" fillId="0" borderId="0" xfId="8" applyFont="1" applyProtection="1">
      <protection hidden="1"/>
    </xf>
    <xf numFmtId="49" fontId="38" fillId="0" borderId="53" xfId="8" applyNumberFormat="1" applyFont="1" applyBorder="1" applyAlignment="1" applyProtection="1">
      <alignment horizontal="left" vertical="top" wrapText="1"/>
      <protection locked="0"/>
    </xf>
    <xf numFmtId="49" fontId="40" fillId="0" borderId="54" xfId="8" applyNumberFormat="1" applyFont="1" applyBorder="1" applyAlignment="1" applyProtection="1">
      <alignment horizontal="center" vertical="center" wrapText="1"/>
      <protection locked="0"/>
    </xf>
    <xf numFmtId="49" fontId="38" fillId="0" borderId="19" xfId="8" applyNumberFormat="1" applyFont="1" applyBorder="1" applyAlignment="1" applyProtection="1">
      <alignment horizontal="left" vertical="top" wrapText="1"/>
      <protection locked="0"/>
    </xf>
    <xf numFmtId="49" fontId="38" fillId="0" borderId="22" xfId="8" applyNumberFormat="1" applyFont="1" applyBorder="1" applyAlignment="1" applyProtection="1">
      <alignment horizontal="left" vertical="top" wrapText="1"/>
      <protection locked="0"/>
    </xf>
    <xf numFmtId="49" fontId="40" fillId="0" borderId="170" xfId="8" applyNumberFormat="1" applyFont="1" applyBorder="1" applyAlignment="1" applyProtection="1">
      <alignment horizontal="center" vertical="center" wrapText="1"/>
      <protection locked="0"/>
    </xf>
    <xf numFmtId="0" fontId="34" fillId="15" borderId="13" xfId="0" applyFont="1" applyFill="1" applyBorder="1" applyAlignment="1" applyProtection="1">
      <alignment horizontal="center" vertical="center" wrapText="1"/>
      <protection hidden="1"/>
    </xf>
    <xf numFmtId="0" fontId="53" fillId="16" borderId="171" xfId="0" applyFont="1" applyFill="1" applyBorder="1" applyAlignment="1" applyProtection="1">
      <alignment horizontal="center" vertical="center" wrapText="1"/>
      <protection hidden="1"/>
    </xf>
    <xf numFmtId="0" fontId="53" fillId="16" borderId="172" xfId="0" applyFont="1" applyFill="1" applyBorder="1" applyAlignment="1" applyProtection="1">
      <alignment horizontal="center" vertical="center" wrapText="1"/>
      <protection hidden="1"/>
    </xf>
    <xf numFmtId="0" fontId="92" fillId="0" borderId="20" xfId="0" applyFont="1" applyBorder="1" applyAlignment="1">
      <alignment horizontal="left" vertical="top" wrapText="1"/>
    </xf>
    <xf numFmtId="49" fontId="92" fillId="0" borderId="25" xfId="0" applyNumberFormat="1" applyFont="1" applyBorder="1" applyAlignment="1">
      <alignment horizontal="center" vertical="top" wrapText="1"/>
    </xf>
    <xf numFmtId="0" fontId="92" fillId="0" borderId="20" xfId="0" applyFont="1" applyBorder="1" applyAlignment="1">
      <alignment horizontal="center" vertical="top" wrapText="1"/>
    </xf>
    <xf numFmtId="0" fontId="92" fillId="0" borderId="26" xfId="0" applyFont="1" applyBorder="1" applyAlignment="1">
      <alignment horizontal="left" vertical="top" wrapText="1"/>
    </xf>
    <xf numFmtId="166" fontId="6" fillId="0" borderId="35" xfId="0" applyNumberFormat="1" applyFont="1" applyBorder="1" applyAlignment="1" applyProtection="1">
      <alignment horizontal="center" vertical="center" wrapText="1"/>
      <protection locked="0"/>
    </xf>
    <xf numFmtId="49" fontId="6" fillId="0" borderId="35" xfId="0" applyNumberFormat="1" applyFont="1" applyBorder="1" applyAlignment="1" applyProtection="1">
      <alignment horizontal="left" vertical="center" wrapText="1"/>
      <protection locked="0"/>
    </xf>
    <xf numFmtId="1" fontId="6" fillId="0" borderId="35" xfId="0" applyNumberFormat="1" applyFont="1" applyBorder="1" applyAlignment="1" applyProtection="1">
      <alignment horizontal="center" vertical="center" wrapText="1"/>
      <protection locked="0"/>
    </xf>
    <xf numFmtId="166" fontId="6" fillId="0" borderId="12" xfId="0" applyNumberFormat="1" applyFont="1" applyBorder="1" applyAlignment="1" applyProtection="1">
      <alignment horizontal="center" vertical="center" wrapText="1"/>
      <protection locked="0"/>
    </xf>
    <xf numFmtId="165" fontId="6" fillId="0" borderId="36" xfId="32" applyNumberFormat="1" applyFont="1" applyBorder="1" applyAlignment="1" applyProtection="1">
      <alignment horizontal="center" vertical="center" wrapText="1"/>
      <protection locked="0"/>
    </xf>
    <xf numFmtId="165" fontId="6" fillId="0" borderId="9" xfId="32" applyNumberFormat="1" applyFont="1" applyBorder="1" applyAlignment="1" applyProtection="1">
      <alignment horizontal="center" vertical="center" wrapText="1"/>
      <protection locked="0"/>
    </xf>
    <xf numFmtId="166" fontId="46" fillId="5" borderId="0" xfId="0" applyNumberFormat="1" applyFont="1" applyFill="1"/>
    <xf numFmtId="9" fontId="28" fillId="16" borderId="59" xfId="5" applyFont="1" applyFill="1" applyBorder="1" applyAlignment="1" applyProtection="1">
      <alignment horizontal="center" vertical="center" wrapText="1"/>
      <protection hidden="1"/>
    </xf>
    <xf numFmtId="0" fontId="30" fillId="15" borderId="1" xfId="0" applyFont="1" applyFill="1" applyBorder="1" applyAlignment="1" applyProtection="1">
      <alignment vertical="top" wrapText="1"/>
      <protection locked="0" hidden="1"/>
    </xf>
    <xf numFmtId="0" fontId="17" fillId="28" borderId="1" xfId="0" applyFont="1" applyFill="1" applyBorder="1" applyAlignment="1" applyProtection="1">
      <alignment horizontal="left" vertical="top" wrapText="1"/>
      <protection locked="0" hidden="1"/>
    </xf>
    <xf numFmtId="0" fontId="30" fillId="15" borderId="1" xfId="0" applyFont="1" applyFill="1" applyBorder="1" applyAlignment="1" applyProtection="1">
      <alignment horizontal="left" vertical="top" wrapText="1"/>
      <protection locked="0" hidden="1"/>
    </xf>
    <xf numFmtId="14" fontId="17" fillId="28" borderId="1" xfId="0" applyNumberFormat="1" applyFont="1" applyFill="1" applyBorder="1" applyAlignment="1" applyProtection="1">
      <alignment horizontal="left" vertical="top" wrapText="1"/>
      <protection hidden="1"/>
    </xf>
    <xf numFmtId="0" fontId="17" fillId="28" borderId="1" xfId="0" applyFont="1" applyFill="1" applyBorder="1" applyAlignment="1" applyProtection="1">
      <alignment horizontal="left" vertical="top" wrapText="1"/>
      <protection hidden="1"/>
    </xf>
    <xf numFmtId="1" fontId="17" fillId="28" borderId="1" xfId="0" applyNumberFormat="1" applyFont="1" applyFill="1" applyBorder="1" applyAlignment="1" applyProtection="1">
      <alignment horizontal="left" vertical="top" wrapText="1"/>
      <protection hidden="1"/>
    </xf>
    <xf numFmtId="171" fontId="17" fillId="28" borderId="1" xfId="0" applyNumberFormat="1" applyFont="1" applyFill="1" applyBorder="1" applyAlignment="1" applyProtection="1">
      <alignment horizontal="left" vertical="top" wrapText="1"/>
      <protection hidden="1"/>
    </xf>
    <xf numFmtId="9" fontId="17" fillId="28" borderId="1" xfId="5" applyFont="1" applyFill="1" applyBorder="1" applyAlignment="1" applyProtection="1">
      <alignment horizontal="left" vertical="top" wrapText="1"/>
      <protection hidden="1"/>
    </xf>
    <xf numFmtId="170" fontId="17" fillId="28" borderId="1" xfId="1" applyNumberFormat="1" applyFont="1" applyFill="1" applyBorder="1" applyAlignment="1" applyProtection="1">
      <alignment horizontal="left" vertical="top" wrapText="1"/>
      <protection hidden="1"/>
    </xf>
    <xf numFmtId="2" fontId="17" fillId="28" borderId="1" xfId="0" applyNumberFormat="1" applyFont="1" applyFill="1" applyBorder="1" applyAlignment="1" applyProtection="1">
      <alignment horizontal="left" vertical="top" wrapText="1"/>
      <protection hidden="1"/>
    </xf>
    <xf numFmtId="43" fontId="17" fillId="28" borderId="1" xfId="0" applyNumberFormat="1" applyFont="1" applyFill="1" applyBorder="1" applyAlignment="1" applyProtection="1">
      <alignment horizontal="left" vertical="top" wrapText="1"/>
      <protection hidden="1"/>
    </xf>
    <xf numFmtId="43" fontId="17" fillId="28" borderId="1" xfId="1" applyFont="1" applyFill="1" applyBorder="1" applyAlignment="1" applyProtection="1">
      <alignment horizontal="left" vertical="top" wrapText="1"/>
      <protection hidden="1"/>
    </xf>
    <xf numFmtId="9" fontId="17" fillId="28" borderId="1" xfId="1" applyNumberFormat="1" applyFont="1" applyFill="1" applyBorder="1" applyAlignment="1" applyProtection="1">
      <alignment horizontal="left" vertical="top" wrapText="1"/>
      <protection hidden="1"/>
    </xf>
    <xf numFmtId="10" fontId="17" fillId="28" borderId="1" xfId="0" applyNumberFormat="1" applyFont="1" applyFill="1" applyBorder="1" applyAlignment="1" applyProtection="1">
      <alignment horizontal="left" vertical="top" wrapText="1"/>
      <protection hidden="1"/>
    </xf>
    <xf numFmtId="168" fontId="80" fillId="0" borderId="175" xfId="1" applyNumberFormat="1" applyFont="1" applyFill="1" applyBorder="1" applyAlignment="1" applyProtection="1">
      <alignment horizontal="left" vertical="center" indent="1"/>
      <protection hidden="1"/>
    </xf>
    <xf numFmtId="0" fontId="80" fillId="0" borderId="174" xfId="0" applyFont="1" applyBorder="1" applyAlignment="1" applyProtection="1">
      <alignment horizontal="left" vertical="center" indent="1"/>
      <protection hidden="1"/>
    </xf>
    <xf numFmtId="0" fontId="80" fillId="0" borderId="176" xfId="0" applyFont="1" applyBorder="1" applyAlignment="1" applyProtection="1">
      <alignment horizontal="left" vertical="center" indent="1"/>
      <protection hidden="1"/>
    </xf>
    <xf numFmtId="0" fontId="81" fillId="0" borderId="177" xfId="0" applyFont="1" applyBorder="1" applyAlignment="1" applyProtection="1">
      <alignment horizontal="left" vertical="center" indent="1"/>
      <protection hidden="1"/>
    </xf>
    <xf numFmtId="0" fontId="81" fillId="0" borderId="178" xfId="0" applyFont="1" applyBorder="1" applyAlignment="1" applyProtection="1">
      <alignment horizontal="center" vertical="center"/>
      <protection hidden="1"/>
    </xf>
    <xf numFmtId="168" fontId="80" fillId="0" borderId="179" xfId="1" applyNumberFormat="1" applyFont="1" applyBorder="1" applyAlignment="1" applyProtection="1">
      <alignment horizontal="left" vertical="center" indent="1"/>
      <protection hidden="1"/>
    </xf>
    <xf numFmtId="0" fontId="6" fillId="15" borderId="14" xfId="0" applyFont="1" applyFill="1" applyBorder="1" applyAlignment="1">
      <alignment horizontal="center"/>
    </xf>
    <xf numFmtId="0" fontId="6" fillId="15" borderId="12" xfId="0" applyFont="1" applyFill="1" applyBorder="1" applyAlignment="1">
      <alignment horizontal="center"/>
    </xf>
    <xf numFmtId="0" fontId="6" fillId="15" borderId="17" xfId="0" applyFont="1" applyFill="1" applyBorder="1" applyAlignment="1">
      <alignment horizontal="center"/>
    </xf>
    <xf numFmtId="0" fontId="6" fillId="16" borderId="15" xfId="0" applyFont="1" applyFill="1" applyBorder="1" applyAlignment="1">
      <alignment horizontal="left" vertical="top" wrapText="1"/>
    </xf>
    <xf numFmtId="0" fontId="6" fillId="16" borderId="0" xfId="0" applyFont="1" applyFill="1" applyAlignment="1">
      <alignment horizontal="left" vertical="top" wrapText="1"/>
    </xf>
    <xf numFmtId="0" fontId="6" fillId="16" borderId="83" xfId="0" applyFont="1" applyFill="1" applyBorder="1" applyAlignment="1">
      <alignment horizontal="left" vertical="top" wrapText="1"/>
    </xf>
    <xf numFmtId="0" fontId="34" fillId="15" borderId="37" xfId="0" applyFont="1" applyFill="1" applyBorder="1" applyAlignment="1">
      <alignment horizontal="center" vertical="center" wrapText="1"/>
    </xf>
    <xf numFmtId="0" fontId="34" fillId="15" borderId="12" xfId="0" applyFont="1" applyFill="1" applyBorder="1" applyAlignment="1">
      <alignment horizontal="center" vertical="center" wrapText="1"/>
    </xf>
    <xf numFmtId="0" fontId="34" fillId="15" borderId="17" xfId="0" applyFont="1" applyFill="1" applyBorder="1" applyAlignment="1">
      <alignment horizontal="center" vertical="center" wrapText="1"/>
    </xf>
    <xf numFmtId="0" fontId="28" fillId="5" borderId="104" xfId="0" applyFont="1" applyFill="1" applyBorder="1" applyAlignment="1" applyProtection="1">
      <alignment horizontal="left" vertical="center"/>
      <protection locked="0"/>
    </xf>
    <xf numFmtId="0" fontId="28" fillId="5" borderId="105" xfId="0" applyFont="1" applyFill="1" applyBorder="1" applyAlignment="1" applyProtection="1">
      <alignment horizontal="left" vertical="center"/>
      <protection locked="0"/>
    </xf>
    <xf numFmtId="0" fontId="6" fillId="0" borderId="69" xfId="0" applyFont="1" applyBorder="1" applyAlignment="1" applyProtection="1">
      <alignment horizontal="left" vertical="center" wrapText="1"/>
      <protection locked="0"/>
    </xf>
    <xf numFmtId="0" fontId="6" fillId="0" borderId="57" xfId="0" applyFont="1" applyBorder="1" applyAlignment="1" applyProtection="1">
      <alignment horizontal="left" vertical="center" wrapText="1"/>
      <protection locked="0"/>
    </xf>
    <xf numFmtId="166" fontId="34" fillId="15" borderId="103" xfId="0" applyNumberFormat="1" applyFont="1" applyFill="1" applyBorder="1" applyAlignment="1">
      <alignment horizontal="left" vertical="center"/>
    </xf>
    <xf numFmtId="166" fontId="34" fillId="15" borderId="104" xfId="0" applyNumberFormat="1" applyFont="1" applyFill="1" applyBorder="1" applyAlignment="1">
      <alignment horizontal="left" vertical="center"/>
    </xf>
    <xf numFmtId="0" fontId="35" fillId="0" borderId="6" xfId="0" applyFont="1" applyBorder="1" applyAlignment="1">
      <alignment horizontal="center"/>
    </xf>
    <xf numFmtId="0" fontId="35" fillId="0" borderId="7" xfId="0" applyFont="1" applyBorder="1" applyAlignment="1">
      <alignment horizontal="center"/>
    </xf>
    <xf numFmtId="0" fontId="28" fillId="5" borderId="0" xfId="0" applyFont="1" applyFill="1" applyAlignment="1">
      <alignment horizontal="center"/>
    </xf>
    <xf numFmtId="0" fontId="28" fillId="5" borderId="4" xfId="0" applyFont="1" applyFill="1" applyBorder="1" applyAlignment="1">
      <alignment horizontal="center"/>
    </xf>
    <xf numFmtId="0" fontId="36" fillId="16" borderId="14" xfId="0" applyFont="1" applyFill="1" applyBorder="1" applyAlignment="1" applyProtection="1">
      <alignment horizontal="center" vertical="center" wrapText="1"/>
      <protection hidden="1"/>
    </xf>
    <xf numFmtId="0" fontId="36" fillId="16" borderId="17" xfId="0" applyFont="1" applyFill="1" applyBorder="1" applyAlignment="1" applyProtection="1">
      <alignment horizontal="center" vertical="center" wrapText="1"/>
      <protection hidden="1"/>
    </xf>
    <xf numFmtId="0" fontId="34" fillId="15" borderId="14" xfId="0" applyFont="1" applyFill="1" applyBorder="1" applyAlignment="1">
      <alignment horizontal="center" vertical="center" wrapText="1"/>
    </xf>
    <xf numFmtId="0" fontId="40" fillId="16" borderId="168" xfId="0" applyFont="1" applyFill="1" applyBorder="1" applyAlignment="1">
      <alignment horizontal="left" vertical="center" wrapText="1"/>
    </xf>
    <xf numFmtId="0" fontId="40" fillId="16" borderId="80" xfId="0" applyFont="1" applyFill="1" applyBorder="1" applyAlignment="1">
      <alignment horizontal="left" vertical="center" wrapText="1"/>
    </xf>
    <xf numFmtId="0" fontId="40" fillId="16" borderId="81" xfId="0" applyFont="1" applyFill="1" applyBorder="1" applyAlignment="1">
      <alignment horizontal="left" vertical="center" wrapText="1"/>
    </xf>
    <xf numFmtId="0" fontId="54" fillId="16" borderId="5" xfId="0" applyFont="1" applyFill="1" applyBorder="1" applyAlignment="1">
      <alignment horizontal="left" vertical="top" wrapText="1"/>
    </xf>
    <xf numFmtId="0" fontId="54" fillId="16" borderId="6" xfId="0" applyFont="1" applyFill="1" applyBorder="1" applyAlignment="1">
      <alignment horizontal="left" vertical="top" wrapText="1"/>
    </xf>
    <xf numFmtId="0" fontId="54" fillId="16" borderId="7" xfId="0" applyFont="1" applyFill="1" applyBorder="1" applyAlignment="1">
      <alignment horizontal="left" vertical="top" wrapText="1"/>
    </xf>
    <xf numFmtId="164" fontId="52" fillId="5" borderId="47" xfId="0" applyNumberFormat="1" applyFont="1" applyFill="1" applyBorder="1" applyAlignment="1">
      <alignment horizontal="center" vertical="center" wrapText="1"/>
    </xf>
    <xf numFmtId="164" fontId="52" fillId="5" borderId="0" xfId="0" applyNumberFormat="1" applyFont="1" applyFill="1" applyAlignment="1">
      <alignment horizontal="center" vertical="center" wrapText="1"/>
    </xf>
    <xf numFmtId="14" fontId="28" fillId="5" borderId="109" xfId="0" applyNumberFormat="1" applyFont="1" applyFill="1" applyBorder="1" applyAlignment="1" applyProtection="1">
      <alignment horizontal="left" vertical="center"/>
      <protection locked="0"/>
    </xf>
    <xf numFmtId="14" fontId="28" fillId="5" borderId="110" xfId="0" applyNumberFormat="1" applyFont="1" applyFill="1" applyBorder="1" applyAlignment="1" applyProtection="1">
      <alignment horizontal="left" vertical="center"/>
      <protection locked="0"/>
    </xf>
    <xf numFmtId="0" fontId="51" fillId="5" borderId="0" xfId="0" applyFont="1" applyFill="1" applyAlignment="1">
      <alignment horizontal="center" vertical="center"/>
    </xf>
    <xf numFmtId="1" fontId="6" fillId="0" borderId="37" xfId="0" applyNumberFormat="1" applyFont="1" applyBorder="1" applyAlignment="1" applyProtection="1">
      <alignment horizontal="left" vertical="center" wrapText="1"/>
      <protection locked="0"/>
    </xf>
    <xf numFmtId="1" fontId="6" fillId="0" borderId="12" xfId="0" applyNumberFormat="1" applyFont="1" applyBorder="1" applyAlignment="1" applyProtection="1">
      <alignment horizontal="left" vertical="center" wrapText="1"/>
      <protection locked="0"/>
    </xf>
    <xf numFmtId="1" fontId="6" fillId="0" borderId="17" xfId="0" applyNumberFormat="1" applyFont="1" applyBorder="1" applyAlignment="1" applyProtection="1">
      <alignment horizontal="left" vertical="center" wrapText="1"/>
      <protection locked="0"/>
    </xf>
    <xf numFmtId="166" fontId="34" fillId="15" borderId="108" xfId="0" applyNumberFormat="1" applyFont="1" applyFill="1" applyBorder="1" applyAlignment="1">
      <alignment horizontal="left" vertical="center"/>
    </xf>
    <xf numFmtId="166" fontId="34" fillId="15" borderId="109" xfId="0" applyNumberFormat="1" applyFont="1" applyFill="1" applyBorder="1" applyAlignment="1">
      <alignment horizontal="left" vertical="center"/>
    </xf>
    <xf numFmtId="0" fontId="34" fillId="15" borderId="38" xfId="0" applyFont="1" applyFill="1" applyBorder="1" applyAlignment="1">
      <alignment horizontal="center" vertical="center" wrapText="1"/>
    </xf>
    <xf numFmtId="0" fontId="22" fillId="0" borderId="79" xfId="0" applyFont="1" applyBorder="1" applyAlignment="1">
      <alignment horizontal="center"/>
    </xf>
    <xf numFmtId="0" fontId="22" fillId="0" borderId="80" xfId="0" applyFont="1" applyBorder="1" applyAlignment="1">
      <alignment horizontal="center"/>
    </xf>
    <xf numFmtId="0" fontId="22" fillId="0" borderId="81" xfId="0" applyFont="1" applyBorder="1" applyAlignment="1">
      <alignment horizontal="center"/>
    </xf>
    <xf numFmtId="0" fontId="6" fillId="5" borderId="0" xfId="0" applyFont="1" applyFill="1" applyAlignment="1">
      <alignment horizontal="left" vertical="top" wrapText="1"/>
    </xf>
    <xf numFmtId="0" fontId="6" fillId="5" borderId="83" xfId="0" applyFont="1" applyFill="1" applyBorder="1" applyAlignment="1">
      <alignment horizontal="left" vertical="top" wrapText="1"/>
    </xf>
    <xf numFmtId="0" fontId="43" fillId="5" borderId="0" xfId="2" applyFont="1" applyFill="1" applyBorder="1" applyAlignment="1" applyProtection="1">
      <alignment horizontal="left" vertical="top" wrapText="1"/>
      <protection locked="0"/>
    </xf>
    <xf numFmtId="0" fontId="45" fillId="5" borderId="0" xfId="0" applyFont="1" applyFill="1" applyAlignment="1">
      <alignment horizontal="left" vertical="top" wrapText="1"/>
    </xf>
    <xf numFmtId="0" fontId="45" fillId="5" borderId="83" xfId="0" applyFont="1" applyFill="1" applyBorder="1" applyAlignment="1">
      <alignment horizontal="left" vertical="top" wrapText="1"/>
    </xf>
    <xf numFmtId="0" fontId="43" fillId="5" borderId="0" xfId="2" applyFont="1" applyFill="1" applyBorder="1" applyAlignment="1" applyProtection="1">
      <alignment horizontal="left" vertical="top" wrapText="1"/>
    </xf>
    <xf numFmtId="0" fontId="79" fillId="5" borderId="0" xfId="0" applyFont="1" applyFill="1" applyAlignment="1">
      <alignment horizontal="left" vertical="center"/>
    </xf>
    <xf numFmtId="0" fontId="35" fillId="5" borderId="0" xfId="0" applyFont="1" applyFill="1" applyAlignment="1">
      <alignment horizontal="left" vertical="center"/>
    </xf>
    <xf numFmtId="0" fontId="22" fillId="15" borderId="84" xfId="0" applyFont="1" applyFill="1" applyBorder="1" applyAlignment="1">
      <alignment horizontal="center"/>
    </xf>
    <xf numFmtId="0" fontId="22" fillId="15" borderId="85" xfId="0" applyFont="1" applyFill="1" applyBorder="1" applyAlignment="1">
      <alignment horizontal="center"/>
    </xf>
    <xf numFmtId="0" fontId="22" fillId="15" borderId="86" xfId="0" applyFont="1" applyFill="1" applyBorder="1" applyAlignment="1">
      <alignment horizontal="center"/>
    </xf>
    <xf numFmtId="0" fontId="46" fillId="5" borderId="0" xfId="0" applyFont="1" applyFill="1" applyAlignment="1">
      <alignment horizontal="left" vertical="top"/>
    </xf>
    <xf numFmtId="0" fontId="22" fillId="5" borderId="16" xfId="0" applyFont="1" applyFill="1" applyBorder="1" applyAlignment="1">
      <alignment horizontal="left" vertical="top" wrapText="1"/>
    </xf>
    <xf numFmtId="0" fontId="22" fillId="5" borderId="2" xfId="0" applyFont="1" applyFill="1" applyBorder="1" applyAlignment="1">
      <alignment horizontal="left" vertical="top" wrapText="1"/>
    </xf>
    <xf numFmtId="0" fontId="22" fillId="5" borderId="3" xfId="0" applyFont="1" applyFill="1" applyBorder="1" applyAlignment="1">
      <alignment horizontal="left" vertical="top" wrapText="1"/>
    </xf>
    <xf numFmtId="0" fontId="22" fillId="5" borderId="15" xfId="0" applyFont="1" applyFill="1" applyBorder="1" applyAlignment="1">
      <alignment horizontal="left" vertical="top" wrapText="1"/>
    </xf>
    <xf numFmtId="0" fontId="22" fillId="5" borderId="0" xfId="0" applyFont="1" applyFill="1" applyAlignment="1">
      <alignment horizontal="left" vertical="top" wrapText="1"/>
    </xf>
    <xf numFmtId="0" fontId="22" fillId="5" borderId="4" xfId="0" applyFont="1" applyFill="1" applyBorder="1" applyAlignment="1">
      <alignment horizontal="left" vertical="top" wrapText="1"/>
    </xf>
    <xf numFmtId="0" fontId="22" fillId="5" borderId="5" xfId="0" applyFont="1" applyFill="1" applyBorder="1" applyAlignment="1">
      <alignment horizontal="left" vertical="top" wrapText="1"/>
    </xf>
    <xf numFmtId="0" fontId="22" fillId="5" borderId="6" xfId="0" applyFont="1" applyFill="1" applyBorder="1" applyAlignment="1">
      <alignment horizontal="left" vertical="top" wrapText="1"/>
    </xf>
    <xf numFmtId="0" fontId="22" fillId="5" borderId="7" xfId="0" applyFont="1" applyFill="1" applyBorder="1" applyAlignment="1">
      <alignment horizontal="left" vertical="top" wrapText="1"/>
    </xf>
    <xf numFmtId="0" fontId="28" fillId="5" borderId="169" xfId="4" applyFont="1" applyFill="1" applyBorder="1" applyAlignment="1">
      <alignment horizontal="left" vertical="top" wrapText="1"/>
    </xf>
    <xf numFmtId="0" fontId="28" fillId="5" borderId="85" xfId="4" applyFont="1" applyFill="1" applyBorder="1" applyAlignment="1">
      <alignment horizontal="left" vertical="top" wrapText="1"/>
    </xf>
    <xf numFmtId="0" fontId="28" fillId="5" borderId="173" xfId="4" applyFont="1" applyFill="1" applyBorder="1" applyAlignment="1">
      <alignment horizontal="left" vertical="top" wrapText="1"/>
    </xf>
    <xf numFmtId="0" fontId="87" fillId="0" borderId="0" xfId="0" applyFont="1" applyAlignment="1" applyProtection="1">
      <alignment horizontal="left" vertical="center" wrapText="1"/>
      <protection hidden="1"/>
    </xf>
    <xf numFmtId="0" fontId="87" fillId="0" borderId="152" xfId="0" applyFont="1" applyBorder="1" applyAlignment="1" applyProtection="1">
      <alignment horizontal="left" vertical="center" wrapText="1"/>
      <protection hidden="1"/>
    </xf>
    <xf numFmtId="0" fontId="86" fillId="0" borderId="151" xfId="0" applyFont="1" applyBorder="1" applyAlignment="1" applyProtection="1">
      <alignment horizontal="left" wrapText="1"/>
      <protection hidden="1"/>
    </xf>
    <xf numFmtId="0" fontId="77" fillId="0" borderId="0" xfId="0" applyFont="1" applyAlignment="1" applyProtection="1">
      <alignment horizontal="left" vertical="top" wrapText="1"/>
      <protection hidden="1"/>
    </xf>
    <xf numFmtId="0" fontId="83" fillId="15" borderId="0" xfId="0" applyFont="1" applyFill="1" applyAlignment="1" applyProtection="1">
      <alignment horizontal="left" vertical="center" wrapText="1"/>
      <protection hidden="1"/>
    </xf>
    <xf numFmtId="49" fontId="38" fillId="0" borderId="97" xfId="8" applyNumberFormat="1" applyFont="1" applyBorder="1" applyAlignment="1" applyProtection="1">
      <alignment horizontal="left" vertical="top" wrapText="1"/>
      <protection locked="0"/>
    </xf>
    <xf numFmtId="49" fontId="38" fillId="0" borderId="1" xfId="8" applyNumberFormat="1" applyFont="1" applyBorder="1" applyAlignment="1" applyProtection="1">
      <alignment horizontal="left" vertical="top" wrapText="1"/>
      <protection locked="0"/>
    </xf>
    <xf numFmtId="49" fontId="38" fillId="0" borderId="93" xfId="8" applyNumberFormat="1" applyFont="1" applyBorder="1" applyAlignment="1" applyProtection="1">
      <alignment horizontal="left" vertical="top" wrapText="1"/>
      <protection locked="0"/>
    </xf>
    <xf numFmtId="0" fontId="6" fillId="0" borderId="96" xfId="8" applyFont="1" applyBorder="1" applyAlignment="1" applyProtection="1">
      <alignment horizontal="left" vertical="top" wrapText="1"/>
      <protection hidden="1"/>
    </xf>
    <xf numFmtId="0" fontId="6" fillId="0" borderId="48" xfId="8" applyFont="1" applyBorder="1" applyAlignment="1" applyProtection="1">
      <alignment horizontal="left" vertical="top" wrapText="1"/>
      <protection hidden="1"/>
    </xf>
    <xf numFmtId="0" fontId="6" fillId="0" borderId="95" xfId="8" applyFont="1" applyBorder="1" applyAlignment="1" applyProtection="1">
      <alignment horizontal="left" vertical="top" wrapText="1"/>
      <protection hidden="1"/>
    </xf>
    <xf numFmtId="49" fontId="6" fillId="0" borderId="82" xfId="8" applyNumberFormat="1" applyFont="1" applyBorder="1" applyAlignment="1">
      <alignment horizontal="left" vertical="top" wrapText="1"/>
    </xf>
    <xf numFmtId="49" fontId="6" fillId="0" borderId="0" xfId="8" applyNumberFormat="1" applyFont="1" applyAlignment="1">
      <alignment horizontal="left" vertical="top" wrapText="1"/>
    </xf>
    <xf numFmtId="49" fontId="6" fillId="0" borderId="96" xfId="8" applyNumberFormat="1" applyFont="1" applyBorder="1" applyAlignment="1">
      <alignment horizontal="left" vertical="top" wrapText="1"/>
    </xf>
    <xf numFmtId="49" fontId="6" fillId="0" borderId="48" xfId="8" applyNumberFormat="1" applyFont="1" applyBorder="1" applyAlignment="1">
      <alignment horizontal="left" vertical="top" wrapText="1"/>
    </xf>
    <xf numFmtId="49" fontId="38" fillId="0" borderId="1" xfId="8" applyNumberFormat="1" applyFont="1" applyBorder="1" applyAlignment="1" applyProtection="1">
      <alignment vertical="center" wrapText="1"/>
      <protection locked="0"/>
    </xf>
    <xf numFmtId="0" fontId="6" fillId="0" borderId="0" xfId="0" applyFont="1" applyAlignment="1" applyProtection="1">
      <alignment horizontal="left" vertical="center" wrapText="1"/>
      <protection hidden="1"/>
    </xf>
    <xf numFmtId="0" fontId="6" fillId="0" borderId="63" xfId="0" applyFont="1" applyBorder="1" applyAlignment="1" applyProtection="1">
      <alignment horizontal="left" vertical="center" wrapText="1"/>
      <protection hidden="1"/>
    </xf>
    <xf numFmtId="0" fontId="56" fillId="0" borderId="82" xfId="8" applyFont="1" applyBorder="1" applyAlignment="1" applyProtection="1">
      <alignment horizontal="left" vertical="center" wrapText="1"/>
      <protection hidden="1"/>
    </xf>
    <xf numFmtId="0" fontId="56" fillId="0" borderId="0" xfId="8" applyFont="1" applyAlignment="1" applyProtection="1">
      <alignment horizontal="left" vertical="center" wrapText="1"/>
      <protection hidden="1"/>
    </xf>
    <xf numFmtId="0" fontId="56" fillId="0" borderId="83" xfId="8" applyFont="1" applyBorder="1" applyAlignment="1" applyProtection="1">
      <alignment horizontal="left" vertical="center" wrapText="1"/>
      <protection hidden="1"/>
    </xf>
    <xf numFmtId="49" fontId="39" fillId="0" borderId="18" xfId="8" applyNumberFormat="1" applyFont="1" applyBorder="1" applyAlignment="1" applyProtection="1">
      <alignment horizontal="left" vertical="center" wrapText="1"/>
      <protection locked="0"/>
    </xf>
    <xf numFmtId="49" fontId="39" fillId="0" borderId="34" xfId="8" applyNumberFormat="1" applyFont="1" applyBorder="1" applyAlignment="1" applyProtection="1">
      <alignment horizontal="left" vertical="center" wrapText="1"/>
      <protection locked="0"/>
    </xf>
    <xf numFmtId="49" fontId="39" fillId="0" borderId="92" xfId="8" applyNumberFormat="1" applyFont="1" applyBorder="1" applyAlignment="1" applyProtection="1">
      <alignment horizontal="left" vertical="center" wrapText="1"/>
      <protection locked="0"/>
    </xf>
    <xf numFmtId="0" fontId="39" fillId="16" borderId="18" xfId="8" applyFont="1" applyFill="1" applyBorder="1" applyAlignment="1">
      <alignment horizontal="left" vertical="center" wrapText="1"/>
    </xf>
    <xf numFmtId="0" fontId="39" fillId="16" borderId="34" xfId="8" applyFont="1" applyFill="1" applyBorder="1" applyAlignment="1">
      <alignment horizontal="left" vertical="center" wrapText="1"/>
    </xf>
    <xf numFmtId="0" fontId="39" fillId="16" borderId="92" xfId="8" applyFont="1" applyFill="1" applyBorder="1" applyAlignment="1">
      <alignment horizontal="left" vertical="center" wrapText="1"/>
    </xf>
    <xf numFmtId="49" fontId="38" fillId="0" borderId="1" xfId="8" applyNumberFormat="1" applyFont="1" applyBorder="1" applyAlignment="1" applyProtection="1">
      <alignment horizontal="left" vertical="center" wrapText="1"/>
      <protection locked="0"/>
    </xf>
    <xf numFmtId="0" fontId="40" fillId="0" borderId="82" xfId="8" applyFont="1" applyBorder="1" applyAlignment="1" applyProtection="1">
      <alignment horizontal="left" wrapText="1"/>
      <protection hidden="1"/>
    </xf>
    <xf numFmtId="0" fontId="40" fillId="0" borderId="0" xfId="8" applyFont="1" applyAlignment="1" applyProtection="1">
      <alignment horizontal="left" wrapText="1"/>
      <protection hidden="1"/>
    </xf>
    <xf numFmtId="0" fontId="59" fillId="0" borderId="0" xfId="0" applyFont="1" applyAlignment="1" applyProtection="1">
      <alignment horizontal="center" vertical="center" wrapText="1"/>
      <protection hidden="1"/>
    </xf>
    <xf numFmtId="0" fontId="40" fillId="0" borderId="0" xfId="0" applyFont="1" applyAlignment="1" applyProtection="1">
      <alignment horizontal="left" vertical="center" wrapText="1"/>
      <protection hidden="1"/>
    </xf>
    <xf numFmtId="0" fontId="36" fillId="0" borderId="0" xfId="0" applyFont="1" applyAlignment="1" applyProtection="1">
      <alignment horizontal="left" vertical="center" wrapText="1"/>
      <protection hidden="1"/>
    </xf>
    <xf numFmtId="0" fontId="6" fillId="0" borderId="82" xfId="8" applyFont="1" applyBorder="1" applyAlignment="1" applyProtection="1">
      <alignment horizontal="left" vertical="top"/>
      <protection hidden="1"/>
    </xf>
    <xf numFmtId="0" fontId="6" fillId="0" borderId="0" xfId="8" applyFont="1" applyAlignment="1" applyProtection="1">
      <alignment horizontal="left" vertical="top"/>
      <protection hidden="1"/>
    </xf>
    <xf numFmtId="0" fontId="6" fillId="0" borderId="82" xfId="8" applyFont="1" applyBorder="1" applyAlignment="1" applyProtection="1">
      <alignment horizontal="left" vertical="top" wrapText="1"/>
      <protection hidden="1"/>
    </xf>
    <xf numFmtId="0" fontId="6" fillId="0" borderId="0" xfId="8" applyFont="1" applyAlignment="1" applyProtection="1">
      <alignment horizontal="left" vertical="top" wrapText="1"/>
      <protection hidden="1"/>
    </xf>
    <xf numFmtId="0" fontId="6" fillId="0" borderId="83" xfId="8" applyFont="1" applyBorder="1" applyAlignment="1" applyProtection="1">
      <alignment horizontal="left" vertical="top" wrapText="1"/>
      <protection hidden="1"/>
    </xf>
    <xf numFmtId="49" fontId="38" fillId="0" borderId="64" xfId="8" applyNumberFormat="1" applyFont="1" applyBorder="1" applyAlignment="1" applyProtection="1">
      <alignment horizontal="left" vertical="center" wrapText="1"/>
      <protection locked="0"/>
    </xf>
    <xf numFmtId="0" fontId="6" fillId="0" borderId="82" xfId="8" applyFont="1" applyBorder="1" applyAlignment="1" applyProtection="1">
      <alignment horizontal="left" wrapText="1"/>
      <protection hidden="1"/>
    </xf>
    <xf numFmtId="0" fontId="6" fillId="0" borderId="0" xfId="8" applyFont="1" applyAlignment="1" applyProtection="1">
      <alignment horizontal="left" wrapText="1"/>
      <protection hidden="1"/>
    </xf>
    <xf numFmtId="0" fontId="6" fillId="0" borderId="83" xfId="8" applyFont="1" applyBorder="1" applyAlignment="1" applyProtection="1">
      <alignment horizontal="left" wrapText="1"/>
      <protection hidden="1"/>
    </xf>
    <xf numFmtId="49" fontId="38" fillId="0" borderId="23" xfId="8" applyNumberFormat="1" applyFont="1" applyBorder="1" applyAlignment="1" applyProtection="1">
      <alignment horizontal="left" vertical="top" wrapText="1"/>
      <protection locked="0"/>
    </xf>
    <xf numFmtId="49" fontId="38" fillId="0" borderId="24" xfId="8" applyNumberFormat="1" applyFont="1" applyBorder="1" applyAlignment="1" applyProtection="1">
      <alignment horizontal="left" vertical="top" wrapText="1"/>
      <protection locked="0"/>
    </xf>
    <xf numFmtId="0" fontId="6" fillId="0" borderId="82" xfId="8" applyFont="1" applyBorder="1" applyAlignment="1" applyProtection="1">
      <alignment horizontal="left" vertical="center" wrapText="1"/>
      <protection hidden="1"/>
    </xf>
    <xf numFmtId="0" fontId="6" fillId="0" borderId="0" xfId="8" applyFont="1" applyAlignment="1" applyProtection="1">
      <alignment horizontal="left" vertical="center" wrapText="1"/>
      <protection hidden="1"/>
    </xf>
    <xf numFmtId="0" fontId="6" fillId="0" borderId="83" xfId="8" applyFont="1" applyBorder="1" applyAlignment="1" applyProtection="1">
      <alignment horizontal="left" vertical="center" wrapText="1"/>
      <protection hidden="1"/>
    </xf>
    <xf numFmtId="49" fontId="38" fillId="0" borderId="98" xfId="8" applyNumberFormat="1" applyFont="1" applyBorder="1" applyAlignment="1" applyProtection="1">
      <alignment horizontal="left" vertical="top" wrapText="1"/>
      <protection locked="0"/>
    </xf>
    <xf numFmtId="49" fontId="38" fillId="0" borderId="34" xfId="8" applyNumberFormat="1" applyFont="1" applyBorder="1" applyAlignment="1" applyProtection="1">
      <alignment horizontal="left" vertical="top" wrapText="1"/>
      <protection locked="0"/>
    </xf>
    <xf numFmtId="49" fontId="38" fillId="0" borderId="92" xfId="8" applyNumberFormat="1" applyFont="1" applyBorder="1" applyAlignment="1" applyProtection="1">
      <alignment horizontal="left" vertical="top" wrapText="1"/>
      <protection locked="0"/>
    </xf>
    <xf numFmtId="0" fontId="34" fillId="17" borderId="66" xfId="10" applyFont="1" applyFill="1" applyBorder="1" applyAlignment="1" applyProtection="1">
      <alignment horizontal="center" vertical="center" wrapText="1"/>
      <protection hidden="1"/>
    </xf>
    <xf numFmtId="0" fontId="34" fillId="17" borderId="67" xfId="10" applyFont="1" applyFill="1" applyBorder="1" applyAlignment="1" applyProtection="1">
      <alignment horizontal="center" vertical="center" wrapText="1"/>
      <protection hidden="1"/>
    </xf>
    <xf numFmtId="49" fontId="38" fillId="0" borderId="21" xfId="8" applyNumberFormat="1" applyFont="1" applyBorder="1" applyAlignment="1" applyProtection="1">
      <alignment horizontal="left" vertical="top" wrapText="1"/>
      <protection locked="0"/>
    </xf>
    <xf numFmtId="49" fontId="38" fillId="0" borderId="54" xfId="8" applyNumberFormat="1" applyFont="1" applyBorder="1" applyAlignment="1" applyProtection="1">
      <alignment horizontal="left" vertical="top" wrapText="1"/>
      <protection locked="0"/>
    </xf>
    <xf numFmtId="49" fontId="38" fillId="0" borderId="55" xfId="8" applyNumberFormat="1" applyFont="1" applyBorder="1" applyAlignment="1" applyProtection="1">
      <alignment horizontal="left" vertical="top" wrapText="1"/>
      <protection locked="0"/>
    </xf>
    <xf numFmtId="49" fontId="60" fillId="0" borderId="98" xfId="8" applyNumberFormat="1" applyFont="1" applyBorder="1" applyAlignment="1" applyProtection="1">
      <alignment horizontal="left" vertical="top" wrapText="1"/>
      <protection locked="0"/>
    </xf>
    <xf numFmtId="49" fontId="60" fillId="0" borderId="34" xfId="8" applyNumberFormat="1" applyFont="1" applyBorder="1" applyAlignment="1" applyProtection="1">
      <alignment horizontal="left" vertical="top" wrapText="1"/>
      <protection locked="0"/>
    </xf>
    <xf numFmtId="49" fontId="60" fillId="0" borderId="92" xfId="8" applyNumberFormat="1" applyFont="1" applyBorder="1" applyAlignment="1" applyProtection="1">
      <alignment horizontal="left" vertical="top" wrapText="1"/>
      <protection locked="0"/>
    </xf>
    <xf numFmtId="0" fontId="38" fillId="0" borderId="51" xfId="8" applyFont="1" applyBorder="1" applyAlignment="1" applyProtection="1">
      <alignment horizontal="left" vertical="top" wrapText="1"/>
      <protection locked="0"/>
    </xf>
    <xf numFmtId="0" fontId="38" fillId="0" borderId="34" xfId="8" applyFont="1" applyBorder="1" applyAlignment="1" applyProtection="1">
      <alignment horizontal="left" vertical="top"/>
      <protection locked="0"/>
    </xf>
    <xf numFmtId="0" fontId="38" fillId="0" borderId="32" xfId="8" applyFont="1" applyBorder="1" applyAlignment="1" applyProtection="1">
      <alignment horizontal="left" vertical="top"/>
      <protection locked="0"/>
    </xf>
    <xf numFmtId="0" fontId="6" fillId="0" borderId="4" xfId="8" applyFont="1" applyBorder="1" applyAlignment="1" applyProtection="1">
      <alignment horizontal="left" vertical="top"/>
      <protection hidden="1"/>
    </xf>
    <xf numFmtId="0" fontId="6" fillId="0" borderId="0" xfId="8" applyFont="1" applyAlignment="1" applyProtection="1">
      <alignment horizontal="right" vertical="top" wrapText="1"/>
      <protection hidden="1"/>
    </xf>
    <xf numFmtId="0" fontId="6" fillId="0" borderId="83" xfId="8" applyFont="1" applyBorder="1" applyAlignment="1" applyProtection="1">
      <alignment horizontal="right" vertical="top" wrapText="1"/>
      <protection hidden="1"/>
    </xf>
    <xf numFmtId="0" fontId="54" fillId="8" borderId="25" xfId="10" applyFont="1" applyFill="1" applyBorder="1" applyAlignment="1" applyProtection="1">
      <alignment horizontal="center" vertical="center" wrapText="1"/>
      <protection hidden="1"/>
    </xf>
    <xf numFmtId="0" fontId="54" fillId="8" borderId="19" xfId="10" applyFont="1" applyFill="1" applyBorder="1" applyAlignment="1" applyProtection="1">
      <alignment horizontal="center" vertical="center" wrapText="1"/>
      <protection hidden="1"/>
    </xf>
    <xf numFmtId="0" fontId="54" fillId="8" borderId="106" xfId="10" applyFont="1" applyFill="1" applyBorder="1" applyAlignment="1" applyProtection="1">
      <alignment horizontal="center" vertical="center"/>
      <protection hidden="1"/>
    </xf>
    <xf numFmtId="0" fontId="54" fillId="8" borderId="108" xfId="10" applyFont="1" applyFill="1" applyBorder="1" applyAlignment="1" applyProtection="1">
      <alignment horizontal="center" vertical="center"/>
      <protection hidden="1"/>
    </xf>
    <xf numFmtId="0" fontId="6" fillId="0" borderId="82" xfId="8" applyFont="1" applyBorder="1" applyProtection="1">
      <protection hidden="1"/>
    </xf>
    <xf numFmtId="0" fontId="6" fillId="0" borderId="0" xfId="8" applyFont="1" applyProtection="1">
      <protection hidden="1"/>
    </xf>
    <xf numFmtId="0" fontId="6" fillId="0" borderId="83" xfId="8" applyFont="1" applyBorder="1" applyProtection="1">
      <protection hidden="1"/>
    </xf>
    <xf numFmtId="0" fontId="28" fillId="0" borderId="96" xfId="8" applyFont="1" applyBorder="1" applyAlignment="1" applyProtection="1">
      <alignment horizontal="left" vertical="center" wrapText="1"/>
      <protection hidden="1"/>
    </xf>
    <xf numFmtId="0" fontId="28" fillId="0" borderId="48" xfId="8" applyFont="1" applyBorder="1" applyAlignment="1" applyProtection="1">
      <alignment horizontal="left" vertical="center" wrapText="1"/>
      <protection hidden="1"/>
    </xf>
    <xf numFmtId="0" fontId="28" fillId="0" borderId="95" xfId="8" applyFont="1" applyBorder="1" applyAlignment="1" applyProtection="1">
      <alignment horizontal="left" vertical="center" wrapText="1"/>
      <protection hidden="1"/>
    </xf>
    <xf numFmtId="49" fontId="45" fillId="0" borderId="1" xfId="2" applyNumberFormat="1" applyFont="1" applyBorder="1" applyAlignment="1">
      <alignment horizontal="left" vertical="center" wrapText="1"/>
      <protection locked="0"/>
    </xf>
    <xf numFmtId="49" fontId="44" fillId="0" borderId="1" xfId="8" applyNumberFormat="1" applyFont="1" applyBorder="1" applyAlignment="1" applyProtection="1">
      <alignment horizontal="left" vertical="center" wrapText="1"/>
      <protection locked="0"/>
    </xf>
    <xf numFmtId="0" fontId="28" fillId="0" borderId="18" xfId="17" applyFont="1" applyBorder="1" applyAlignment="1" applyProtection="1">
      <alignment horizontal="left" vertical="top" wrapText="1"/>
      <protection locked="0"/>
    </xf>
    <xf numFmtId="0" fontId="28" fillId="0" borderId="34" xfId="17" applyFont="1" applyBorder="1" applyAlignment="1" applyProtection="1">
      <alignment horizontal="left" vertical="top" wrapText="1"/>
      <protection locked="0"/>
    </xf>
    <xf numFmtId="0" fontId="28" fillId="5" borderId="1" xfId="17" applyFont="1" applyFill="1" applyBorder="1" applyAlignment="1" applyProtection="1">
      <alignment horizontal="left" vertical="center" wrapText="1"/>
      <protection hidden="1"/>
    </xf>
    <xf numFmtId="0" fontId="28" fillId="5" borderId="93" xfId="17" applyFont="1" applyFill="1" applyBorder="1" applyAlignment="1" applyProtection="1">
      <alignment horizontal="left" vertical="center" wrapText="1"/>
      <protection hidden="1"/>
    </xf>
    <xf numFmtId="0" fontId="48" fillId="0" borderId="97" xfId="17" applyFont="1" applyBorder="1" applyAlignment="1" applyProtection="1">
      <alignment horizontal="left" vertical="top" wrapText="1"/>
      <protection hidden="1"/>
    </xf>
    <xf numFmtId="0" fontId="72" fillId="0" borderId="48" xfId="12" applyFont="1" applyBorder="1" applyAlignment="1" applyProtection="1">
      <alignment horizontal="center" vertical="center" wrapText="1"/>
      <protection hidden="1"/>
    </xf>
    <xf numFmtId="0" fontId="28" fillId="0" borderId="98" xfId="17" applyFont="1" applyBorder="1" applyAlignment="1" applyProtection="1">
      <alignment horizontal="center" vertical="top" wrapText="1"/>
      <protection hidden="1"/>
    </xf>
    <xf numFmtId="0" fontId="28" fillId="0" borderId="34" xfId="17" applyFont="1" applyBorder="1" applyAlignment="1" applyProtection="1">
      <alignment horizontal="center" vertical="top" wrapText="1"/>
      <protection hidden="1"/>
    </xf>
    <xf numFmtId="0" fontId="28" fillId="0" borderId="92" xfId="17" applyFont="1" applyBorder="1" applyAlignment="1" applyProtection="1">
      <alignment horizontal="center" vertical="top" wrapText="1"/>
      <protection hidden="1"/>
    </xf>
    <xf numFmtId="0" fontId="72" fillId="0" borderId="98" xfId="17" applyFont="1" applyBorder="1" applyAlignment="1" applyProtection="1">
      <alignment horizontal="center" vertical="top" wrapText="1"/>
      <protection hidden="1"/>
    </xf>
    <xf numFmtId="0" fontId="72" fillId="0" borderId="34" xfId="17" applyFont="1" applyBorder="1" applyAlignment="1" applyProtection="1">
      <alignment horizontal="center" vertical="top" wrapText="1"/>
      <protection hidden="1"/>
    </xf>
    <xf numFmtId="0" fontId="72" fillId="0" borderId="92" xfId="17" applyFont="1" applyBorder="1" applyAlignment="1" applyProtection="1">
      <alignment horizontal="center" vertical="top" wrapText="1"/>
      <protection hidden="1"/>
    </xf>
    <xf numFmtId="0" fontId="48" fillId="0" borderId="99" xfId="17" applyFont="1" applyBorder="1" applyAlignment="1" applyProtection="1">
      <alignment horizontal="left" vertical="top" wrapText="1"/>
      <protection hidden="1"/>
    </xf>
    <xf numFmtId="0" fontId="28" fillId="0" borderId="82" xfId="17" applyFont="1" applyBorder="1" applyAlignment="1" applyProtection="1">
      <alignment horizontal="left" vertical="center" wrapText="1"/>
      <protection hidden="1"/>
    </xf>
    <xf numFmtId="0" fontId="18" fillId="0" borderId="96" xfId="17" applyFont="1" applyBorder="1" applyAlignment="1" applyProtection="1">
      <alignment horizontal="center" vertical="center" wrapText="1"/>
      <protection hidden="1"/>
    </xf>
    <xf numFmtId="0" fontId="18" fillId="0" borderId="48" xfId="17" applyFont="1" applyBorder="1" applyAlignment="1" applyProtection="1">
      <alignment horizontal="center" vertical="center" wrapText="1"/>
      <protection hidden="1"/>
    </xf>
    <xf numFmtId="0" fontId="6" fillId="5" borderId="15" xfId="0" applyFont="1" applyFill="1" applyBorder="1" applyAlignment="1">
      <alignment horizontal="left" vertical="center" wrapText="1"/>
    </xf>
    <xf numFmtId="0" fontId="6" fillId="5" borderId="0" xfId="0" applyFont="1" applyFill="1" applyAlignment="1">
      <alignment horizontal="left" vertical="center" wrapText="1"/>
    </xf>
    <xf numFmtId="0" fontId="6" fillId="5" borderId="4" xfId="0" applyFont="1" applyFill="1" applyBorder="1" applyAlignment="1">
      <alignment horizontal="left" vertical="center" wrapText="1"/>
    </xf>
    <xf numFmtId="0" fontId="6" fillId="5" borderId="5" xfId="0" applyFont="1" applyFill="1" applyBorder="1" applyAlignment="1">
      <alignment horizontal="left" vertical="center" wrapText="1"/>
    </xf>
    <xf numFmtId="0" fontId="6" fillId="5" borderId="6" xfId="0" applyFont="1" applyFill="1" applyBorder="1" applyAlignment="1">
      <alignment horizontal="left" vertical="center" wrapText="1"/>
    </xf>
    <xf numFmtId="0" fontId="6" fillId="5" borderId="7" xfId="0" applyFont="1" applyFill="1" applyBorder="1" applyAlignment="1">
      <alignment horizontal="left" vertical="center" wrapText="1"/>
    </xf>
    <xf numFmtId="0" fontId="19" fillId="15" borderId="14" xfId="2" applyFont="1" applyFill="1" applyBorder="1" applyAlignment="1" applyProtection="1">
      <alignment horizontal="center" vertical="center"/>
    </xf>
    <xf numFmtId="0" fontId="19" fillId="15" borderId="12" xfId="2" applyFont="1" applyFill="1" applyBorder="1" applyAlignment="1" applyProtection="1">
      <alignment horizontal="center" vertical="center"/>
    </xf>
    <xf numFmtId="0" fontId="19" fillId="15" borderId="17" xfId="2" applyFont="1" applyFill="1" applyBorder="1" applyAlignment="1" applyProtection="1">
      <alignment horizontal="center" vertical="center"/>
    </xf>
    <xf numFmtId="0" fontId="6" fillId="5" borderId="15" xfId="0" applyFont="1" applyFill="1" applyBorder="1" applyAlignment="1">
      <alignment horizontal="center" vertical="center" wrapText="1"/>
    </xf>
    <xf numFmtId="0" fontId="6" fillId="5" borderId="63" xfId="0" applyFont="1" applyFill="1" applyBorder="1" applyAlignment="1">
      <alignment horizontal="center" vertical="center" wrapText="1"/>
    </xf>
    <xf numFmtId="0" fontId="6" fillId="5" borderId="51" xfId="0" applyFont="1" applyFill="1" applyBorder="1" applyAlignment="1">
      <alignment horizontal="center" vertical="center" wrapText="1"/>
    </xf>
    <xf numFmtId="0" fontId="6" fillId="5" borderId="30" xfId="0" applyFont="1" applyFill="1" applyBorder="1" applyAlignment="1">
      <alignment horizontal="center" vertical="center" wrapText="1"/>
    </xf>
    <xf numFmtId="0" fontId="6" fillId="5" borderId="34" xfId="0" applyFont="1" applyFill="1" applyBorder="1" applyAlignment="1">
      <alignment horizontal="left" vertical="center" wrapText="1"/>
    </xf>
    <xf numFmtId="0" fontId="6" fillId="5" borderId="32" xfId="0" applyFont="1" applyFill="1" applyBorder="1" applyAlignment="1">
      <alignment horizontal="left" vertical="center" wrapText="1"/>
    </xf>
    <xf numFmtId="0" fontId="6" fillId="5" borderId="5" xfId="0" applyFont="1" applyFill="1" applyBorder="1" applyAlignment="1">
      <alignment horizontal="center" vertical="center" wrapText="1"/>
    </xf>
    <xf numFmtId="0" fontId="6" fillId="5" borderId="60" xfId="0" applyFont="1" applyFill="1" applyBorder="1" applyAlignment="1">
      <alignment horizontal="center" vertical="center" wrapText="1"/>
    </xf>
    <xf numFmtId="0" fontId="27" fillId="0" borderId="0" xfId="38" applyFont="1" applyAlignment="1" applyProtection="1">
      <alignment vertical="center"/>
      <protection hidden="1"/>
    </xf>
    <xf numFmtId="0" fontId="22" fillId="0" borderId="0" xfId="38" applyFont="1" applyAlignment="1" applyProtection="1">
      <alignment vertical="center"/>
      <protection hidden="1"/>
    </xf>
    <xf numFmtId="0" fontId="17" fillId="0" borderId="0" xfId="38" applyFont="1" applyAlignment="1" applyProtection="1">
      <alignment vertical="center"/>
      <protection hidden="1"/>
    </xf>
    <xf numFmtId="0" fontId="27" fillId="0" borderId="79" xfId="38" applyFont="1" applyBorder="1" applyAlignment="1" applyProtection="1">
      <alignment vertical="center"/>
      <protection hidden="1"/>
    </xf>
    <xf numFmtId="0" fontId="22" fillId="0" borderId="80" xfId="38" applyFont="1" applyBorder="1" applyAlignment="1" applyProtection="1">
      <alignment vertical="center"/>
      <protection hidden="1"/>
    </xf>
    <xf numFmtId="0" fontId="22" fillId="0" borderId="81" xfId="38" applyFont="1" applyBorder="1" applyAlignment="1" applyProtection="1">
      <alignment vertical="center"/>
      <protection hidden="1"/>
    </xf>
    <xf numFmtId="0" fontId="27" fillId="0" borderId="82" xfId="38" applyFont="1" applyBorder="1" applyAlignment="1" applyProtection="1">
      <alignment vertical="center"/>
      <protection hidden="1"/>
    </xf>
    <xf numFmtId="0" fontId="22" fillId="0" borderId="83" xfId="38" applyFont="1" applyBorder="1" applyAlignment="1" applyProtection="1">
      <alignment vertical="center"/>
      <protection hidden="1"/>
    </xf>
    <xf numFmtId="0" fontId="27" fillId="5" borderId="82" xfId="38" applyFont="1" applyFill="1" applyBorder="1" applyAlignment="1" applyProtection="1">
      <alignment vertical="center"/>
      <protection hidden="1"/>
    </xf>
    <xf numFmtId="0" fontId="22" fillId="5" borderId="0" xfId="38" applyFont="1" applyFill="1" applyAlignment="1" applyProtection="1">
      <alignment vertical="center"/>
      <protection hidden="1"/>
    </xf>
    <xf numFmtId="0" fontId="22" fillId="5" borderId="83" xfId="38" applyFont="1" applyFill="1" applyBorder="1" applyAlignment="1" applyProtection="1">
      <alignment vertical="center"/>
      <protection hidden="1"/>
    </xf>
    <xf numFmtId="0" fontId="39" fillId="0" borderId="82" xfId="38" applyFont="1" applyBorder="1" applyAlignment="1" applyProtection="1">
      <alignment horizontal="left" vertical="center" wrapText="1"/>
      <protection hidden="1"/>
    </xf>
    <xf numFmtId="0" fontId="39" fillId="0" borderId="0" xfId="38" applyFont="1" applyAlignment="1" applyProtection="1">
      <alignment horizontal="left" vertical="center" wrapText="1"/>
      <protection hidden="1"/>
    </xf>
    <xf numFmtId="0" fontId="39" fillId="0" borderId="83" xfId="38" applyFont="1" applyBorder="1" applyAlignment="1" applyProtection="1">
      <alignment horizontal="left" vertical="center" wrapText="1"/>
      <protection hidden="1"/>
    </xf>
    <xf numFmtId="0" fontId="40" fillId="0" borderId="82" xfId="38" applyFont="1" applyBorder="1" applyAlignment="1" applyProtection="1">
      <alignment vertical="center"/>
      <protection hidden="1"/>
    </xf>
    <xf numFmtId="0" fontId="68" fillId="0" borderId="82" xfId="38" applyFont="1" applyBorder="1" applyAlignment="1" applyProtection="1">
      <alignment vertical="center"/>
      <protection hidden="1"/>
    </xf>
    <xf numFmtId="0" fontId="40" fillId="0" borderId="0" xfId="38" applyFont="1" applyAlignment="1" applyProtection="1">
      <alignment vertical="center"/>
      <protection hidden="1"/>
    </xf>
    <xf numFmtId="0" fontId="6" fillId="0" borderId="82" xfId="38" applyFont="1" applyBorder="1" applyAlignment="1" applyProtection="1">
      <alignment horizontal="right" vertical="center"/>
      <protection hidden="1"/>
    </xf>
    <xf numFmtId="0" fontId="38" fillId="0" borderId="18" xfId="38" applyFont="1" applyBorder="1" applyAlignment="1" applyProtection="1">
      <alignment horizontal="center" vertical="center" wrapText="1"/>
      <protection hidden="1"/>
    </xf>
    <xf numFmtId="0" fontId="38" fillId="0" borderId="34" xfId="38" applyFont="1" applyBorder="1" applyAlignment="1" applyProtection="1">
      <alignment horizontal="center" vertical="center" wrapText="1"/>
      <protection hidden="1"/>
    </xf>
    <xf numFmtId="0" fontId="38" fillId="0" borderId="30" xfId="38" applyFont="1" applyBorder="1" applyAlignment="1" applyProtection="1">
      <alignment horizontal="center" vertical="center" wrapText="1"/>
      <protection hidden="1"/>
    </xf>
    <xf numFmtId="0" fontId="38" fillId="0" borderId="180" xfId="38" applyFont="1" applyBorder="1" applyAlignment="1" applyProtection="1">
      <alignment vertical="center" wrapText="1"/>
      <protection hidden="1"/>
    </xf>
    <xf numFmtId="0" fontId="6" fillId="0" borderId="0" xfId="38" applyFont="1" applyAlignment="1" applyProtection="1">
      <alignment horizontal="left" vertical="top" wrapText="1"/>
      <protection hidden="1"/>
    </xf>
    <xf numFmtId="0" fontId="36" fillId="0" borderId="82" xfId="38" applyFont="1" applyBorder="1" applyAlignment="1" applyProtection="1">
      <alignment vertical="center"/>
      <protection hidden="1"/>
    </xf>
    <xf numFmtId="0" fontId="6" fillId="0" borderId="82" xfId="38" applyFont="1" applyBorder="1" applyAlignment="1" applyProtection="1">
      <alignment vertical="center"/>
      <protection hidden="1"/>
    </xf>
    <xf numFmtId="0" fontId="38" fillId="0" borderId="0" xfId="38" applyFont="1" applyAlignment="1" applyProtection="1">
      <alignment horizontal="center" vertical="center" wrapText="1"/>
      <protection hidden="1"/>
    </xf>
    <xf numFmtId="0" fontId="38" fillId="0" borderId="83" xfId="38" applyFont="1" applyBorder="1" applyAlignment="1" applyProtection="1">
      <alignment vertical="center" wrapText="1"/>
      <protection hidden="1"/>
    </xf>
    <xf numFmtId="0" fontId="6" fillId="0" borderId="0" xfId="38" applyFont="1" applyAlignment="1" applyProtection="1">
      <alignment horizontal="left" vertical="top" wrapText="1"/>
      <protection hidden="1"/>
    </xf>
    <xf numFmtId="0" fontId="6" fillId="0" borderId="82" xfId="38" applyFont="1" applyBorder="1" applyAlignment="1" applyProtection="1">
      <alignment horizontal="left" vertical="center" wrapText="1"/>
      <protection hidden="1"/>
    </xf>
    <xf numFmtId="0" fontId="6" fillId="0" borderId="0" xfId="38" applyFont="1" applyAlignment="1" applyProtection="1">
      <alignment horizontal="left" vertical="center" wrapText="1"/>
      <protection hidden="1"/>
    </xf>
    <xf numFmtId="0" fontId="6" fillId="0" borderId="83" xfId="38" applyFont="1" applyBorder="1" applyAlignment="1" applyProtection="1">
      <alignment horizontal="left" vertical="center" wrapText="1"/>
      <protection hidden="1"/>
    </xf>
    <xf numFmtId="0" fontId="6" fillId="0" borderId="0" xfId="38" applyFont="1" applyAlignment="1" applyProtection="1">
      <alignment vertical="center"/>
      <protection hidden="1"/>
    </xf>
    <xf numFmtId="0" fontId="6" fillId="0" borderId="82" xfId="38" applyFont="1" applyBorder="1" applyAlignment="1" applyProtection="1">
      <alignment horizontal="left" vertical="center" wrapText="1"/>
      <protection hidden="1"/>
    </xf>
    <xf numFmtId="0" fontId="6" fillId="0" borderId="0" xfId="38" applyFont="1" applyAlignment="1" applyProtection="1">
      <alignment horizontal="left" vertical="center" wrapText="1"/>
      <protection hidden="1"/>
    </xf>
    <xf numFmtId="0" fontId="6" fillId="0" borderId="83" xfId="38" applyFont="1" applyBorder="1" applyAlignment="1" applyProtection="1">
      <alignment horizontal="left" vertical="center" wrapText="1"/>
      <protection hidden="1"/>
    </xf>
    <xf numFmtId="0" fontId="22" fillId="0" borderId="48" xfId="38" applyFont="1" applyBorder="1" applyAlignment="1" applyProtection="1">
      <alignment horizontal="center" vertical="center"/>
      <protection hidden="1"/>
    </xf>
    <xf numFmtId="0" fontId="93" fillId="0" borderId="48" xfId="38" applyFont="1" applyBorder="1" applyAlignment="1" applyProtection="1">
      <alignment horizontal="center" vertical="center"/>
      <protection hidden="1"/>
    </xf>
    <xf numFmtId="0" fontId="93" fillId="0" borderId="95" xfId="38" applyFont="1" applyBorder="1" applyAlignment="1" applyProtection="1">
      <alignment horizontal="center" vertical="center"/>
      <protection hidden="1"/>
    </xf>
    <xf numFmtId="0" fontId="27" fillId="29" borderId="19" xfId="38" applyFont="1" applyFill="1" applyBorder="1" applyAlignment="1" applyProtection="1">
      <alignment horizontal="center" vertical="center"/>
      <protection hidden="1"/>
    </xf>
    <xf numFmtId="0" fontId="27" fillId="29" borderId="1" xfId="38" applyFont="1" applyFill="1" applyBorder="1" applyAlignment="1" applyProtection="1">
      <alignment horizontal="center" vertical="center"/>
      <protection hidden="1"/>
    </xf>
    <xf numFmtId="0" fontId="27" fillId="29" borderId="18" xfId="38" applyFont="1" applyFill="1" applyBorder="1" applyAlignment="1" applyProtection="1">
      <alignment horizontal="center" vertical="center"/>
      <protection hidden="1"/>
    </xf>
    <xf numFmtId="0" fontId="27" fillId="29" borderId="34" xfId="38" applyFont="1" applyFill="1" applyBorder="1" applyAlignment="1" applyProtection="1">
      <alignment horizontal="center" vertical="center"/>
      <protection hidden="1"/>
    </xf>
    <xf numFmtId="0" fontId="27" fillId="29" borderId="30" xfId="38" applyFont="1" applyFill="1" applyBorder="1" applyAlignment="1" applyProtection="1">
      <alignment horizontal="center" vertical="center"/>
      <protection hidden="1"/>
    </xf>
    <xf numFmtId="0" fontId="27" fillId="29" borderId="61" xfId="38" applyFont="1" applyFill="1" applyBorder="1" applyAlignment="1" applyProtection="1">
      <alignment horizontal="center" vertical="center"/>
      <protection hidden="1"/>
    </xf>
    <xf numFmtId="0" fontId="27" fillId="29" borderId="33" xfId="38" applyFont="1" applyFill="1" applyBorder="1" applyAlignment="1" applyProtection="1">
      <alignment horizontal="center" vertical="center"/>
      <protection hidden="1"/>
    </xf>
    <xf numFmtId="0" fontId="6" fillId="15" borderId="97" xfId="17" applyFont="1" applyFill="1" applyBorder="1" applyAlignment="1" applyProtection="1">
      <alignment horizontal="left" vertical="center" wrapText="1"/>
      <protection hidden="1"/>
    </xf>
    <xf numFmtId="0" fontId="47" fillId="30" borderId="18" xfId="17" applyFont="1" applyFill="1" applyBorder="1" applyAlignment="1" applyProtection="1">
      <alignment horizontal="left" vertical="top" wrapText="1"/>
      <protection locked="0"/>
    </xf>
    <xf numFmtId="0" fontId="47" fillId="30" borderId="32" xfId="17" applyFont="1" applyFill="1" applyBorder="1" applyAlignment="1" applyProtection="1">
      <alignment horizontal="left" vertical="top" wrapText="1"/>
      <protection locked="0"/>
    </xf>
    <xf numFmtId="0" fontId="22" fillId="0" borderId="0" xfId="38" applyFont="1" applyAlignment="1" applyProtection="1">
      <alignment vertical="center" wrapText="1"/>
      <protection hidden="1"/>
    </xf>
    <xf numFmtId="0" fontId="6" fillId="0" borderId="0" xfId="38" applyFont="1" applyAlignment="1" applyProtection="1">
      <alignment horizontal="left" vertical="top"/>
      <protection hidden="1"/>
    </xf>
    <xf numFmtId="0" fontId="6" fillId="0" borderId="83" xfId="38" applyFont="1" applyBorder="1" applyAlignment="1" applyProtection="1">
      <alignment horizontal="left" vertical="top"/>
      <protection hidden="1"/>
    </xf>
    <xf numFmtId="0" fontId="6" fillId="0" borderId="0" xfId="38" applyFont="1" applyAlignment="1" applyProtection="1">
      <alignment vertical="center" wrapText="1"/>
      <protection hidden="1"/>
    </xf>
    <xf numFmtId="0" fontId="28" fillId="0" borderId="30" xfId="17" applyFont="1" applyBorder="1" applyAlignment="1" applyProtection="1">
      <alignment horizontal="left" vertical="top" wrapText="1"/>
      <protection locked="0"/>
    </xf>
    <xf numFmtId="0" fontId="6" fillId="0" borderId="15" xfId="38" applyFont="1" applyBorder="1" applyAlignment="1" applyProtection="1">
      <alignment vertical="center" wrapText="1"/>
      <protection hidden="1"/>
    </xf>
    <xf numFmtId="0" fontId="6" fillId="0" borderId="83" xfId="38" applyFont="1" applyBorder="1" applyAlignment="1" applyProtection="1">
      <alignment vertical="center"/>
      <protection hidden="1"/>
    </xf>
    <xf numFmtId="0" fontId="17" fillId="0" borderId="0" xfId="38" applyFont="1" applyAlignment="1" applyProtection="1">
      <alignment vertical="center" wrapText="1"/>
      <protection hidden="1"/>
    </xf>
    <xf numFmtId="0" fontId="6" fillId="0" borderId="0" xfId="38" applyFont="1" applyAlignment="1" applyProtection="1">
      <alignment vertical="top"/>
      <protection hidden="1"/>
    </xf>
    <xf numFmtId="0" fontId="6" fillId="0" borderId="83" xfId="38" applyFont="1" applyBorder="1" applyAlignment="1" applyProtection="1">
      <alignment vertical="top"/>
      <protection hidden="1"/>
    </xf>
    <xf numFmtId="0" fontId="22" fillId="0" borderId="0" xfId="38" applyFont="1" applyAlignment="1" applyProtection="1">
      <alignment vertical="top"/>
      <protection hidden="1"/>
    </xf>
    <xf numFmtId="0" fontId="22" fillId="0" borderId="83" xfId="38" applyFont="1" applyBorder="1" applyAlignment="1" applyProtection="1">
      <alignment vertical="top"/>
      <protection hidden="1"/>
    </xf>
    <xf numFmtId="0" fontId="28" fillId="0" borderId="18" xfId="17" applyFont="1" applyBorder="1" applyAlignment="1" applyProtection="1">
      <alignment vertical="top" wrapText="1"/>
      <protection locked="0"/>
    </xf>
    <xf numFmtId="0" fontId="28" fillId="0" borderId="34" xfId="17" applyFont="1" applyBorder="1" applyAlignment="1" applyProtection="1">
      <alignment vertical="top" wrapText="1"/>
      <protection locked="0"/>
    </xf>
    <xf numFmtId="0" fontId="28" fillId="0" borderId="30" xfId="17" applyFont="1" applyBorder="1" applyAlignment="1" applyProtection="1">
      <alignment vertical="top" wrapText="1"/>
      <protection locked="0"/>
    </xf>
    <xf numFmtId="0" fontId="6" fillId="0" borderId="82" xfId="17" applyFont="1" applyBorder="1" applyAlignment="1" applyProtection="1">
      <alignment horizontal="left" vertical="top" wrapText="1"/>
      <protection hidden="1"/>
    </xf>
    <xf numFmtId="0" fontId="22" fillId="0" borderId="0" xfId="38" applyFont="1" applyAlignment="1" applyProtection="1">
      <alignment horizontal="center" vertical="top"/>
      <protection hidden="1"/>
    </xf>
    <xf numFmtId="0" fontId="28" fillId="0" borderId="61" xfId="17" applyFont="1" applyBorder="1" applyAlignment="1" applyProtection="1">
      <alignment horizontal="left" vertical="top" wrapText="1"/>
      <protection hidden="1"/>
    </xf>
    <xf numFmtId="0" fontId="28" fillId="0" borderId="47" xfId="17" applyFont="1" applyBorder="1" applyAlignment="1" applyProtection="1">
      <alignment horizontal="left" vertical="top" wrapText="1"/>
      <protection hidden="1"/>
    </xf>
    <xf numFmtId="0" fontId="47" fillId="30" borderId="61" xfId="17" applyFont="1" applyFill="1" applyBorder="1" applyAlignment="1" applyProtection="1">
      <alignment horizontal="left" vertical="top" wrapText="1"/>
      <protection locked="0"/>
    </xf>
    <xf numFmtId="0" fontId="47" fillId="30" borderId="33" xfId="17" applyFont="1" applyFill="1" applyBorder="1" applyAlignment="1" applyProtection="1">
      <alignment horizontal="left" vertical="top" wrapText="1"/>
      <protection locked="0"/>
    </xf>
    <xf numFmtId="0" fontId="28" fillId="0" borderId="62" xfId="17" applyFont="1" applyBorder="1" applyAlignment="1" applyProtection="1">
      <alignment horizontal="left" vertical="top" wrapText="1"/>
      <protection hidden="1"/>
    </xf>
    <xf numFmtId="0" fontId="28" fillId="0" borderId="0" xfId="17" applyFont="1" applyAlignment="1" applyProtection="1">
      <alignment horizontal="left" vertical="top" wrapText="1"/>
      <protection hidden="1"/>
    </xf>
    <xf numFmtId="0" fontId="47" fillId="30" borderId="62" xfId="17" applyFont="1" applyFill="1" applyBorder="1" applyAlignment="1" applyProtection="1">
      <alignment horizontal="left" vertical="top" wrapText="1"/>
      <protection locked="0"/>
    </xf>
    <xf numFmtId="0" fontId="47" fillId="30" borderId="4" xfId="17" applyFont="1" applyFill="1" applyBorder="1" applyAlignment="1" applyProtection="1">
      <alignment horizontal="left" vertical="top" wrapText="1"/>
      <protection locked="0"/>
    </xf>
    <xf numFmtId="0" fontId="28" fillId="0" borderId="27" xfId="17" applyFont="1" applyBorder="1" applyAlignment="1" applyProtection="1">
      <alignment horizontal="left" vertical="top" wrapText="1"/>
      <protection hidden="1"/>
    </xf>
    <xf numFmtId="0" fontId="28" fillId="0" borderId="48" xfId="17" applyFont="1" applyBorder="1" applyAlignment="1" applyProtection="1">
      <alignment horizontal="left" vertical="top" wrapText="1"/>
      <protection hidden="1"/>
    </xf>
    <xf numFmtId="0" fontId="47" fillId="30" borderId="27" xfId="17" applyFont="1" applyFill="1" applyBorder="1" applyAlignment="1" applyProtection="1">
      <alignment horizontal="left" vertical="top" wrapText="1"/>
      <protection locked="0"/>
    </xf>
    <xf numFmtId="0" fontId="47" fillId="30" borderId="181" xfId="17" applyFont="1" applyFill="1" applyBorder="1" applyAlignment="1" applyProtection="1">
      <alignment horizontal="left" vertical="top" wrapText="1"/>
      <protection locked="0"/>
    </xf>
    <xf numFmtId="0" fontId="28" fillId="0" borderId="0" xfId="17" applyFont="1" applyAlignment="1" applyProtection="1">
      <alignment horizontal="left" vertical="center" wrapText="1"/>
      <protection hidden="1"/>
    </xf>
    <xf numFmtId="0" fontId="28" fillId="0" borderId="47" xfId="17" applyFont="1" applyBorder="1" applyAlignment="1" applyProtection="1">
      <alignment horizontal="left" vertical="top" wrapText="1"/>
      <protection locked="0"/>
    </xf>
    <xf numFmtId="0" fontId="28" fillId="0" borderId="33" xfId="17" applyFont="1" applyBorder="1" applyAlignment="1" applyProtection="1">
      <alignment horizontal="left" vertical="top" wrapText="1"/>
      <protection locked="0"/>
    </xf>
    <xf numFmtId="0" fontId="18" fillId="0" borderId="0" xfId="17" applyFont="1" applyAlignment="1" applyProtection="1">
      <alignment horizontal="center" vertical="center" wrapText="1"/>
      <protection hidden="1"/>
    </xf>
    <xf numFmtId="0" fontId="18" fillId="0" borderId="83" xfId="17" applyFont="1" applyBorder="1" applyAlignment="1" applyProtection="1">
      <alignment horizontal="center" vertical="center" wrapText="1"/>
      <protection hidden="1"/>
    </xf>
    <xf numFmtId="0" fontId="28" fillId="0" borderId="48" xfId="17" applyFont="1" applyBorder="1" applyAlignment="1" applyProtection="1">
      <alignment horizontal="center" vertical="top" wrapText="1"/>
      <protection hidden="1"/>
    </xf>
    <xf numFmtId="0" fontId="28" fillId="0" borderId="95" xfId="17" applyFont="1" applyBorder="1" applyAlignment="1" applyProtection="1">
      <alignment horizontal="center" vertical="top" wrapText="1"/>
      <protection hidden="1"/>
    </xf>
    <xf numFmtId="0" fontId="28" fillId="0" borderId="47" xfId="17" applyFont="1" applyBorder="1" applyAlignment="1" applyProtection="1">
      <alignment horizontal="center" vertical="top" wrapText="1"/>
      <protection hidden="1"/>
    </xf>
    <xf numFmtId="0" fontId="28" fillId="0" borderId="94" xfId="17" applyFont="1" applyBorder="1" applyAlignment="1" applyProtection="1">
      <alignment horizontal="center" vertical="top" wrapText="1"/>
      <protection hidden="1"/>
    </xf>
    <xf numFmtId="0" fontId="69" fillId="0" borderId="82" xfId="38" applyFont="1" applyBorder="1" applyAlignment="1" applyProtection="1">
      <alignment horizontal="left" vertical="center"/>
      <protection hidden="1"/>
    </xf>
    <xf numFmtId="0" fontId="69" fillId="0" borderId="0" xfId="38" applyFont="1" applyAlignment="1" applyProtection="1">
      <alignment horizontal="left" vertical="center"/>
      <protection hidden="1"/>
    </xf>
    <xf numFmtId="0" fontId="69" fillId="0" borderId="83" xfId="38" applyFont="1" applyBorder="1" applyAlignment="1" applyProtection="1">
      <alignment horizontal="left" vertical="center"/>
      <protection hidden="1"/>
    </xf>
    <xf numFmtId="0" fontId="40" fillId="0" borderId="82" xfId="38" applyFont="1" applyBorder="1" applyAlignment="1" applyProtection="1">
      <alignment horizontal="left" vertical="center"/>
      <protection hidden="1"/>
    </xf>
    <xf numFmtId="0" fontId="70" fillId="0" borderId="0" xfId="38" applyFont="1" applyAlignment="1" applyProtection="1">
      <alignment horizontal="left" vertical="center"/>
      <protection hidden="1"/>
    </xf>
    <xf numFmtId="0" fontId="71" fillId="0" borderId="0" xfId="38" applyFont="1" applyAlignment="1" applyProtection="1">
      <alignment horizontal="left" vertical="center"/>
      <protection hidden="1"/>
    </xf>
    <xf numFmtId="0" fontId="71" fillId="0" borderId="83" xfId="38" applyFont="1" applyBorder="1" applyAlignment="1" applyProtection="1">
      <alignment horizontal="left" vertical="center"/>
      <protection hidden="1"/>
    </xf>
    <xf numFmtId="0" fontId="72" fillId="0" borderId="96" xfId="12" applyFont="1" applyBorder="1" applyAlignment="1" applyProtection="1">
      <alignment vertical="center" wrapText="1"/>
      <protection hidden="1"/>
    </xf>
    <xf numFmtId="0" fontId="72" fillId="0" borderId="48" xfId="12" applyFont="1" applyBorder="1" applyAlignment="1" applyProtection="1">
      <alignment vertical="center" wrapText="1"/>
      <protection hidden="1"/>
    </xf>
    <xf numFmtId="0" fontId="72" fillId="0" borderId="95" xfId="12" applyFont="1" applyBorder="1" applyAlignment="1" applyProtection="1">
      <alignment vertical="center" wrapText="1"/>
      <protection hidden="1"/>
    </xf>
    <xf numFmtId="0" fontId="6" fillId="0" borderId="82" xfId="38" applyFont="1" applyBorder="1" applyAlignment="1" applyProtection="1">
      <alignment vertical="top" wrapText="1"/>
      <protection hidden="1"/>
    </xf>
    <xf numFmtId="0" fontId="74" fillId="0" borderId="0" xfId="38" applyFont="1" applyAlignment="1" applyProtection="1">
      <alignment horizontal="center" vertical="center"/>
      <protection hidden="1"/>
    </xf>
    <xf numFmtId="9" fontId="74" fillId="0" borderId="0" xfId="39" applyFont="1" applyBorder="1" applyAlignment="1" applyProtection="1">
      <alignment horizontal="center" vertical="center"/>
      <protection hidden="1"/>
    </xf>
    <xf numFmtId="9" fontId="74" fillId="0" borderId="83" xfId="39" applyFont="1" applyBorder="1" applyAlignment="1" applyProtection="1">
      <alignment horizontal="center" vertical="center"/>
      <protection hidden="1"/>
    </xf>
    <xf numFmtId="0" fontId="73" fillId="0" borderId="0" xfId="38" applyFont="1" applyAlignment="1" applyProtection="1">
      <alignment vertical="center"/>
      <protection hidden="1"/>
    </xf>
    <xf numFmtId="0" fontId="75" fillId="0" borderId="0" xfId="38" applyFont="1" applyAlignment="1" applyProtection="1">
      <alignment vertical="center"/>
      <protection hidden="1"/>
    </xf>
    <xf numFmtId="9" fontId="75" fillId="0" borderId="0" xfId="38" applyNumberFormat="1" applyFont="1" applyAlignment="1" applyProtection="1">
      <alignment vertical="center"/>
      <protection hidden="1"/>
    </xf>
    <xf numFmtId="0" fontId="27" fillId="0" borderId="96" xfId="38" applyFont="1" applyBorder="1" applyAlignment="1" applyProtection="1">
      <alignment vertical="center"/>
      <protection hidden="1"/>
    </xf>
    <xf numFmtId="0" fontId="22" fillId="0" borderId="48" xfId="38" applyFont="1" applyBorder="1" applyAlignment="1" applyProtection="1">
      <alignment vertical="center"/>
      <protection hidden="1"/>
    </xf>
    <xf numFmtId="0" fontId="74" fillId="0" borderId="48" xfId="38" applyFont="1" applyBorder="1" applyAlignment="1" applyProtection="1">
      <alignment horizontal="center" vertical="center"/>
      <protection hidden="1"/>
    </xf>
    <xf numFmtId="9" fontId="74" fillId="0" borderId="48" xfId="39" applyFont="1" applyBorder="1" applyAlignment="1" applyProtection="1">
      <alignment horizontal="center" vertical="center"/>
      <protection hidden="1"/>
    </xf>
    <xf numFmtId="9" fontId="74" fillId="0" borderId="95" xfId="39" applyFont="1" applyBorder="1" applyAlignment="1" applyProtection="1">
      <alignment horizontal="center" vertical="center"/>
      <protection hidden="1"/>
    </xf>
    <xf numFmtId="0" fontId="36" fillId="0" borderId="20" xfId="38" applyFont="1" applyBorder="1" applyAlignment="1" applyProtection="1">
      <alignment horizontal="center" vertical="center"/>
      <protection locked="0"/>
    </xf>
    <xf numFmtId="0" fontId="22" fillId="0" borderId="61" xfId="38" applyFont="1" applyBorder="1" applyAlignment="1" applyProtection="1">
      <alignment horizontal="left" vertical="top"/>
      <protection locked="0"/>
    </xf>
    <xf numFmtId="0" fontId="22" fillId="0" borderId="47" xfId="38" applyFont="1" applyBorder="1" applyAlignment="1" applyProtection="1">
      <alignment horizontal="left" vertical="top"/>
      <protection locked="0"/>
    </xf>
    <xf numFmtId="0" fontId="6" fillId="0" borderId="0" xfId="38" applyFont="1" applyAlignment="1" applyProtection="1">
      <alignment vertical="center" wrapText="1"/>
      <protection hidden="1"/>
    </xf>
    <xf numFmtId="0" fontId="36" fillId="0" borderId="1" xfId="38" applyFont="1" applyBorder="1" applyAlignment="1" applyProtection="1">
      <alignment horizontal="center" vertical="center"/>
      <protection locked="0"/>
    </xf>
    <xf numFmtId="0" fontId="22" fillId="0" borderId="27" xfId="38" applyFont="1" applyBorder="1" applyAlignment="1" applyProtection="1">
      <alignment horizontal="left" vertical="top"/>
      <protection locked="0"/>
    </xf>
    <xf numFmtId="0" fontId="22" fillId="0" borderId="48" xfId="38" applyFont="1" applyBorder="1" applyAlignment="1" applyProtection="1">
      <alignment horizontal="left" vertical="top"/>
      <protection locked="0"/>
    </xf>
    <xf numFmtId="0" fontId="36" fillId="0" borderId="82" xfId="38" applyFont="1" applyBorder="1" applyAlignment="1" applyProtection="1">
      <alignment vertical="top"/>
      <protection hidden="1"/>
    </xf>
    <xf numFmtId="0" fontId="48" fillId="0" borderId="97" xfId="17" applyFont="1" applyBorder="1" applyAlignment="1" applyProtection="1">
      <alignment horizontal="left" vertical="center" wrapText="1"/>
      <protection hidden="1"/>
    </xf>
    <xf numFmtId="0" fontId="22" fillId="0" borderId="61" xfId="38" applyFont="1" applyBorder="1" applyAlignment="1" applyProtection="1">
      <alignment vertical="top"/>
      <protection locked="0"/>
    </xf>
    <xf numFmtId="0" fontId="22" fillId="0" borderId="47" xfId="38" applyFont="1" applyBorder="1" applyAlignment="1" applyProtection="1">
      <alignment vertical="top"/>
      <protection locked="0"/>
    </xf>
    <xf numFmtId="0" fontId="22" fillId="0" borderId="27" xfId="38" applyFont="1" applyBorder="1" applyAlignment="1" applyProtection="1">
      <alignment vertical="top"/>
      <protection locked="0"/>
    </xf>
    <xf numFmtId="0" fontId="22" fillId="0" borderId="48" xfId="38" applyFont="1" applyBorder="1" applyAlignment="1" applyProtection="1">
      <alignment vertical="top"/>
      <protection locked="0"/>
    </xf>
    <xf numFmtId="0" fontId="36" fillId="0" borderId="0" xfId="38" applyFont="1" applyAlignment="1" applyProtection="1">
      <alignment horizontal="center" vertical="center"/>
      <protection hidden="1"/>
    </xf>
    <xf numFmtId="0" fontId="22" fillId="0" borderId="0" xfId="38" applyFont="1" applyAlignment="1" applyProtection="1">
      <alignment horizontal="left" vertical="top"/>
      <protection hidden="1"/>
    </xf>
    <xf numFmtId="0" fontId="22" fillId="0" borderId="83" xfId="38" applyFont="1" applyBorder="1" applyAlignment="1" applyProtection="1">
      <alignment horizontal="left" vertical="top"/>
      <protection hidden="1"/>
    </xf>
    <xf numFmtId="0" fontId="6" fillId="0" borderId="0" xfId="38" applyFont="1" applyAlignment="1" applyProtection="1">
      <alignment horizontal="left" vertical="center"/>
      <protection hidden="1"/>
    </xf>
    <xf numFmtId="1" fontId="36" fillId="0" borderId="1" xfId="38" applyNumberFormat="1" applyFont="1" applyBorder="1" applyAlignment="1" applyProtection="1">
      <alignment horizontal="center" vertical="center"/>
      <protection hidden="1"/>
    </xf>
    <xf numFmtId="0" fontId="22" fillId="0" borderId="18" xfId="38" applyFont="1" applyBorder="1" applyAlignment="1" applyProtection="1">
      <alignment vertical="top"/>
      <protection locked="0"/>
    </xf>
    <xf numFmtId="0" fontId="22" fillId="0" borderId="34" xfId="38" applyFont="1" applyBorder="1" applyAlignment="1" applyProtection="1">
      <alignment vertical="top"/>
      <protection locked="0"/>
    </xf>
    <xf numFmtId="0" fontId="76" fillId="0" borderId="0" xfId="38" applyFont="1" applyAlignment="1" applyProtection="1">
      <alignment vertical="center"/>
      <protection hidden="1"/>
    </xf>
    <xf numFmtId="0" fontId="76" fillId="0" borderId="83" xfId="38" applyFont="1" applyBorder="1" applyAlignment="1" applyProtection="1">
      <alignment vertical="center"/>
      <protection hidden="1"/>
    </xf>
    <xf numFmtId="0" fontId="28" fillId="5" borderId="18" xfId="17" applyFont="1" applyFill="1" applyBorder="1" applyAlignment="1" applyProtection="1">
      <alignment horizontal="left" vertical="center" wrapText="1"/>
      <protection hidden="1"/>
    </xf>
    <xf numFmtId="49" fontId="76" fillId="0" borderId="98" xfId="38" applyNumberFormat="1" applyFont="1" applyBorder="1" applyAlignment="1" applyProtection="1">
      <alignment horizontal="center" vertical="top" wrapText="1"/>
      <protection locked="0"/>
    </xf>
    <xf numFmtId="49" fontId="76" fillId="0" borderId="34" xfId="38" applyNumberFormat="1" applyFont="1" applyBorder="1" applyAlignment="1" applyProtection="1">
      <alignment horizontal="center" vertical="top" wrapText="1"/>
      <protection locked="0"/>
    </xf>
    <xf numFmtId="49" fontId="76" fillId="0" borderId="30" xfId="38" applyNumberFormat="1" applyFont="1" applyBorder="1" applyAlignment="1" applyProtection="1">
      <alignment horizontal="center" vertical="top" wrapText="1"/>
      <protection locked="0"/>
    </xf>
    <xf numFmtId="49" fontId="6" fillId="30" borderId="93" xfId="38" applyNumberFormat="1" applyFont="1" applyFill="1" applyBorder="1" applyAlignment="1" applyProtection="1">
      <alignment vertical="top" wrapText="1"/>
      <protection locked="0"/>
    </xf>
    <xf numFmtId="49" fontId="6" fillId="0" borderId="98" xfId="38" applyNumberFormat="1" applyFont="1" applyBorder="1" applyAlignment="1" applyProtection="1">
      <alignment horizontal="center" vertical="top" wrapText="1"/>
      <protection locked="0"/>
    </xf>
    <xf numFmtId="49" fontId="6" fillId="0" borderId="34" xfId="38" applyNumberFormat="1" applyFont="1" applyBorder="1" applyAlignment="1" applyProtection="1">
      <alignment horizontal="center" vertical="top" wrapText="1"/>
      <protection locked="0"/>
    </xf>
    <xf numFmtId="49" fontId="6" fillId="0" borderId="30" xfId="38" applyNumberFormat="1" applyFont="1" applyBorder="1" applyAlignment="1" applyProtection="1">
      <alignment horizontal="center" vertical="top" wrapText="1"/>
      <protection locked="0"/>
    </xf>
    <xf numFmtId="0" fontId="78" fillId="0" borderId="0" xfId="38" applyFont="1" applyAlignment="1" applyProtection="1">
      <alignment vertical="center"/>
      <protection hidden="1"/>
    </xf>
    <xf numFmtId="49" fontId="6" fillId="0" borderId="97" xfId="38" applyNumberFormat="1" applyFont="1" applyBorder="1" applyAlignment="1" applyProtection="1">
      <alignment horizontal="left" vertical="top" wrapText="1"/>
      <protection hidden="1"/>
    </xf>
    <xf numFmtId="49" fontId="6" fillId="0" borderId="1" xfId="38" applyNumberFormat="1" applyFont="1" applyBorder="1" applyAlignment="1" applyProtection="1">
      <alignment horizontal="left" vertical="top" wrapText="1"/>
      <protection hidden="1"/>
    </xf>
    <xf numFmtId="49" fontId="6" fillId="0" borderId="18" xfId="38" applyNumberFormat="1" applyFont="1" applyBorder="1" applyAlignment="1" applyProtection="1">
      <alignment horizontal="left" vertical="top" wrapText="1"/>
      <protection hidden="1"/>
    </xf>
    <xf numFmtId="49" fontId="6" fillId="0" borderId="93" xfId="38" applyNumberFormat="1" applyFont="1" applyBorder="1" applyAlignment="1" applyProtection="1">
      <alignment horizontal="left" vertical="top" wrapText="1"/>
      <protection hidden="1"/>
    </xf>
    <xf numFmtId="0" fontId="33" fillId="0" borderId="0" xfId="38" applyFont="1" applyAlignment="1" applyProtection="1">
      <alignment vertical="center"/>
      <protection hidden="1"/>
    </xf>
    <xf numFmtId="49" fontId="6" fillId="0" borderId="18" xfId="38" applyNumberFormat="1" applyFont="1" applyBorder="1" applyAlignment="1" applyProtection="1">
      <alignment horizontal="center" vertical="center" wrapText="1"/>
      <protection locked="0"/>
    </xf>
    <xf numFmtId="49" fontId="6" fillId="0" borderId="30" xfId="38" applyNumberFormat="1" applyFont="1" applyBorder="1" applyAlignment="1" applyProtection="1">
      <alignment horizontal="center" vertical="center" wrapText="1"/>
      <protection locked="0"/>
    </xf>
    <xf numFmtId="49" fontId="6" fillId="0" borderId="0" xfId="38" applyNumberFormat="1" applyFont="1" applyAlignment="1" applyProtection="1">
      <alignment vertical="center" wrapText="1"/>
      <protection hidden="1"/>
    </xf>
    <xf numFmtId="2" fontId="6" fillId="0" borderId="1" xfId="38" applyNumberFormat="1" applyFont="1" applyBorder="1" applyAlignment="1" applyProtection="1">
      <alignment horizontal="center" vertical="center" wrapText="1"/>
      <protection locked="0"/>
    </xf>
    <xf numFmtId="0" fontId="6" fillId="0" borderId="27" xfId="38" applyFont="1" applyBorder="1" applyAlignment="1" applyProtection="1">
      <alignment vertical="center" wrapText="1"/>
      <protection hidden="1"/>
    </xf>
    <xf numFmtId="0" fontId="6" fillId="0" borderId="48" xfId="38" applyFont="1" applyBorder="1" applyAlignment="1" applyProtection="1">
      <alignment vertical="center" wrapText="1"/>
      <protection hidden="1"/>
    </xf>
    <xf numFmtId="49" fontId="6" fillId="0" borderId="34" xfId="38" applyNumberFormat="1" applyFont="1" applyBorder="1" applyAlignment="1" applyProtection="1">
      <alignment horizontal="center" vertical="center" wrapText="1"/>
      <protection locked="0"/>
    </xf>
    <xf numFmtId="14" fontId="6" fillId="0" borderId="18" xfId="38" applyNumberFormat="1" applyFont="1" applyBorder="1" applyAlignment="1" applyProtection="1">
      <alignment horizontal="center" vertical="center" wrapText="1"/>
      <protection locked="0"/>
    </xf>
    <xf numFmtId="14" fontId="6" fillId="0" borderId="30" xfId="38" applyNumberFormat="1" applyFont="1" applyBorder="1" applyAlignment="1" applyProtection="1">
      <alignment horizontal="center" vertical="center" wrapText="1"/>
      <protection locked="0"/>
    </xf>
    <xf numFmtId="0" fontId="6" fillId="0" borderId="83" xfId="38" applyFont="1" applyBorder="1" applyAlignment="1" applyProtection="1">
      <alignment horizontal="right" vertical="center"/>
      <protection hidden="1"/>
    </xf>
    <xf numFmtId="0" fontId="27" fillId="15" borderId="100" xfId="38" applyFont="1" applyFill="1" applyBorder="1" applyAlignment="1" applyProtection="1">
      <alignment vertical="center"/>
      <protection hidden="1"/>
    </xf>
    <xf numFmtId="0" fontId="22" fillId="15" borderId="101" xfId="38" applyFont="1" applyFill="1" applyBorder="1" applyAlignment="1" applyProtection="1">
      <alignment vertical="center"/>
      <protection hidden="1"/>
    </xf>
    <xf numFmtId="0" fontId="22" fillId="15" borderId="102" xfId="38" applyFont="1" applyFill="1" applyBorder="1" applyAlignment="1" applyProtection="1">
      <alignment vertical="center"/>
      <protection hidden="1"/>
    </xf>
    <xf numFmtId="0" fontId="30" fillId="22" borderId="153" xfId="40" applyFont="1" applyFill="1" applyBorder="1"/>
    <xf numFmtId="0" fontId="88" fillId="22" borderId="153" xfId="40" applyFont="1" applyFill="1" applyBorder="1" applyAlignment="1">
      <alignment vertical="center"/>
    </xf>
    <xf numFmtId="0" fontId="17" fillId="23" borderId="87" xfId="40" applyFont="1" applyFill="1" applyBorder="1"/>
    <xf numFmtId="0" fontId="22" fillId="23" borderId="87" xfId="40" applyFont="1" applyFill="1" applyBorder="1" applyAlignment="1">
      <alignment vertical="center"/>
    </xf>
    <xf numFmtId="0" fontId="17" fillId="0" borderId="87" xfId="40" applyFont="1" applyBorder="1"/>
    <xf numFmtId="0" fontId="17" fillId="0" borderId="154" xfId="40" applyFont="1" applyBorder="1" applyAlignment="1">
      <alignment vertical="top" wrapText="1"/>
    </xf>
    <xf numFmtId="0" fontId="20" fillId="0" borderId="154" xfId="40" applyFont="1" applyBorder="1" applyAlignment="1">
      <alignment vertical="top" wrapText="1"/>
    </xf>
    <xf numFmtId="0" fontId="22" fillId="0" borderId="154" xfId="40" applyFont="1" applyBorder="1" applyAlignment="1">
      <alignment vertical="center"/>
    </xf>
  </cellXfs>
  <cellStyles count="41">
    <cellStyle name="Comma" xfId="1" builtinId="3"/>
    <cellStyle name="Comma 2" xfId="16" xr:uid="{198090A5-DB3D-4717-AFBE-53328CBC628A}"/>
    <cellStyle name="Comma 2 2" xfId="32" xr:uid="{E1E76181-C1E4-4914-891F-0D10E861ACEB}"/>
    <cellStyle name="Comma 3" xfId="25" xr:uid="{0182AB4E-A24E-43A1-A09F-E8827AFB78E4}"/>
    <cellStyle name="Hyperlink" xfId="2" builtinId="8"/>
    <cellStyle name="Hyperlink 2" xfId="14" xr:uid="{B608BFAC-8FA7-4597-AFD4-5670769BA40C}"/>
    <cellStyle name="Hyperlink 2 2" xfId="22" xr:uid="{BF3BD3BE-588B-446B-9B90-A4391CC246CE}"/>
    <cellStyle name="Hyperlink 3" xfId="24" xr:uid="{D96049BE-9099-4EBE-B9D5-8737D823FACF}"/>
    <cellStyle name="Normal" xfId="0" builtinId="0"/>
    <cellStyle name="Normal 2" xfId="3" xr:uid="{00000000-0005-0000-0000-000003000000}"/>
    <cellStyle name="Normal 2 2" xfId="7" xr:uid="{00000000-0005-0000-0000-000004000000}"/>
    <cellStyle name="Normal 2 2 2" xfId="13" xr:uid="{D7299017-8753-4546-985F-A1108D118940}"/>
    <cellStyle name="Normal 2 2 3" xfId="27" xr:uid="{EA8572AB-34EE-4584-B009-EE42BA037A52}"/>
    <cellStyle name="Normal 2 3" xfId="11" xr:uid="{E9AE6938-9A56-45E5-B27C-239626E232AD}"/>
    <cellStyle name="Normal 2 3 2" xfId="17" xr:uid="{9898A57F-9442-4A6A-A2DC-39406613008F}"/>
    <cellStyle name="Normal 2 4" xfId="26" xr:uid="{8BA51FEA-DF28-4DB2-8FB6-75C8520B4E78}"/>
    <cellStyle name="Normal 3" xfId="6" xr:uid="{00000000-0005-0000-0000-000005000000}"/>
    <cellStyle name="Normal 3 2" xfId="10" xr:uid="{D19C9527-A987-47C6-ABF5-4F88D4BF8A32}"/>
    <cellStyle name="Normal 3 2 2" xfId="18" xr:uid="{85F5C5CA-4C2D-4036-B70B-73F4BE8AE37B}"/>
    <cellStyle name="Normal 3 2 2 2" xfId="33" xr:uid="{A685B9CE-5C95-4D9F-8F36-CE162FD666F9}"/>
    <cellStyle name="Normal 3 2 2 2 2" xfId="38" xr:uid="{B592609C-B4BC-4DFF-A6AD-3CBD388C2C36}"/>
    <cellStyle name="Normal 3 2 2 2 2 2 2" xfId="20" xr:uid="{8D0B2031-AD6C-4DCF-BE9B-82F964802043}"/>
    <cellStyle name="Normal 3 2 2 2 2 2 2 2" xfId="35" xr:uid="{0D015A5F-1C7E-4931-AB62-72DE7C745AC1}"/>
    <cellStyle name="Normal 3 2 2 2 2 2 2 2 2" xfId="40" xr:uid="{9564322D-A23F-433A-BFAB-08594CD45C37}"/>
    <cellStyle name="Normal 3 2 3" xfId="23" xr:uid="{2E7A42D6-9970-4869-8610-4F5BD7657486}"/>
    <cellStyle name="Normal 3 2 3 2" xfId="37" xr:uid="{BD4DF8FA-FD2D-4CD7-B11C-96DB50449F38}"/>
    <cellStyle name="Normal 3 2 4" xfId="30" xr:uid="{673B0F0D-A626-448D-B09F-6B511DCD4125}"/>
    <cellStyle name="Normal 4" xfId="8" xr:uid="{3004391E-675B-4EBB-9A84-B2A10F374D8B}"/>
    <cellStyle name="Normal 4 2" xfId="21" xr:uid="{BD205D35-BEFF-4DC4-8A24-43D3F6E1A0FA}"/>
    <cellStyle name="Normal 4 2 2" xfId="36" xr:uid="{7D0853B1-669D-4EFF-A0BC-AC2F3F748D4D}"/>
    <cellStyle name="Normal 4 3" xfId="28" xr:uid="{7F80EE58-C3EB-42F1-B5D0-4AC11B28E3C0}"/>
    <cellStyle name="Normal 5" xfId="15" xr:uid="{BD987027-1EEC-41E5-A101-4A319B25DB25}"/>
    <cellStyle name="Normal 5 2" xfId="31" xr:uid="{DA6A85CB-ACB7-420B-80EE-C9C00181DB72}"/>
    <cellStyle name="Normal_Business Case Assessment Report Pro-forma" xfId="12" xr:uid="{8DF482F5-1544-4218-A070-C378A9B6132F}"/>
    <cellStyle name="Normal_Oct 2004 Local Fund Projects r03" xfId="4" xr:uid="{00000000-0005-0000-0000-000007000000}"/>
    <cellStyle name="Percent" xfId="5" builtinId="5"/>
    <cellStyle name="Percent 2" xfId="9" xr:uid="{3AF66880-2D5A-4E2F-8A9E-A611934A3AE5}"/>
    <cellStyle name="Percent 2 2" xfId="19" xr:uid="{A0F6A9E6-31E8-4C8F-B638-71CF6CA58089}"/>
    <cellStyle name="Percent 2 2 2" xfId="34" xr:uid="{5B7EE25F-1F73-4258-8EF2-CBAFC0353089}"/>
    <cellStyle name="Percent 2 2 2 2" xfId="39" xr:uid="{CEBF4D54-00CA-49AA-885E-8D365D8558A3}"/>
    <cellStyle name="Percent 2 3" xfId="29" xr:uid="{3B8B2833-194E-44D7-BF82-9E9B02483B30}"/>
  </cellStyles>
  <dxfs count="69">
    <dxf>
      <font>
        <color rgb="FFFF0000"/>
      </font>
      <fill>
        <patternFill>
          <bgColor rgb="FFFF0000"/>
        </patternFill>
      </fill>
    </dxf>
    <dxf>
      <font>
        <color rgb="FFFFC000"/>
      </font>
      <fill>
        <patternFill>
          <bgColor rgb="FFFFC000"/>
        </patternFill>
      </fill>
    </dxf>
    <dxf>
      <font>
        <color rgb="FF00B050"/>
      </font>
      <fill>
        <patternFill>
          <bgColor rgb="FF00B050"/>
        </patternFill>
      </fill>
    </dxf>
    <dxf>
      <font>
        <color rgb="FFFFC000"/>
      </font>
      <fill>
        <patternFill>
          <bgColor rgb="FFFFC000"/>
        </patternFill>
      </fill>
    </dxf>
    <dxf>
      <font>
        <color rgb="FFFF0000"/>
      </font>
      <fill>
        <patternFill>
          <bgColor rgb="FFFF0000"/>
        </patternFill>
      </fill>
    </dxf>
    <dxf>
      <font>
        <color rgb="FF00B050"/>
      </font>
      <fill>
        <patternFill>
          <bgColor rgb="FF00B050"/>
        </patternFill>
      </fill>
    </dxf>
    <dxf>
      <font>
        <color rgb="FF00B050"/>
      </font>
      <fill>
        <patternFill>
          <bgColor rgb="FF00B050"/>
        </patternFill>
      </fill>
    </dxf>
    <dxf>
      <font>
        <color rgb="FFFFC000"/>
      </font>
      <fill>
        <patternFill>
          <bgColor rgb="FFFFC000"/>
        </patternFill>
      </fill>
    </dxf>
    <dxf>
      <font>
        <color rgb="FFFF0000"/>
      </font>
      <fill>
        <patternFill>
          <bgColor rgb="FFFF0000"/>
        </patternFill>
      </fill>
    </dxf>
    <dxf>
      <font>
        <color rgb="FFFFC000"/>
      </font>
      <fill>
        <patternFill>
          <bgColor rgb="FFFFC000"/>
        </patternFill>
      </fill>
    </dxf>
    <dxf>
      <font>
        <color rgb="FF00B050"/>
      </font>
      <fill>
        <patternFill>
          <bgColor rgb="FF00B050"/>
        </patternFill>
      </fill>
    </dxf>
    <dxf>
      <font>
        <color rgb="FFFF0000"/>
      </font>
      <fill>
        <patternFill>
          <bgColor rgb="FFFF0000"/>
        </patternFill>
      </fill>
    </dxf>
    <dxf>
      <font>
        <color rgb="FF00B050"/>
      </font>
      <fill>
        <patternFill>
          <bgColor rgb="FF00B050"/>
        </patternFill>
      </fill>
    </dxf>
    <dxf>
      <font>
        <color rgb="FFFF0000"/>
      </font>
      <fill>
        <patternFill>
          <bgColor rgb="FFFF0000"/>
        </patternFill>
      </fill>
    </dxf>
    <dxf>
      <font>
        <color rgb="FFFFC000"/>
      </font>
      <fill>
        <patternFill>
          <bgColor rgb="FFFFC000"/>
        </patternFill>
      </fill>
    </dxf>
    <dxf>
      <font>
        <color rgb="FF00B050"/>
      </font>
      <fill>
        <patternFill>
          <bgColor rgb="FF00B050"/>
        </patternFill>
      </fill>
    </dxf>
    <dxf>
      <font>
        <color rgb="FFFF0000"/>
      </font>
      <fill>
        <patternFill>
          <bgColor rgb="FFFF0000"/>
        </patternFill>
      </fill>
    </dxf>
    <dxf>
      <font>
        <color rgb="FFFFC000"/>
      </font>
      <fill>
        <patternFill>
          <bgColor rgb="FFFFC000"/>
        </patternFill>
      </fill>
    </dxf>
    <dxf>
      <font>
        <color rgb="FFFF0000"/>
      </font>
      <fill>
        <patternFill>
          <bgColor rgb="FFFF0000"/>
        </patternFill>
      </fill>
    </dxf>
    <dxf>
      <font>
        <color rgb="FFFFC000"/>
      </font>
      <fill>
        <patternFill>
          <bgColor rgb="FFFFC000"/>
        </patternFill>
      </fill>
    </dxf>
    <dxf>
      <font>
        <color rgb="FF00B050"/>
      </font>
      <fill>
        <patternFill>
          <bgColor rgb="FF00B050"/>
        </patternFill>
      </fill>
    </dxf>
    <dxf>
      <font>
        <color rgb="FF00B050"/>
      </font>
      <fill>
        <patternFill>
          <bgColor rgb="FF00B050"/>
        </patternFill>
      </fill>
    </dxf>
    <dxf>
      <font>
        <color rgb="FFFFC000"/>
      </font>
      <fill>
        <patternFill>
          <bgColor rgb="FFFFC000"/>
        </patternFill>
      </fill>
    </dxf>
    <dxf>
      <font>
        <color rgb="FFFF0000"/>
      </font>
      <fill>
        <patternFill>
          <bgColor rgb="FFFF0000"/>
        </patternFill>
      </fill>
    </dxf>
    <dxf>
      <font>
        <color rgb="FFFF0000"/>
      </font>
      <fill>
        <patternFill>
          <bgColor rgb="FFFF0000"/>
        </patternFill>
      </fill>
    </dxf>
    <dxf>
      <font>
        <color rgb="FFFFC000"/>
      </font>
      <fill>
        <patternFill>
          <bgColor rgb="FFFFC000"/>
        </patternFill>
      </fill>
    </dxf>
    <dxf>
      <font>
        <color rgb="FF00B050"/>
      </font>
      <fill>
        <patternFill>
          <bgColor rgb="FF00B050"/>
        </patternFill>
      </fill>
    </dxf>
    <dxf>
      <font>
        <color rgb="FF00B050"/>
      </font>
      <fill>
        <patternFill>
          <bgColor rgb="FF00B050"/>
        </patternFill>
      </fill>
    </dxf>
    <dxf>
      <font>
        <color rgb="FFFF0000"/>
      </font>
      <fill>
        <patternFill>
          <bgColor rgb="FFFF0000"/>
        </patternFill>
      </fill>
    </dxf>
    <dxf>
      <font>
        <color rgb="FFFFC000"/>
      </font>
      <fill>
        <patternFill>
          <bgColor rgb="FFFFC000"/>
        </patternFill>
      </fill>
    </dxf>
    <dxf>
      <font>
        <color rgb="FFFF0000"/>
      </font>
      <fill>
        <patternFill>
          <bgColor rgb="FFFF0000"/>
        </patternFill>
      </fill>
    </dxf>
    <dxf>
      <font>
        <color rgb="FFFFC000"/>
      </font>
      <fill>
        <patternFill>
          <bgColor rgb="FFFFC000"/>
        </patternFill>
      </fill>
    </dxf>
    <dxf>
      <font>
        <color rgb="FF00B050"/>
      </font>
      <fill>
        <patternFill>
          <bgColor rgb="FF00B050"/>
        </patternFill>
      </fill>
    </dxf>
    <dxf>
      <font>
        <color rgb="FF00B050"/>
      </font>
      <fill>
        <patternFill>
          <bgColor rgb="FF00B050"/>
        </patternFill>
      </fill>
    </dxf>
    <dxf>
      <font>
        <color rgb="FFFFC000"/>
      </font>
      <fill>
        <patternFill>
          <bgColor rgb="FFFFC000"/>
        </patternFill>
      </fill>
    </dxf>
    <dxf>
      <font>
        <color rgb="FFFF0000"/>
      </font>
      <fill>
        <patternFill>
          <bgColor rgb="FFFF0000"/>
        </patternFill>
      </fill>
    </dxf>
    <dxf>
      <font>
        <color rgb="FFFF0000"/>
      </font>
      <fill>
        <patternFill>
          <bgColor rgb="FFFF0000"/>
        </patternFill>
      </fill>
    </dxf>
    <dxf>
      <font>
        <color rgb="FF00B050"/>
      </font>
      <fill>
        <patternFill>
          <bgColor rgb="FF00B050"/>
        </patternFill>
      </fill>
    </dxf>
    <dxf>
      <font>
        <color rgb="FFFFC000"/>
      </font>
      <fill>
        <patternFill>
          <bgColor rgb="FFFFC000"/>
        </patternFill>
      </fill>
    </dxf>
    <dxf>
      <font>
        <color rgb="FFFFC000"/>
      </font>
      <fill>
        <patternFill>
          <bgColor rgb="FFFFC000"/>
        </patternFill>
      </fill>
    </dxf>
    <dxf>
      <font>
        <color rgb="FFFF0000"/>
      </font>
      <fill>
        <patternFill>
          <bgColor rgb="FFFF0000"/>
        </patternFill>
      </fill>
    </dxf>
    <dxf>
      <font>
        <color rgb="FF00B050"/>
      </font>
      <fill>
        <patternFill>
          <bgColor rgb="FF00B050"/>
        </patternFill>
      </fill>
    </dxf>
    <dxf>
      <font>
        <color rgb="FFFF0000"/>
      </font>
      <fill>
        <patternFill>
          <bgColor rgb="FFFF0000"/>
        </patternFill>
      </fill>
    </dxf>
    <dxf>
      <font>
        <color rgb="FFFFC000"/>
      </font>
      <fill>
        <patternFill>
          <bgColor rgb="FFFFC000"/>
        </patternFill>
      </fill>
    </dxf>
    <dxf>
      <font>
        <color rgb="FF00B050"/>
      </font>
      <fill>
        <patternFill>
          <bgColor rgb="FF00B050"/>
        </patternFill>
      </fill>
    </dxf>
    <dxf>
      <font>
        <color theme="0"/>
      </font>
      <fill>
        <patternFill>
          <bgColor rgb="FFC0504D"/>
        </patternFill>
      </fill>
    </dxf>
    <dxf>
      <font>
        <color theme="0"/>
      </font>
      <fill>
        <patternFill>
          <bgColor rgb="FFF79646"/>
        </patternFill>
      </fill>
    </dxf>
    <dxf>
      <font>
        <color theme="0"/>
      </font>
      <fill>
        <patternFill>
          <bgColor rgb="FF9BBB59"/>
        </patternFill>
      </fill>
    </dxf>
    <dxf>
      <font>
        <color theme="0"/>
      </font>
      <fill>
        <patternFill>
          <bgColor rgb="FFE26B0A"/>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b/>
        <i val="0"/>
        <strike val="0"/>
        <color rgb="FFFF0000"/>
      </font>
      <fill>
        <patternFill>
          <bgColor theme="5" tint="0.79998168889431442"/>
        </patternFill>
      </fill>
    </dxf>
    <dxf>
      <font>
        <b val="0"/>
        <i val="0"/>
        <strike val="0"/>
        <color rgb="FFFF0000"/>
      </font>
      <fill>
        <patternFill>
          <bgColor theme="5" tint="0.79998168889431442"/>
        </patternFill>
      </fill>
    </dxf>
    <dxf>
      <font>
        <color rgb="FFFF0000"/>
      </font>
      <fill>
        <patternFill>
          <bgColor theme="5" tint="0.79998168889431442"/>
        </patternFill>
      </fill>
    </dxf>
    <dxf>
      <font>
        <color rgb="FFFF0000"/>
      </font>
      <fill>
        <patternFill>
          <fgColor theme="0"/>
          <bgColor theme="5" tint="0.79998168889431442"/>
        </patternFill>
      </fill>
    </dxf>
    <dxf>
      <font>
        <color rgb="FFFF0000"/>
      </font>
      <fill>
        <patternFill>
          <bgColor theme="5" tint="0.79998168889431442"/>
        </patternFill>
      </fill>
    </dxf>
    <dxf>
      <font>
        <b/>
        <i val="0"/>
      </font>
      <fill>
        <patternFill>
          <bgColor theme="6" tint="0.79998168889431442"/>
        </patternFill>
      </fill>
      <border>
        <left/>
        <right style="thin">
          <color auto="1"/>
        </right>
        <top style="thin">
          <color auto="1"/>
        </top>
        <bottom style="thin">
          <color auto="1"/>
        </bottom>
        <vertical/>
        <horizontal/>
      </border>
    </dxf>
    <dxf>
      <font>
        <color theme="0" tint="-0.34998626667073579"/>
      </font>
      <fill>
        <patternFill>
          <bgColor theme="0" tint="-0.34998626667073579"/>
        </patternFill>
      </fill>
    </dxf>
    <dxf>
      <font>
        <color rgb="FFFF0000"/>
      </font>
      <fill>
        <patternFill>
          <bgColor theme="5" tint="0.79998168889431442"/>
        </patternFill>
      </fill>
    </dxf>
    <dxf>
      <font>
        <color rgb="FFFF0000"/>
      </font>
      <fill>
        <patternFill>
          <bgColor theme="5" tint="0.79998168889431442"/>
        </patternFill>
      </fill>
    </dxf>
    <dxf>
      <font>
        <b/>
        <i val="0"/>
        <color rgb="FFFF0000"/>
      </font>
      <fill>
        <patternFill>
          <bgColor theme="5" tint="0.79998168889431442"/>
        </patternFill>
      </fill>
    </dxf>
    <dxf>
      <font>
        <b/>
        <i val="0"/>
        <color rgb="FFFF0000"/>
      </font>
      <fill>
        <patternFill>
          <bgColor theme="5" tint="0.79998168889431442"/>
        </patternFill>
      </fill>
    </dxf>
    <dxf>
      <font>
        <b/>
        <i val="0"/>
        <color rgb="FFFF0000"/>
      </font>
      <fill>
        <patternFill>
          <bgColor theme="5" tint="0.79998168889431442"/>
        </patternFill>
      </fill>
    </dxf>
    <dxf>
      <font>
        <color rgb="FFFF0000"/>
      </font>
      <fill>
        <patternFill>
          <bgColor theme="5" tint="0.79998168889431442"/>
        </patternFill>
      </fill>
    </dxf>
    <dxf>
      <font>
        <strike/>
        <color rgb="FFFF0000"/>
      </font>
      <fill>
        <patternFill patternType="lightDown">
          <bgColor theme="5" tint="0.79998168889431442"/>
        </patternFill>
      </fill>
    </dxf>
    <dxf>
      <font>
        <strike/>
        <color rgb="FFFF0000"/>
      </font>
      <fill>
        <patternFill patternType="lightDown">
          <bgColor theme="5" tint="0.79998168889431442"/>
        </patternFill>
      </fill>
    </dxf>
  </dxfs>
  <tableStyles count="0" defaultTableStyle="TableStyleMedium9" defaultPivotStyle="PivotStyleLight16"/>
  <colors>
    <mruColors>
      <color rgb="FF382573"/>
      <color rgb="FF2DAE76"/>
      <color rgb="FF00B050"/>
      <color rgb="FF9BBB59"/>
      <color rgb="FFE26B0A"/>
      <color rgb="FFF79646"/>
      <color rgb="FFC0504D"/>
      <color rgb="FFCAF2E1"/>
      <color rgb="FF6BC3C4"/>
      <color rgb="FFB9ED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customXml" Target="../customXml/item1.xml"/><Relationship Id="rId21" Type="http://schemas.openxmlformats.org/officeDocument/2006/relationships/externalLink" Target="externalLinks/externalLink8.xml"/><Relationship Id="rId34" Type="http://schemas.microsoft.com/office/2017/06/relationships/rdRichValue" Target="richData/rdrichvalue.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externalLink" Target="externalLinks/externalLink16.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sharedStrings" Target="sharedStrings.xml"/><Relationship Id="rId37" Type="http://schemas.microsoft.com/office/2017/10/relationships/person" Target="persons/person.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theme" Target="theme/theme1.xml"/><Relationship Id="rId35" Type="http://schemas.microsoft.com/office/2017/06/relationships/rdRichValueStructure" Target="richData/rdrichvaluestructure.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sheetMetadata" Target="metadata.xml"/><Relationship Id="rId3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10620375</xdr:colOff>
      <xdr:row>1</xdr:row>
      <xdr:rowOff>98778</xdr:rowOff>
    </xdr:from>
    <xdr:to>
      <xdr:col>1</xdr:col>
      <xdr:colOff>12434358</xdr:colOff>
      <xdr:row>5</xdr:row>
      <xdr:rowOff>31750</xdr:rowOff>
    </xdr:to>
    <xdr:pic>
      <xdr:nvPicPr>
        <xdr:cNvPr id="2" name="Picture 1">
          <a:extLst>
            <a:ext uri="{FF2B5EF4-FFF2-40B4-BE49-F238E27FC236}">
              <a16:creationId xmlns:a16="http://schemas.microsoft.com/office/drawing/2014/main" id="{A419F29A-F15A-4A15-94C4-AA9ACD984FE2}"/>
            </a:ext>
          </a:extLst>
        </xdr:cNvPr>
        <xdr:cNvPicPr>
          <a:picLocks noChangeAspect="1"/>
        </xdr:cNvPicPr>
      </xdr:nvPicPr>
      <xdr:blipFill>
        <a:blip xmlns:r="http://schemas.openxmlformats.org/officeDocument/2006/relationships" r:embed="rId1"/>
        <a:stretch>
          <a:fillRect/>
        </a:stretch>
      </xdr:blipFill>
      <xdr:spPr>
        <a:xfrm>
          <a:off x="10896600" y="308328"/>
          <a:ext cx="1813983" cy="9140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15</xdr:col>
      <xdr:colOff>114300</xdr:colOff>
      <xdr:row>1</xdr:row>
      <xdr:rowOff>120651</xdr:rowOff>
    </xdr:from>
    <xdr:ext cx="1638300" cy="765810"/>
    <xdr:pic>
      <xdr:nvPicPr>
        <xdr:cNvPr id="11" name="Picture 10">
          <a:extLst>
            <a:ext uri="{FF2B5EF4-FFF2-40B4-BE49-F238E27FC236}">
              <a16:creationId xmlns:a16="http://schemas.microsoft.com/office/drawing/2014/main" id="{DD079104-67B0-43EF-A0D4-A5A816D8B498}"/>
            </a:ext>
          </a:extLst>
        </xdr:cNvPr>
        <xdr:cNvPicPr>
          <a:picLocks noChangeAspect="1"/>
        </xdr:cNvPicPr>
      </xdr:nvPicPr>
      <xdr:blipFill>
        <a:blip xmlns:r="http://schemas.openxmlformats.org/officeDocument/2006/relationships" r:embed="rId1"/>
        <a:stretch>
          <a:fillRect/>
        </a:stretch>
      </xdr:blipFill>
      <xdr:spPr>
        <a:xfrm>
          <a:off x="8947150" y="311151"/>
          <a:ext cx="1701800" cy="765810"/>
        </a:xfrm>
        <a:prstGeom prst="rect">
          <a:avLst/>
        </a:prstGeom>
      </xdr:spPr>
    </xdr:pic>
    <xdr:clientData/>
  </xdr:oneCellAnchor>
  <xdr:oneCellAnchor>
    <xdr:from>
      <xdr:col>1</xdr:col>
      <xdr:colOff>133351</xdr:colOff>
      <xdr:row>43</xdr:row>
      <xdr:rowOff>50801</xdr:rowOff>
    </xdr:from>
    <xdr:ext cx="9725025" cy="847952"/>
    <xdr:pic>
      <xdr:nvPicPr>
        <xdr:cNvPr id="14" name="Picture 13">
          <a:extLst>
            <a:ext uri="{FF2B5EF4-FFF2-40B4-BE49-F238E27FC236}">
              <a16:creationId xmlns:a16="http://schemas.microsoft.com/office/drawing/2014/main" id="{CFB0D06C-CEE2-4536-9F74-40DE2BC60428}"/>
            </a:ext>
          </a:extLst>
        </xdr:cNvPr>
        <xdr:cNvPicPr>
          <a:picLocks noChangeAspect="1"/>
        </xdr:cNvPicPr>
      </xdr:nvPicPr>
      <xdr:blipFill>
        <a:blip xmlns:r="http://schemas.openxmlformats.org/officeDocument/2006/relationships" r:embed="rId2"/>
        <a:stretch>
          <a:fillRect/>
        </a:stretch>
      </xdr:blipFill>
      <xdr:spPr>
        <a:xfrm>
          <a:off x="457201" y="11214101"/>
          <a:ext cx="10210800" cy="835252"/>
        </a:xfrm>
        <a:prstGeom prst="rect">
          <a:avLst/>
        </a:prstGeom>
      </xdr:spPr>
    </xdr:pic>
    <xdr:clientData/>
  </xdr:oneCellAnchor>
  <xdr:oneCellAnchor>
    <xdr:from>
      <xdr:col>15</xdr:col>
      <xdr:colOff>87965</xdr:colOff>
      <xdr:row>51</xdr:row>
      <xdr:rowOff>72838</xdr:rowOff>
    </xdr:from>
    <xdr:ext cx="1626519" cy="765922"/>
    <xdr:pic>
      <xdr:nvPicPr>
        <xdr:cNvPr id="10" name="Picture 9">
          <a:extLst>
            <a:ext uri="{FF2B5EF4-FFF2-40B4-BE49-F238E27FC236}">
              <a16:creationId xmlns:a16="http://schemas.microsoft.com/office/drawing/2014/main" id="{87689721-07B5-4335-A61A-899648B24300}"/>
            </a:ext>
          </a:extLst>
        </xdr:cNvPr>
        <xdr:cNvPicPr>
          <a:picLocks noChangeAspect="1"/>
        </xdr:cNvPicPr>
      </xdr:nvPicPr>
      <xdr:blipFill>
        <a:blip xmlns:r="http://schemas.openxmlformats.org/officeDocument/2006/relationships" r:embed="rId3"/>
        <a:stretch>
          <a:fillRect/>
        </a:stretch>
      </xdr:blipFill>
      <xdr:spPr>
        <a:xfrm>
          <a:off x="8413936" y="12074338"/>
          <a:ext cx="1626519" cy="765922"/>
        </a:xfrm>
        <a:prstGeom prst="rect">
          <a:avLst/>
        </a:prstGeom>
      </xdr:spPr>
    </xdr:pic>
    <xdr:clientData/>
  </xdr:oneCellAnchor>
  <xdr:twoCellAnchor editAs="oneCell">
    <xdr:from>
      <xdr:col>2</xdr:col>
      <xdr:colOff>7283</xdr:colOff>
      <xdr:row>12</xdr:row>
      <xdr:rowOff>19861</xdr:rowOff>
    </xdr:from>
    <xdr:to>
      <xdr:col>15</xdr:col>
      <xdr:colOff>74706</xdr:colOff>
      <xdr:row>15</xdr:row>
      <xdr:rowOff>33799</xdr:rowOff>
    </xdr:to>
    <xdr:pic>
      <xdr:nvPicPr>
        <xdr:cNvPr id="2" name="Picture 1">
          <a:extLst>
            <a:ext uri="{FF2B5EF4-FFF2-40B4-BE49-F238E27FC236}">
              <a16:creationId xmlns:a16="http://schemas.microsoft.com/office/drawing/2014/main" id="{3825E5DD-E695-90B9-3DB9-A74A8A723351}"/>
            </a:ext>
          </a:extLst>
        </xdr:cNvPr>
        <xdr:cNvPicPr>
          <a:picLocks noChangeAspect="1"/>
        </xdr:cNvPicPr>
      </xdr:nvPicPr>
      <xdr:blipFill>
        <a:blip xmlns:r="http://schemas.openxmlformats.org/officeDocument/2006/relationships" r:embed="rId4"/>
        <a:stretch>
          <a:fillRect/>
        </a:stretch>
      </xdr:blipFill>
      <xdr:spPr>
        <a:xfrm>
          <a:off x="500342" y="2978214"/>
          <a:ext cx="8419540" cy="873056"/>
        </a:xfrm>
        <a:prstGeom prst="rect">
          <a:avLst/>
        </a:prstGeom>
      </xdr:spPr>
    </xdr:pic>
    <xdr:clientData/>
  </xdr:twoCellAnchor>
  <xdr:twoCellAnchor editAs="oneCell">
    <xdr:from>
      <xdr:col>2</xdr:col>
      <xdr:colOff>22413</xdr:colOff>
      <xdr:row>18</xdr:row>
      <xdr:rowOff>22411</xdr:rowOff>
    </xdr:from>
    <xdr:to>
      <xdr:col>16</xdr:col>
      <xdr:colOff>433295</xdr:colOff>
      <xdr:row>21</xdr:row>
      <xdr:rowOff>34811</xdr:rowOff>
    </xdr:to>
    <xdr:pic>
      <xdr:nvPicPr>
        <xdr:cNvPr id="4" name="Picture 3">
          <a:extLst>
            <a:ext uri="{FF2B5EF4-FFF2-40B4-BE49-F238E27FC236}">
              <a16:creationId xmlns:a16="http://schemas.microsoft.com/office/drawing/2014/main" id="{3A8AC682-A6F6-7520-4308-144FEC4EEBBD}"/>
            </a:ext>
          </a:extLst>
        </xdr:cNvPr>
        <xdr:cNvPicPr>
          <a:picLocks noChangeAspect="1"/>
        </xdr:cNvPicPr>
      </xdr:nvPicPr>
      <xdr:blipFill>
        <a:blip xmlns:r="http://schemas.openxmlformats.org/officeDocument/2006/relationships" r:embed="rId5"/>
        <a:stretch>
          <a:fillRect/>
        </a:stretch>
      </xdr:blipFill>
      <xdr:spPr>
        <a:xfrm>
          <a:off x="515472" y="4332940"/>
          <a:ext cx="9405470" cy="938753"/>
        </a:xfrm>
        <a:prstGeom prst="rect">
          <a:avLst/>
        </a:prstGeom>
      </xdr:spPr>
    </xdr:pic>
    <xdr:clientData/>
  </xdr:twoCellAnchor>
  <xdr:twoCellAnchor editAs="oneCell">
    <xdr:from>
      <xdr:col>2</xdr:col>
      <xdr:colOff>26146</xdr:colOff>
      <xdr:row>23</xdr:row>
      <xdr:rowOff>40156</xdr:rowOff>
    </xdr:from>
    <xdr:to>
      <xdr:col>7</xdr:col>
      <xdr:colOff>14940</xdr:colOff>
      <xdr:row>27</xdr:row>
      <xdr:rowOff>96142</xdr:rowOff>
    </xdr:to>
    <xdr:pic>
      <xdr:nvPicPr>
        <xdr:cNvPr id="5" name="Picture 4">
          <a:extLst>
            <a:ext uri="{FF2B5EF4-FFF2-40B4-BE49-F238E27FC236}">
              <a16:creationId xmlns:a16="http://schemas.microsoft.com/office/drawing/2014/main" id="{FC893FE0-D2ED-87C8-30E8-6FDBB4ECD2C2}"/>
            </a:ext>
          </a:extLst>
        </xdr:cNvPr>
        <xdr:cNvPicPr>
          <a:picLocks noChangeAspect="1"/>
        </xdr:cNvPicPr>
      </xdr:nvPicPr>
      <xdr:blipFill>
        <a:blip xmlns:r="http://schemas.openxmlformats.org/officeDocument/2006/relationships" r:embed="rId6"/>
        <a:stretch>
          <a:fillRect/>
        </a:stretch>
      </xdr:blipFill>
      <xdr:spPr>
        <a:xfrm>
          <a:off x="519205" y="5665509"/>
          <a:ext cx="3201147" cy="997280"/>
        </a:xfrm>
        <a:prstGeom prst="rect">
          <a:avLst/>
        </a:prstGeom>
      </xdr:spPr>
    </xdr:pic>
    <xdr:clientData/>
  </xdr:twoCellAnchor>
  <xdr:twoCellAnchor editAs="oneCell">
    <xdr:from>
      <xdr:col>2</xdr:col>
      <xdr:colOff>22412</xdr:colOff>
      <xdr:row>29</xdr:row>
      <xdr:rowOff>134471</xdr:rowOff>
    </xdr:from>
    <xdr:to>
      <xdr:col>7</xdr:col>
      <xdr:colOff>351117</xdr:colOff>
      <xdr:row>33</xdr:row>
      <xdr:rowOff>176510</xdr:rowOff>
    </xdr:to>
    <xdr:pic>
      <xdr:nvPicPr>
        <xdr:cNvPr id="12" name="Picture 11">
          <a:extLst>
            <a:ext uri="{FF2B5EF4-FFF2-40B4-BE49-F238E27FC236}">
              <a16:creationId xmlns:a16="http://schemas.microsoft.com/office/drawing/2014/main" id="{5CFF1DB7-106F-BBAB-02B3-6BC9FF38DFF5}"/>
            </a:ext>
          </a:extLst>
        </xdr:cNvPr>
        <xdr:cNvPicPr>
          <a:picLocks noChangeAspect="1"/>
        </xdr:cNvPicPr>
      </xdr:nvPicPr>
      <xdr:blipFill>
        <a:blip xmlns:r="http://schemas.openxmlformats.org/officeDocument/2006/relationships" r:embed="rId7"/>
        <a:stretch>
          <a:fillRect/>
        </a:stretch>
      </xdr:blipFill>
      <xdr:spPr>
        <a:xfrm>
          <a:off x="515471" y="7141883"/>
          <a:ext cx="3541058" cy="818980"/>
        </a:xfrm>
        <a:prstGeom prst="rect">
          <a:avLst/>
        </a:prstGeom>
      </xdr:spPr>
    </xdr:pic>
    <xdr:clientData/>
  </xdr:twoCellAnchor>
  <xdr:twoCellAnchor editAs="oneCell">
    <xdr:from>
      <xdr:col>2</xdr:col>
      <xdr:colOff>0</xdr:colOff>
      <xdr:row>37</xdr:row>
      <xdr:rowOff>0</xdr:rowOff>
    </xdr:from>
    <xdr:to>
      <xdr:col>10</xdr:col>
      <xdr:colOff>429471</xdr:colOff>
      <xdr:row>41</xdr:row>
      <xdr:rowOff>61302</xdr:rowOff>
    </xdr:to>
    <xdr:pic>
      <xdr:nvPicPr>
        <xdr:cNvPr id="13" name="Picture 12">
          <a:extLst>
            <a:ext uri="{FF2B5EF4-FFF2-40B4-BE49-F238E27FC236}">
              <a16:creationId xmlns:a16="http://schemas.microsoft.com/office/drawing/2014/main" id="{7EFE2786-18D4-09A6-8522-64598498196E}"/>
            </a:ext>
          </a:extLst>
        </xdr:cNvPr>
        <xdr:cNvPicPr>
          <a:picLocks noChangeAspect="1"/>
        </xdr:cNvPicPr>
      </xdr:nvPicPr>
      <xdr:blipFill>
        <a:blip xmlns:r="http://schemas.openxmlformats.org/officeDocument/2006/relationships" r:embed="rId8"/>
        <a:stretch>
          <a:fillRect/>
        </a:stretch>
      </xdr:blipFill>
      <xdr:spPr>
        <a:xfrm>
          <a:off x="493059" y="8561294"/>
          <a:ext cx="5569236" cy="8382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980016</xdr:colOff>
      <xdr:row>2</xdr:row>
      <xdr:rowOff>31749</xdr:rowOff>
    </xdr:from>
    <xdr:to>
      <xdr:col>21</xdr:col>
      <xdr:colOff>941632</xdr:colOff>
      <xdr:row>4</xdr:row>
      <xdr:rowOff>263615</xdr:rowOff>
    </xdr:to>
    <xdr:pic>
      <xdr:nvPicPr>
        <xdr:cNvPr id="4" name="Picture 3">
          <a:extLst>
            <a:ext uri="{FF2B5EF4-FFF2-40B4-BE49-F238E27FC236}">
              <a16:creationId xmlns:a16="http://schemas.microsoft.com/office/drawing/2014/main" id="{FE41D1AC-D4E3-4A6F-9000-3B5F03FAD61B}"/>
            </a:ext>
          </a:extLst>
        </xdr:cNvPr>
        <xdr:cNvPicPr>
          <a:picLocks noChangeAspect="1"/>
        </xdr:cNvPicPr>
      </xdr:nvPicPr>
      <xdr:blipFill>
        <a:blip xmlns:r="http://schemas.openxmlformats.org/officeDocument/2006/relationships" r:embed="rId1"/>
        <a:stretch>
          <a:fillRect/>
        </a:stretch>
      </xdr:blipFill>
      <xdr:spPr>
        <a:xfrm>
          <a:off x="19807766" y="374649"/>
          <a:ext cx="2139666" cy="8827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613834</xdr:colOff>
      <xdr:row>1</xdr:row>
      <xdr:rowOff>134056</xdr:rowOff>
    </xdr:from>
    <xdr:to>
      <xdr:col>7</xdr:col>
      <xdr:colOff>1326445</xdr:colOff>
      <xdr:row>6</xdr:row>
      <xdr:rowOff>13966</xdr:rowOff>
    </xdr:to>
    <xdr:pic>
      <xdr:nvPicPr>
        <xdr:cNvPr id="4" name="Picture 3">
          <a:extLst>
            <a:ext uri="{FF2B5EF4-FFF2-40B4-BE49-F238E27FC236}">
              <a16:creationId xmlns:a16="http://schemas.microsoft.com/office/drawing/2014/main" id="{955BAA00-7EDA-4D13-970E-E7737010A8B4}"/>
            </a:ext>
          </a:extLst>
        </xdr:cNvPr>
        <xdr:cNvPicPr>
          <a:picLocks noChangeAspect="1"/>
        </xdr:cNvPicPr>
      </xdr:nvPicPr>
      <xdr:blipFill>
        <a:blip xmlns:r="http://schemas.openxmlformats.org/officeDocument/2006/relationships" r:embed="rId1"/>
        <a:stretch>
          <a:fillRect/>
        </a:stretch>
      </xdr:blipFill>
      <xdr:spPr>
        <a:xfrm>
          <a:off x="10456334" y="338667"/>
          <a:ext cx="2151944" cy="9683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6</xdr:col>
      <xdr:colOff>1193800</xdr:colOff>
      <xdr:row>1</xdr:row>
      <xdr:rowOff>152400</xdr:rowOff>
    </xdr:from>
    <xdr:ext cx="1792288" cy="813594"/>
    <xdr:pic>
      <xdr:nvPicPr>
        <xdr:cNvPr id="2" name="Picture 1">
          <a:extLst>
            <a:ext uri="{FF2B5EF4-FFF2-40B4-BE49-F238E27FC236}">
              <a16:creationId xmlns:a16="http://schemas.microsoft.com/office/drawing/2014/main" id="{6EFC5FB8-CE04-436E-B454-141E2D133B9D}"/>
            </a:ext>
          </a:extLst>
        </xdr:cNvPr>
        <xdr:cNvPicPr>
          <a:picLocks noChangeAspect="1"/>
        </xdr:cNvPicPr>
      </xdr:nvPicPr>
      <xdr:blipFill>
        <a:blip xmlns:r="http://schemas.openxmlformats.org/officeDocument/2006/relationships" r:embed="rId1"/>
        <a:stretch>
          <a:fillRect/>
        </a:stretch>
      </xdr:blipFill>
      <xdr:spPr>
        <a:xfrm>
          <a:off x="9525000" y="355600"/>
          <a:ext cx="1792288" cy="81359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9</xdr:col>
      <xdr:colOff>539750</xdr:colOff>
      <xdr:row>1</xdr:row>
      <xdr:rowOff>76200</xdr:rowOff>
    </xdr:from>
    <xdr:to>
      <xdr:col>11</xdr:col>
      <xdr:colOff>558800</xdr:colOff>
      <xdr:row>1</xdr:row>
      <xdr:rowOff>661988</xdr:rowOff>
    </xdr:to>
    <xdr:pic>
      <xdr:nvPicPr>
        <xdr:cNvPr id="3" name="Picture 2">
          <a:extLst>
            <a:ext uri="{FF2B5EF4-FFF2-40B4-BE49-F238E27FC236}">
              <a16:creationId xmlns:a16="http://schemas.microsoft.com/office/drawing/2014/main" id="{4084289A-1263-475C-B6E5-CB34E910F0E8}"/>
            </a:ext>
          </a:extLst>
        </xdr:cNvPr>
        <xdr:cNvPicPr>
          <a:picLocks noChangeAspect="1"/>
        </xdr:cNvPicPr>
      </xdr:nvPicPr>
      <xdr:blipFill>
        <a:blip xmlns:r="http://schemas.openxmlformats.org/officeDocument/2006/relationships" r:embed="rId1"/>
        <a:stretch>
          <a:fillRect/>
        </a:stretch>
      </xdr:blipFill>
      <xdr:spPr>
        <a:xfrm>
          <a:off x="6311900" y="285750"/>
          <a:ext cx="1301750" cy="5857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1007985</xdr:colOff>
      <xdr:row>1</xdr:row>
      <xdr:rowOff>203446</xdr:rowOff>
    </xdr:from>
    <xdr:to>
      <xdr:col>6</xdr:col>
      <xdr:colOff>1275194</xdr:colOff>
      <xdr:row>3</xdr:row>
      <xdr:rowOff>440494</xdr:rowOff>
    </xdr:to>
    <xdr:pic>
      <xdr:nvPicPr>
        <xdr:cNvPr id="2" name="Picture 1">
          <a:extLst>
            <a:ext uri="{FF2B5EF4-FFF2-40B4-BE49-F238E27FC236}">
              <a16:creationId xmlns:a16="http://schemas.microsoft.com/office/drawing/2014/main" id="{B88C903B-611A-4E4E-B2CA-503AD14B27FC}"/>
            </a:ext>
          </a:extLst>
        </xdr:cNvPr>
        <xdr:cNvPicPr>
          <a:picLocks noChangeAspect="1"/>
        </xdr:cNvPicPr>
      </xdr:nvPicPr>
      <xdr:blipFill>
        <a:blip xmlns:r="http://schemas.openxmlformats.org/officeDocument/2006/relationships" r:embed="rId1"/>
        <a:stretch>
          <a:fillRect/>
        </a:stretch>
      </xdr:blipFill>
      <xdr:spPr>
        <a:xfrm>
          <a:off x="9786225" y="409186"/>
          <a:ext cx="1669289" cy="89236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552450</xdr:colOff>
      <xdr:row>1</xdr:row>
      <xdr:rowOff>76200</xdr:rowOff>
    </xdr:from>
    <xdr:to>
      <xdr:col>11</xdr:col>
      <xdr:colOff>571500</xdr:colOff>
      <xdr:row>1</xdr:row>
      <xdr:rowOff>661988</xdr:rowOff>
    </xdr:to>
    <xdr:pic>
      <xdr:nvPicPr>
        <xdr:cNvPr id="3" name="Picture 2">
          <a:extLst>
            <a:ext uri="{FF2B5EF4-FFF2-40B4-BE49-F238E27FC236}">
              <a16:creationId xmlns:a16="http://schemas.microsoft.com/office/drawing/2014/main" id="{0A34145A-82FF-4595-8578-2ABE94901D99}"/>
            </a:ext>
          </a:extLst>
        </xdr:cNvPr>
        <xdr:cNvPicPr>
          <a:picLocks noChangeAspect="1"/>
        </xdr:cNvPicPr>
      </xdr:nvPicPr>
      <xdr:blipFill>
        <a:blip xmlns:r="http://schemas.openxmlformats.org/officeDocument/2006/relationships" r:embed="rId1"/>
        <a:stretch>
          <a:fillRect/>
        </a:stretch>
      </xdr:blipFill>
      <xdr:spPr>
        <a:xfrm>
          <a:off x="5949950" y="285750"/>
          <a:ext cx="1301750" cy="58578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tkins.sharepoint.com/Tec/Docs/C.%20Other%20scheme/Wales%20Scheme/1.%20Planning/Application%20Form%20Log/Wales%20FTC%20Application%20Form%20V0.2%20-%20Extende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alix365-my.sharepoint.com/Del/OtherProgrammes/Phase%203%20PSDS/2.%20Applications/4.%20NHS/Northampton%20General%20Hospital%20NHS%20Trust%20-%2030168/Application%20Form/phase-3-psds-application-form---northampton.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Wales%20V41/Wales%20Funding%20Programme%20-%20Application%20form%20V41.xlsx" TargetMode="External"/><Relationship Id="rId2" Type="http://schemas.openxmlformats.org/officeDocument/2006/relationships/externalLinkPath" Target="https://salix365.sharepoint.com/Tec/Docs/ZE.%20Loan%20Schemes/K.%20Project%20Compliance%20tools%20&amp;%20Business%20case%20template/1.%20Project%20compliance%20tools/Wales%20V41/Wales%20Funding%20Programme%20-%20Application%20form%20V41.xlsx" TargetMode="External"/><Relationship Id="rId1" Type="http://schemas.openxmlformats.org/officeDocument/2006/relationships/externalLinkPath" Target="/Tec/Docs/ZE.%20Loan%20Schemes/K.%20Project%20Compliance%20tools%20&amp;%20Business%20case%20template/1.%20Project%20compliance%20tools/Wales%20V41/Wales%20Funding%20Programme%20-%20Application%20form%20V4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tkins.sharepoint.com/salixfs01/shared/Documents%20and%20Settings/dobl1733/Local%20Settings/Temporary%20Internet%20Files/Content.Outlook/BV6CWOUN/SEELS%20Project%20Compliance%20Tool%20v22%20Fuel%20Conversion%20v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salix365-my.sharepoint.com/salixfs01/shared/Documents%20and%20Settings/dobl1733/Local%20Settings/Temporary%20Internet%20Files/Content.Outlook/BV6CWOUN/SEELS%20Project%20Compliance%20Tool%20v22%20Fuel%20Conversion%20v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atkins.sharepoint.com/salixfs01/shared/SEELS/England/DfE/Academies/SEEF/3.%20SEEF%203%202018-19/Revised%20Application%20Documents%20Drafts/Application%20Form/Final%20Version/SEEF%20Application%20Form%202018-19.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salixfs01\shared\SEELS\England\DfE\Academies\SEEF\3.%20SEEF%203%202018-19\Revised%20Application%20Documents%20Drafts\Application%20Form\Final%20Version\SEEF%20Application%20Form%202018-1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atkins.sharepoint.com/Users/OnaSabotie/Downloads/Wales%20Application%20Form%20V4%20_3%20(1).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OnaSabotie\Downloads\Wales%20Application%20Form%20V4%20_3%20(1).xlsx" TargetMode="External"/><Relationship Id="rId1" Type="http://schemas.openxmlformats.org/officeDocument/2006/relationships/externalLinkPath" Target="file:///C:\Users\OnaSabotie\Downloads\Wales%20Application%20Form%20V4%20_3%20(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atkins.sharepoint.com/C:/Users/mattc.SALIX/Downloads/Cost%20Saving%20Analysis%20Tool%20-%20V%201.1%20-%20Queens%20Park%20High.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salix365-my.sharepoint.com/C:/Users/mattc.SALIX/Downloads/Cost%20Saving%20Analysis%20Tool%20-%20V%201.1%20-%20Queens%20Park%20Hig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atkins.sharepoint.com/Pccstorage1/t&amp;e$/Technical%20Services%20-%20Nov09/13.%20Technology%20Specific%20Work/22.%20Swimming%20pool%20cover/Pool%20Heatloss%20-%20Version%201.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Pccstorage1\t&amp;e$\Technical%20Services%20-%20Nov09\13.%20Technology%20Specific%20Work\22.%20Swimming%20pool%20cover\Pool%20Heatloss%20-%20Version%201.0.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atkins.sharepoint.com/salixfs01/shared/Users/CraigM/AppData/Local/Microsoft/Windows/Temporary%20Internet%20Files/Content.Outlook/1K4MSJRC/Multiple%20Fuel%20Compliance%20Tool%20Version%2027%20-%20SEEL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salixfs01\shared\Users\CraigM\AppData\Local\Microsoft\Windows\Temporary%20Internet%20Files\Content.Outlook\1K4MSJRC\Multiple%20Fuel%20Compliance%20Tool%20Version%2027%20-%20SEELS.xls" TargetMode="External"/></Relationships>
</file>

<file path=xl/externalLinks/_rels/externalLink16.xml.rels><?xml version="1.0" encoding="UTF-8" standalone="yes"?>
<Relationships xmlns="http://schemas.openxmlformats.org/package/2006/relationships"><Relationship Id="rId3" Type="http://schemas.openxmlformats.org/officeDocument/2006/relationships/externalLinkPath" Target="../Wales%20V42/Wales%20Funding%20Programme%20-%20Application%20form%20V42.xlsx" TargetMode="External"/><Relationship Id="rId2" Type="http://schemas.openxmlformats.org/officeDocument/2006/relationships/externalLinkPath" Target="https://salix365.sharepoint.com/Tec/Docs/ZE.%20Loan%20Schemes/K.%20Project%20Compliance%20tools%20&amp;%20Business%20case%20template/1.%20Project%20compliance%20tools/Wales%20V42/Wales%20Funding%20Programme%20-%20Application%20form%20V42.xlsx" TargetMode="External"/><Relationship Id="rId1" Type="http://schemas.openxmlformats.org/officeDocument/2006/relationships/externalLinkPath" Target="/Tec/Docs/ZE.%20Loan%20Schemes/K.%20Project%20Compliance%20tools%20&amp;%20Business%20case%20template/1.%20Project%20compliance%20tools/Wales%20V42/Wales%20Funding%20Programme%20-%20Application%20form%20V4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YSTAL_PERSIST"/>
      <sheetName val="Guidance"/>
      <sheetName val="Step 1 Introduction"/>
      <sheetName val="Step 2a Building Project Design"/>
      <sheetName val="Step 2b EV Proposal"/>
      <sheetName val="Step 3a Site Details"/>
      <sheetName val="Step 3b Building Details"/>
      <sheetName val="Step 3c Heating System"/>
      <sheetName val="Step 4 Measure Details"/>
      <sheetName val="Step 5a Project Governance"/>
      <sheetName val="Step 5b Social Contribution"/>
      <sheetName val="Step 6 Loan Amortisation"/>
      <sheetName val="Draft LAT"/>
      <sheetName val="QC Check"/>
      <sheetName val="Assessment Form"/>
      <sheetName val="Extra look-up - Incomplete"/>
      <sheetName val="Eligible Technologies"/>
      <sheetName val="Scoring Criteria - Incomplete"/>
      <sheetName val="Backing Sheet - Buildings"/>
      <sheetName val="Terms of Use"/>
      <sheetName val="Revision History"/>
      <sheetName val="Data Outputs"/>
      <sheetName val="Boiler Age Data"/>
      <sheetName val="PETREAD - Incomple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YSTAL_PERSIST"/>
      <sheetName val="Guidance"/>
      <sheetName val="Step 1 Project Introduction"/>
      <sheetName val="Step 2 Building Details"/>
      <sheetName val="Step 3.1 Existing heating"/>
      <sheetName val="Step 3.2 Heating System Data"/>
      <sheetName val="Step 3.3 Low Carbon Heating"/>
      <sheetName val="Step 4 Support Tool"/>
      <sheetName val="Step 5 Business Case"/>
      <sheetName val="Step 6 Submit Application"/>
      <sheetName val="Eligible Technologies"/>
      <sheetName val="Application Form User Terms"/>
      <sheetName val="Backing Sheet Buildings"/>
      <sheetName val="Extra look-up"/>
      <sheetName val="Assessment Form"/>
      <sheetName val="Revision History"/>
      <sheetName val="PETR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xTuOYy35HUWj5zQpLkPjesaurZaIYb9DrsUpHIAtyxvYvbmNm2IcRJ625Gouna4D" itemId="01M4NS5CA3Q5ESBL4UUVGZC35Q6MA2XD3M">
      <xxl21:absoluteUrl r:id="rId2"/>
      <xxl21:relativeUrl r:id="rId3"/>
    </xxl21:alternateUrls>
    <sheetNames>
      <sheetName val="CRYSTAL_PERSIST"/>
      <sheetName val="Terms and Conditions"/>
      <sheetName val="Guidance Notes"/>
      <sheetName val="Project Compliance Tool"/>
      <sheetName val="Business Case"/>
      <sheetName val="Loan Amortisation"/>
      <sheetName val="Additionality Criteria"/>
      <sheetName val="Eligible Technologies"/>
      <sheetName val="Extra look-up"/>
      <sheetName val="Assessment Form"/>
      <sheetName val="Definitions"/>
      <sheetName val="PETREAD"/>
      <sheetName val="PETREAD 2"/>
      <sheetName val="Revision History"/>
    </sheetNames>
    <sheetDataSet>
      <sheetData sheetId="0"/>
      <sheetData sheetId="1"/>
      <sheetData sheetId="2"/>
      <sheetData sheetId="3">
        <row r="9">
          <cell r="D9"/>
          <cell r="E9"/>
        </row>
        <row r="67">
          <cell r="N67">
            <v>0</v>
          </cell>
        </row>
      </sheetData>
      <sheetData sheetId="4">
        <row r="13">
          <cell r="D13"/>
        </row>
      </sheetData>
      <sheetData sheetId="5">
        <row r="15">
          <cell r="P15"/>
        </row>
        <row r="18">
          <cell r="P18" t="str">
            <v>Input Loan Payback Length in 1a.</v>
          </cell>
        </row>
        <row r="31">
          <cell r="O31"/>
          <cell r="P31"/>
        </row>
        <row r="32">
          <cell r="O32"/>
          <cell r="P32"/>
        </row>
        <row r="33">
          <cell r="O33"/>
          <cell r="P33"/>
        </row>
        <row r="50">
          <cell r="D50">
            <v>2.4500000000000001E-2</v>
          </cell>
        </row>
      </sheetData>
      <sheetData sheetId="6"/>
      <sheetData sheetId="7">
        <row r="7">
          <cell r="D7" t="str">
            <v>Air source heat pump (air to water)</v>
          </cell>
        </row>
        <row r="8">
          <cell r="D8" t="str">
            <v>Air source heat pump (air to air)</v>
          </cell>
        </row>
        <row r="9">
          <cell r="D9" t="str">
            <v xml:space="preserve">Ground source heat pump </v>
          </cell>
        </row>
        <row r="10">
          <cell r="D10" t="str">
            <v>Water source heat pump</v>
          </cell>
        </row>
        <row r="11">
          <cell r="D11" t="str">
            <v>Connect to existing district heating</v>
          </cell>
        </row>
        <row r="12">
          <cell r="D12" t="str">
            <v>Heating - electric heating</v>
          </cell>
        </row>
        <row r="13">
          <cell r="D13" t="str">
            <v>Hot water - electric point of use heaters</v>
          </cell>
        </row>
        <row r="14">
          <cell r="D14" t="str">
            <v>Solar thermal</v>
          </cell>
        </row>
        <row r="15">
          <cell r="D15" t="str">
            <v>Biomass</v>
          </cell>
        </row>
        <row r="17">
          <cell r="D17" t="str">
            <v>BEMS - not remotely managed</v>
          </cell>
          <cell r="J17" t="str">
            <v>Electricity</v>
          </cell>
        </row>
        <row r="18">
          <cell r="D18" t="str">
            <v>BEMS - remotely managed</v>
          </cell>
          <cell r="J18" t="str">
            <v>Gas</v>
          </cell>
        </row>
        <row r="19">
          <cell r="D19" t="str">
            <v>Cooling - control system</v>
          </cell>
          <cell r="J19" t="str">
            <v>Gas oil</v>
          </cell>
        </row>
        <row r="20">
          <cell r="D20" t="str">
            <v>Cooling - plant replacement/upgrade</v>
          </cell>
          <cell r="J20" t="str">
            <v>Fuel oil</v>
          </cell>
        </row>
        <row r="21">
          <cell r="D21" t="str">
            <v>Energy efficient chillers</v>
          </cell>
          <cell r="J21" t="str">
            <v>Burning oil</v>
          </cell>
        </row>
        <row r="22">
          <cell r="D22" t="str">
            <v>Free cooling</v>
          </cell>
          <cell r="J22" t="str">
            <v>Coal</v>
          </cell>
        </row>
        <row r="23">
          <cell r="D23" t="str">
            <v>Replacement of air conditioning with evaporative cooling</v>
          </cell>
          <cell r="J23" t="str">
            <v>LPG</v>
          </cell>
        </row>
        <row r="24">
          <cell r="D24" t="str">
            <v>Anaerobic digestion</v>
          </cell>
          <cell r="J24" t="str">
            <v>Wood pellets</v>
          </cell>
        </row>
        <row r="25">
          <cell r="D25" t="str">
            <v>Incineration</v>
          </cell>
          <cell r="J25" t="str">
            <v>Wood chips</v>
          </cell>
        </row>
        <row r="26">
          <cell r="D26" t="str">
            <v>Heat recovery</v>
          </cell>
          <cell r="J26" t="str">
            <v>Biogas</v>
          </cell>
        </row>
        <row r="27">
          <cell r="D27" t="str">
            <v>Heating - discrete controls</v>
          </cell>
        </row>
        <row r="28">
          <cell r="D28" t="str">
            <v>Heating - distribution pipework improvements</v>
          </cell>
        </row>
        <row r="29">
          <cell r="D29" t="str">
            <v>Heating - zone control valves</v>
          </cell>
        </row>
        <row r="30">
          <cell r="D30" t="str">
            <v>Replace steam calorifier with plate heat exchanger</v>
          </cell>
        </row>
        <row r="31">
          <cell r="D31" t="str">
            <v>Steam trap replacements</v>
          </cell>
        </row>
        <row r="32">
          <cell r="D32" t="str">
            <v>Thermal stores</v>
          </cell>
        </row>
        <row r="33">
          <cell r="D33" t="str">
            <v>Flow restrictors</v>
          </cell>
        </row>
        <row r="34">
          <cell r="D34" t="str">
            <v>Hot water - distribution improvements</v>
          </cell>
        </row>
        <row r="35">
          <cell r="D35" t="str">
            <v>Hot water - efficient taps</v>
          </cell>
        </row>
        <row r="36">
          <cell r="D36" t="str">
            <v>Cavity wall insulation</v>
          </cell>
        </row>
        <row r="37">
          <cell r="D37" t="str">
            <v xml:space="preserve">Double glazing with metal or plastic frames </v>
          </cell>
        </row>
        <row r="38">
          <cell r="D38" t="str">
            <v>Dry wall lining</v>
          </cell>
        </row>
        <row r="39">
          <cell r="D39" t="str">
            <v>Loft insulation</v>
          </cell>
        </row>
        <row r="40">
          <cell r="D40" t="str">
            <v>Floor insulation - suspended timber floor</v>
          </cell>
        </row>
        <row r="41">
          <cell r="D41" t="str">
            <v>Floor insulation - solid floor or other type</v>
          </cell>
        </row>
        <row r="42">
          <cell r="D42" t="str">
            <v>Roof insulation</v>
          </cell>
        </row>
        <row r="43">
          <cell r="D43" t="str">
            <v>Secondary glazing</v>
          </cell>
        </row>
        <row r="44">
          <cell r="D44" t="str">
            <v>Insulation - draught proofing</v>
          </cell>
        </row>
        <row r="45">
          <cell r="D45" t="str">
            <v>Automatic speed doors</v>
          </cell>
        </row>
        <row r="46">
          <cell r="D46" t="str">
            <v>Automatic/revolving doors</v>
          </cell>
        </row>
        <row r="47">
          <cell r="D47" t="str">
            <v>Draught lobby (external)</v>
          </cell>
        </row>
        <row r="48">
          <cell r="D48" t="str">
            <v>Draught lobby (internal)</v>
          </cell>
        </row>
        <row r="49">
          <cell r="D49" t="str">
            <v>Radiator reflective foil (external walls)</v>
          </cell>
        </row>
        <row r="50">
          <cell r="D50" t="str">
            <v>Heating pipework insulation (external)</v>
          </cell>
        </row>
        <row r="51">
          <cell r="D51" t="str">
            <v>Heating pipework insulation (internal)</v>
          </cell>
        </row>
        <row r="52">
          <cell r="D52" t="str">
            <v>LED - new fitting</v>
          </cell>
        </row>
        <row r="53">
          <cell r="D53" t="str">
            <v>LED - same fitting</v>
          </cell>
        </row>
        <row r="54">
          <cell r="D54" t="str">
            <v>Lighting - discrete controls</v>
          </cell>
        </row>
        <row r="55">
          <cell r="D55" t="str">
            <v>Lighting control system centralised</v>
          </cell>
        </row>
        <row r="56">
          <cell r="D56" t="str">
            <v>Fixed speed motor controls</v>
          </cell>
        </row>
        <row r="57">
          <cell r="D57" t="str">
            <v>Motors - flat belt drives</v>
          </cell>
        </row>
        <row r="58">
          <cell r="D58" t="str">
            <v>Variable speed drives</v>
          </cell>
        </row>
        <row r="59">
          <cell r="D59" t="str">
            <v>Motors - high efficiency</v>
          </cell>
        </row>
        <row r="60">
          <cell r="D60" t="str">
            <v>Small hydropower</v>
          </cell>
        </row>
        <row r="61">
          <cell r="D61" t="str">
            <v>Solar PV</v>
          </cell>
        </row>
        <row r="62">
          <cell r="D62" t="str">
            <v>Wind turbine</v>
          </cell>
        </row>
        <row r="63">
          <cell r="D63" t="str">
            <v>Time switches</v>
          </cell>
        </row>
        <row r="64">
          <cell r="D64" t="str">
            <v>Fans - air handling unit</v>
          </cell>
        </row>
        <row r="65">
          <cell r="D65" t="str">
            <v>Fans - high efficiency</v>
          </cell>
        </row>
        <row r="66">
          <cell r="D66" t="str">
            <v xml:space="preserve">Phase change material </v>
          </cell>
        </row>
        <row r="67">
          <cell r="D67" t="str">
            <v>Ultrasonic humidifiers</v>
          </cell>
        </row>
        <row r="68">
          <cell r="D68" t="str">
            <v>Ventilation - distribution</v>
          </cell>
        </row>
        <row r="69">
          <cell r="D69" t="str">
            <v>Ventilation - presence controls</v>
          </cell>
        </row>
      </sheetData>
      <sheetData sheetId="8">
        <row r="3">
          <cell r="A3" t="str">
            <v>Building management systems</v>
          </cell>
          <cell r="P3">
            <v>1899</v>
          </cell>
          <cell r="Q3" t="str">
            <v>N/A</v>
          </cell>
          <cell r="R3">
            <v>1899</v>
          </cell>
          <cell r="S3">
            <v>1899</v>
          </cell>
          <cell r="T3">
            <v>1899</v>
          </cell>
        </row>
        <row r="4">
          <cell r="A4" t="str">
            <v>Cooling</v>
          </cell>
        </row>
        <row r="5">
          <cell r="A5" t="str">
            <v>Energy from waste</v>
          </cell>
        </row>
        <row r="6">
          <cell r="A6" t="str">
            <v>Heating</v>
          </cell>
        </row>
        <row r="7">
          <cell r="A7" t="str">
            <v>Hot water</v>
          </cell>
        </row>
        <row r="8">
          <cell r="A8" t="str">
            <v>Insulation - building fabric</v>
          </cell>
        </row>
        <row r="9">
          <cell r="A9" t="str">
            <v>Insulation - draught proofing</v>
          </cell>
        </row>
        <row r="10">
          <cell r="A10" t="str">
            <v>Insulation - other</v>
          </cell>
        </row>
        <row r="11">
          <cell r="A11" t="str">
            <v>Insulation - pipework</v>
          </cell>
        </row>
        <row r="12">
          <cell r="A12" t="str">
            <v>Low carbon heating</v>
          </cell>
        </row>
        <row r="13">
          <cell r="A13" t="str">
            <v>LED lighting</v>
          </cell>
        </row>
        <row r="14">
          <cell r="A14" t="str">
            <v>Lighting controls</v>
          </cell>
        </row>
        <row r="15">
          <cell r="A15" t="str">
            <v>Motor controls</v>
          </cell>
        </row>
        <row r="16">
          <cell r="A16" t="str">
            <v>Motor replacement</v>
          </cell>
        </row>
        <row r="17">
          <cell r="A17" t="str">
            <v>Renewable energy</v>
          </cell>
        </row>
        <row r="18">
          <cell r="A18" t="str">
            <v>Time switches</v>
          </cell>
        </row>
        <row r="19">
          <cell r="A19" t="str">
            <v>Transformers</v>
          </cell>
        </row>
        <row r="20">
          <cell r="A20" t="str">
            <v>Ventilation</v>
          </cell>
        </row>
        <row r="23">
          <cell r="A23" t="str">
            <v>Metering</v>
          </cell>
        </row>
        <row r="24">
          <cell r="A24" t="str">
            <v>Monitoring</v>
          </cell>
        </row>
        <row r="27">
          <cell r="A27" t="str">
            <v>Meters</v>
          </cell>
        </row>
        <row r="28">
          <cell r="A28" t="str">
            <v>Sub-meters</v>
          </cell>
        </row>
        <row r="31">
          <cell r="A31" t="str">
            <v>Energy monitoring and management platform</v>
          </cell>
        </row>
        <row r="32">
          <cell r="A32" t="str">
            <v>Communication device</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Table"/>
      <sheetName val="CRYSTAL_PERSIST"/>
      <sheetName val="Project_Compliance_Tool"/>
      <sheetName val="Project Data Input Sheet"/>
      <sheetName val="Project_Assessment_Criteria"/>
      <sheetName val="Persistence_Factor_Methodology"/>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Table"/>
      <sheetName val="CRYSTAL_PERSIST"/>
      <sheetName val="Project_Compliance_Tool"/>
      <sheetName val="Project Data Input Sheet"/>
      <sheetName val="Project_Assessment_Criteria"/>
      <sheetName val="Persistence_Factor_Methodology"/>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chnology List &amp; Con. Factors"/>
      <sheetName val="Step 1 Application Form"/>
      <sheetName val="Step 2 ECM 1"/>
      <sheetName val="ECM 2"/>
      <sheetName val="ECM 3"/>
      <sheetName val="ECM 4"/>
      <sheetName val="ECM 5"/>
      <sheetName val="Step 3 Business Case"/>
      <sheetName val="Step 4 Submission"/>
      <sheetName val="Terms and Conditions"/>
      <sheetName val="Revision History"/>
      <sheetName val="Backing shee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chnology List &amp; Con. Factor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ance Notes"/>
      <sheetName val="Pre-application checks"/>
      <sheetName val="Programme details"/>
      <sheetName val="ECM 1"/>
      <sheetName val="ECM 2"/>
      <sheetName val="ECM 3"/>
      <sheetName val="ECM 4"/>
      <sheetName val="ECM 5"/>
      <sheetName val="ECM 6"/>
      <sheetName val="ECM 7"/>
      <sheetName val="ECM 8"/>
      <sheetName val="ECM 9"/>
      <sheetName val="ECM 10"/>
      <sheetName val="Technology List &amp; Con. Factors"/>
      <sheetName val="Persistence Factor Model"/>
      <sheetName val="Assessment Form"/>
      <sheetName val="Assessment Form (Pre-tender)"/>
      <sheetName val="Technologies Under Review"/>
      <sheetName val="Revision History"/>
      <sheetName val="Backing sheet"/>
      <sheetName val="Compliancy"/>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uidance Notes"/>
      <sheetName val="Pre-application checks"/>
      <sheetName val="Programme details"/>
      <sheetName val="ECM 1"/>
      <sheetName val="ECM 2"/>
      <sheetName val="ECM 3"/>
      <sheetName val="ECM 4"/>
      <sheetName val="ECM 5"/>
      <sheetName val="ECM 6"/>
      <sheetName val="ECM 7"/>
      <sheetName val="ECM 8"/>
      <sheetName val="ECM 9"/>
      <sheetName val="ECM 10"/>
      <sheetName val="Technology List &amp; Con. Factors"/>
      <sheetName val="Persistence Factor Model"/>
      <sheetName val="Assessment Form"/>
      <sheetName val="Assessment Form (Pre-tender)"/>
      <sheetName val="Technologies Under Review"/>
      <sheetName val="Revision History"/>
      <sheetName val="Backing sheet"/>
      <sheetName val="Compliancy"/>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Dashboard"/>
      <sheetName val="Terms and Conditions"/>
      <sheetName val="Revision History"/>
      <sheetName val="CO2"/>
    </sheetNames>
    <sheetDataSet>
      <sheetData sheetId="0" refreshError="1"/>
      <sheetData sheetId="1"/>
      <sheetData sheetId="2" refreshError="1"/>
      <sheetData sheetId="3" refreshError="1"/>
      <sheetData sheetId="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Dashboard"/>
      <sheetName val="Terms and Conditions"/>
      <sheetName val="Revision History"/>
      <sheetName val="CO2"/>
    </sheetNames>
    <sheetDataSet>
      <sheetData sheetId="0" refreshError="1"/>
      <sheetData sheetId="1"/>
      <sheetData sheetId="2" refreshError="1"/>
      <sheetData sheetId="3" refreshError="1"/>
      <sheetData sheetId="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Table"/>
      <sheetName val="CRYSTAL_PERSIST"/>
      <sheetName val="User Notes"/>
      <sheetName val="Project Compliance Tool"/>
      <sheetName val="Project 1 data input"/>
      <sheetName val="Project 2 data input"/>
      <sheetName val="Project 3 data input"/>
      <sheetName val="Project 4 data input"/>
      <sheetName val="Project 5 data input"/>
      <sheetName val="Extra look-up"/>
      <sheetName val="Additionality Criteria"/>
      <sheetName val="Assessment Criteria"/>
      <sheetName val="QA"/>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Table"/>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RYSTAL_PERSIST"/>
      <sheetName val="Terms and Conditions"/>
      <sheetName val="Guidance Notes"/>
      <sheetName val="Business Case"/>
      <sheetName val="Project Compliance Tool"/>
      <sheetName val="Loan Amortisation"/>
      <sheetName val="Additionality Criteria"/>
      <sheetName val="Eligible Technologies"/>
      <sheetName val="Extra look-up"/>
      <sheetName val="Assessment Form (Old)"/>
      <sheetName val="Definitions"/>
      <sheetName val="PETREAD"/>
      <sheetName val="PETREAD 2"/>
      <sheetName val="Revision History"/>
    </sheetNames>
    <sheetDataSet>
      <sheetData sheetId="0"/>
      <sheetData sheetId="1"/>
      <sheetData sheetId="2"/>
      <sheetData sheetId="3">
        <row r="9">
          <cell r="D9"/>
        </row>
        <row r="13">
          <cell r="D13"/>
        </row>
        <row r="79">
          <cell r="H79"/>
        </row>
        <row r="82">
          <cell r="H82"/>
        </row>
      </sheetData>
      <sheetData sheetId="4">
        <row r="3">
          <cell r="D3"/>
        </row>
        <row r="9">
          <cell r="D9">
            <v>46477</v>
          </cell>
        </row>
        <row r="67">
          <cell r="N67">
            <v>0</v>
          </cell>
        </row>
      </sheetData>
      <sheetData sheetId="5">
        <row r="15">
          <cell r="P15">
            <v>9</v>
          </cell>
        </row>
        <row r="18">
          <cell r="P18">
            <v>0</v>
          </cell>
        </row>
        <row r="31">
          <cell r="O31"/>
          <cell r="P31"/>
        </row>
        <row r="32">
          <cell r="O32"/>
          <cell r="P32"/>
        </row>
        <row r="33">
          <cell r="O33"/>
          <cell r="P33"/>
        </row>
        <row r="50">
          <cell r="D50">
            <v>2.4500000000000001E-2</v>
          </cell>
        </row>
      </sheetData>
      <sheetData sheetId="6"/>
      <sheetData sheetId="7">
        <row r="7">
          <cell r="D7" t="str">
            <v>Air source heat pump (air to water)</v>
          </cell>
        </row>
        <row r="8">
          <cell r="D8" t="str">
            <v>Air source heat pump (air to air)</v>
          </cell>
        </row>
        <row r="9">
          <cell r="D9" t="str">
            <v xml:space="preserve">Ground source heat pump </v>
          </cell>
        </row>
        <row r="10">
          <cell r="D10" t="str">
            <v>Water source heat pump</v>
          </cell>
        </row>
        <row r="11">
          <cell r="D11" t="str">
            <v>Connect to existing district heating</v>
          </cell>
        </row>
        <row r="12">
          <cell r="D12" t="str">
            <v>Heating - electric heating</v>
          </cell>
        </row>
        <row r="13">
          <cell r="D13" t="str">
            <v>Hot water - electric point of use heaters</v>
          </cell>
        </row>
        <row r="14">
          <cell r="D14" t="str">
            <v>Solar thermal</v>
          </cell>
        </row>
        <row r="15">
          <cell r="D15" t="str">
            <v>Biomass</v>
          </cell>
        </row>
        <row r="17">
          <cell r="D17" t="str">
            <v>BEMS - not remotely managed</v>
          </cell>
          <cell r="J17" t="str">
            <v>Electricity</v>
          </cell>
        </row>
        <row r="18">
          <cell r="D18" t="str">
            <v>BEMS - remotely managed</v>
          </cell>
          <cell r="J18" t="str">
            <v>Gas</v>
          </cell>
        </row>
        <row r="19">
          <cell r="D19" t="str">
            <v>Cooling - control system</v>
          </cell>
          <cell r="J19" t="str">
            <v>Gas oil</v>
          </cell>
        </row>
        <row r="20">
          <cell r="D20" t="str">
            <v>Cooling - plant replacement/upgrade</v>
          </cell>
          <cell r="J20" t="str">
            <v>Fuel oil</v>
          </cell>
        </row>
        <row r="21">
          <cell r="D21" t="str">
            <v>Energy efficient chillers</v>
          </cell>
          <cell r="J21" t="str">
            <v>Burning oil</v>
          </cell>
        </row>
        <row r="22">
          <cell r="D22" t="str">
            <v>Free cooling</v>
          </cell>
          <cell r="J22" t="str">
            <v>Coal</v>
          </cell>
        </row>
        <row r="23">
          <cell r="D23" t="str">
            <v>Replacement of air conditioning with evaporative cooling</v>
          </cell>
          <cell r="J23" t="str">
            <v>LPG</v>
          </cell>
        </row>
        <row r="24">
          <cell r="D24" t="str">
            <v>Anaerobic digestion</v>
          </cell>
          <cell r="J24" t="str">
            <v>Wood pellets</v>
          </cell>
        </row>
        <row r="25">
          <cell r="D25" t="str">
            <v>Incineration</v>
          </cell>
          <cell r="J25" t="str">
            <v>Wood chips</v>
          </cell>
        </row>
        <row r="26">
          <cell r="D26" t="str">
            <v>Hand dryers - replacement to more efficient type</v>
          </cell>
          <cell r="J26" t="str">
            <v>Biogas</v>
          </cell>
        </row>
        <row r="27">
          <cell r="D27" t="str">
            <v>Heat recovery</v>
          </cell>
        </row>
        <row r="28">
          <cell r="D28" t="str">
            <v>Heating - discrete controls</v>
          </cell>
        </row>
        <row r="29">
          <cell r="D29" t="str">
            <v>Heating - distribution pipework improvements</v>
          </cell>
        </row>
        <row r="30">
          <cell r="D30" t="str">
            <v>Heating - zone control valves</v>
          </cell>
        </row>
        <row r="31">
          <cell r="D31" t="str">
            <v>Replace steam calorifier with plate heat exchanger</v>
          </cell>
        </row>
        <row r="32">
          <cell r="D32" t="str">
            <v>Steam trap replacements</v>
          </cell>
        </row>
        <row r="33">
          <cell r="D33" t="str">
            <v>Thermal stores</v>
          </cell>
        </row>
        <row r="34">
          <cell r="D34" t="str">
            <v>Flow restrictors</v>
          </cell>
        </row>
        <row r="35">
          <cell r="D35" t="str">
            <v>Hot water - distribution improvements</v>
          </cell>
        </row>
        <row r="36">
          <cell r="D36" t="str">
            <v>Hot water - efficient taps</v>
          </cell>
        </row>
        <row r="37">
          <cell r="D37" t="str">
            <v>Cavity wall insulation</v>
          </cell>
        </row>
        <row r="38">
          <cell r="D38" t="str">
            <v xml:space="preserve">Double glazing with metal or plastic frames </v>
          </cell>
        </row>
        <row r="39">
          <cell r="D39" t="str">
            <v>Dry wall lining</v>
          </cell>
        </row>
        <row r="40">
          <cell r="D40" t="str">
            <v>Loft insulation</v>
          </cell>
        </row>
        <row r="41">
          <cell r="D41" t="str">
            <v>Floor insulation - suspended timber floor</v>
          </cell>
        </row>
        <row r="42">
          <cell r="D42" t="str">
            <v>Floor insulation - solid floor or other type</v>
          </cell>
        </row>
        <row r="43">
          <cell r="D43" t="str">
            <v>Roof insulation</v>
          </cell>
        </row>
        <row r="44">
          <cell r="D44" t="str">
            <v>Secondary glazing</v>
          </cell>
        </row>
        <row r="45">
          <cell r="D45" t="str">
            <v>Insulation - draught proofing</v>
          </cell>
        </row>
        <row r="46">
          <cell r="D46" t="str">
            <v>Automatic speed doors</v>
          </cell>
        </row>
        <row r="47">
          <cell r="D47" t="str">
            <v>Automatic/revolving doors</v>
          </cell>
        </row>
        <row r="48">
          <cell r="D48" t="str">
            <v>Draught lobby (external)</v>
          </cell>
        </row>
        <row r="49">
          <cell r="D49" t="str">
            <v>Draught lobby (internal)</v>
          </cell>
        </row>
        <row r="50">
          <cell r="D50" t="str">
            <v>Radiator reflective foil (external walls)</v>
          </cell>
        </row>
        <row r="51">
          <cell r="D51" t="str">
            <v>Heating pipework insulation (external)</v>
          </cell>
        </row>
        <row r="52">
          <cell r="D52" t="str">
            <v>Heating pipework insulation (internal)</v>
          </cell>
        </row>
        <row r="53">
          <cell r="D53" t="str">
            <v>Energy efficient drying cabinets</v>
          </cell>
        </row>
        <row r="54">
          <cell r="D54" t="str">
            <v>Energy efficient freezers (-25C)</v>
          </cell>
        </row>
        <row r="55">
          <cell r="D55" t="str">
            <v>Energy efficient fume cupboards</v>
          </cell>
        </row>
        <row r="56">
          <cell r="D56" t="str">
            <v>Fume cupboards - auto sash closing + PIR</v>
          </cell>
        </row>
        <row r="57">
          <cell r="D57" t="str">
            <v>LED - new fitting</v>
          </cell>
        </row>
        <row r="58">
          <cell r="D58" t="str">
            <v>LED - same fitting</v>
          </cell>
        </row>
        <row r="59">
          <cell r="D59" t="str">
            <v>Lighting - discrete controls</v>
          </cell>
        </row>
        <row r="60">
          <cell r="D60" t="str">
            <v>Lighting control system centralised</v>
          </cell>
        </row>
        <row r="61">
          <cell r="D61" t="str">
            <v>Fixed speed motor controls</v>
          </cell>
        </row>
        <row r="62">
          <cell r="D62" t="str">
            <v>Motors - flat belt drives</v>
          </cell>
        </row>
        <row r="63">
          <cell r="D63" t="str">
            <v>Variable speed drives</v>
          </cell>
        </row>
        <row r="64">
          <cell r="D64" t="str">
            <v>Motors - high efficiency</v>
          </cell>
        </row>
        <row r="65">
          <cell r="D65" t="str">
            <v>Small hydropower</v>
          </cell>
        </row>
        <row r="66">
          <cell r="D66" t="str">
            <v>Solar PV</v>
          </cell>
        </row>
        <row r="67">
          <cell r="D67" t="str">
            <v>Wind turbine</v>
          </cell>
        </row>
        <row r="68">
          <cell r="D68" t="str">
            <v>Swimming pool covers - manual</v>
          </cell>
        </row>
        <row r="69">
          <cell r="D69" t="str">
            <v>Swimming pool covers - motorised</v>
          </cell>
        </row>
        <row r="70">
          <cell r="D70" t="str">
            <v>Time switches</v>
          </cell>
        </row>
        <row r="71">
          <cell r="D71" t="str">
            <v>Fans - air handling unit</v>
          </cell>
        </row>
        <row r="72">
          <cell r="D72" t="str">
            <v>Fans - high efficiency</v>
          </cell>
        </row>
        <row r="73">
          <cell r="D73" t="str">
            <v xml:space="preserve">Phase change material </v>
          </cell>
        </row>
        <row r="74">
          <cell r="D74" t="str">
            <v>Ultrasonic humidifiers</v>
          </cell>
        </row>
        <row r="75">
          <cell r="D75" t="str">
            <v>Ventilation - distribution</v>
          </cell>
        </row>
        <row r="76">
          <cell r="D76" t="str">
            <v>Ventilation - presence controls</v>
          </cell>
        </row>
      </sheetData>
      <sheetData sheetId="8">
        <row r="3">
          <cell r="A3" t="str">
            <v>Building management systems</v>
          </cell>
          <cell r="P3">
            <v>2027</v>
          </cell>
          <cell r="Q3" t="str">
            <v>N/A</v>
          </cell>
          <cell r="R3">
            <v>1899</v>
          </cell>
          <cell r="S3">
            <v>1899</v>
          </cell>
          <cell r="T3">
            <v>1899</v>
          </cell>
        </row>
        <row r="4">
          <cell r="A4" t="str">
            <v>Cooling</v>
          </cell>
        </row>
        <row r="5">
          <cell r="A5" t="str">
            <v>Energy from waste</v>
          </cell>
        </row>
        <row r="6">
          <cell r="A6" t="str">
            <v>Hand dryers</v>
          </cell>
        </row>
        <row r="7">
          <cell r="A7" t="str">
            <v>Heating</v>
          </cell>
        </row>
        <row r="8">
          <cell r="A8" t="str">
            <v>Hot water</v>
          </cell>
        </row>
        <row r="9">
          <cell r="A9" t="str">
            <v>Insulation - building fabric</v>
          </cell>
        </row>
        <row r="10">
          <cell r="A10" t="str">
            <v>Insulation - draught proofing</v>
          </cell>
        </row>
        <row r="11">
          <cell r="A11" t="str">
            <v>Insulation - other</v>
          </cell>
        </row>
        <row r="12">
          <cell r="A12" t="str">
            <v>Insulation - pipework</v>
          </cell>
        </row>
        <row r="13">
          <cell r="A13" t="str">
            <v>Lab upgrades</v>
          </cell>
        </row>
        <row r="14">
          <cell r="A14" t="str">
            <v>LED lighting</v>
          </cell>
        </row>
        <row r="15">
          <cell r="A15" t="str">
            <v>Lighting controls</v>
          </cell>
        </row>
        <row r="16">
          <cell r="A16" t="str">
            <v>Low carbon heating</v>
          </cell>
        </row>
        <row r="17">
          <cell r="A17" t="str">
            <v>Motor controls</v>
          </cell>
        </row>
        <row r="18">
          <cell r="A18" t="str">
            <v>Motor replacement</v>
          </cell>
        </row>
        <row r="19">
          <cell r="A19" t="str">
            <v>Renewable energy</v>
          </cell>
        </row>
        <row r="20">
          <cell r="A20" t="str">
            <v>Swimming pool covers</v>
          </cell>
        </row>
        <row r="21">
          <cell r="A21" t="str">
            <v>Time switches</v>
          </cell>
        </row>
        <row r="22">
          <cell r="A22" t="str">
            <v>Transformers</v>
          </cell>
        </row>
        <row r="23">
          <cell r="A23" t="str">
            <v>Ventilation</v>
          </cell>
        </row>
        <row r="24">
          <cell r="A24" t="str">
            <v>Monitoring</v>
          </cell>
        </row>
        <row r="27">
          <cell r="A27" t="str">
            <v>Meters</v>
          </cell>
        </row>
        <row r="28">
          <cell r="A28" t="str">
            <v>Sub-meters</v>
          </cell>
        </row>
        <row r="31">
          <cell r="A31" t="str">
            <v>Energy monitoring and management platform</v>
          </cell>
        </row>
        <row r="32">
          <cell r="A32" t="str">
            <v>Communication device</v>
          </cell>
        </row>
      </sheetData>
      <sheetData sheetId="9"/>
      <sheetData sheetId="10"/>
      <sheetData sheetId="11"/>
      <sheetData sheetId="12"/>
      <sheetData sheetId="13"/>
    </sheetDataSet>
  </externalBook>
</externalLink>
</file>

<file path=xl/persons/person.xml><?xml version="1.0" encoding="utf-8"?>
<personList xmlns="http://schemas.microsoft.com/office/spreadsheetml/2018/threadedcomments" xmlns:x="http://schemas.openxmlformats.org/spreadsheetml/2006/main"/>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technical@salixfinance.co.uk"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V1"/>
  <sheetViews>
    <sheetView workbookViewId="0"/>
  </sheetViews>
  <sheetFormatPr defaultColWidth="8.81640625" defaultRowHeight="12.5" x14ac:dyDescent="0.25"/>
  <sheetData>
    <row r="1" spans="22:22" x14ac:dyDescent="0.25">
      <c r="V1" s="1"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EBA6F-7DCE-4F1B-9460-358E553AF87C}">
  <sheetPr codeName="Sheet7">
    <tabColor rgb="FF2DAE76"/>
  </sheetPr>
  <dimension ref="A1:B12"/>
  <sheetViews>
    <sheetView showRowColHeaders="0" zoomScaleNormal="100" workbookViewId="0">
      <selection activeCell="B7" sqref="B7"/>
    </sheetView>
  </sheetViews>
  <sheetFormatPr defaultColWidth="9.1796875" defaultRowHeight="12.5" x14ac:dyDescent="0.25"/>
  <cols>
    <col min="1" max="1" width="4.1796875" style="34" customWidth="1"/>
    <col min="2" max="2" width="187.54296875" style="34" customWidth="1"/>
    <col min="3" max="16384" width="9.1796875" style="34"/>
  </cols>
  <sheetData>
    <row r="1" spans="1:2" ht="16" thickBot="1" x14ac:dyDescent="0.3">
      <c r="A1" s="40"/>
      <c r="B1" s="41"/>
    </row>
    <row r="2" spans="1:2" ht="15.5" x14ac:dyDescent="0.25">
      <c r="A2" s="40"/>
      <c r="B2" s="91"/>
    </row>
    <row r="3" spans="1:2" ht="34.5" customHeight="1" x14ac:dyDescent="0.25">
      <c r="B3" s="92" t="s">
        <v>1</v>
      </c>
    </row>
    <row r="4" spans="1:2" ht="13.5" customHeight="1" x14ac:dyDescent="0.25">
      <c r="B4" s="93" t="str">
        <f ca="1">"© Salix Finance "&amp;YEAR(NOW())</f>
        <v>© Salix Finance 2026</v>
      </c>
    </row>
    <row r="5" spans="1:2" ht="13.5" customHeight="1" x14ac:dyDescent="0.25">
      <c r="B5" s="93"/>
    </row>
    <row r="6" spans="1:2" ht="21" customHeight="1" x14ac:dyDescent="0.25">
      <c r="B6" s="94" t="s">
        <v>2</v>
      </c>
    </row>
    <row r="7" spans="1:2" ht="51" customHeight="1" x14ac:dyDescent="0.25">
      <c r="B7" s="95" t="s">
        <v>3</v>
      </c>
    </row>
    <row r="8" spans="1:2" ht="21.75" customHeight="1" x14ac:dyDescent="0.25">
      <c r="B8" s="94" t="s">
        <v>4</v>
      </c>
    </row>
    <row r="9" spans="1:2" ht="59.15" customHeight="1" x14ac:dyDescent="0.25">
      <c r="B9" s="95" t="s">
        <v>5</v>
      </c>
    </row>
    <row r="10" spans="1:2" ht="23.5" customHeight="1" x14ac:dyDescent="0.25">
      <c r="B10" s="94" t="s">
        <v>6</v>
      </c>
    </row>
    <row r="11" spans="1:2" ht="97" customHeight="1" x14ac:dyDescent="0.25">
      <c r="B11" s="95" t="s">
        <v>7</v>
      </c>
    </row>
    <row r="12" spans="1:2" ht="16" thickBot="1" x14ac:dyDescent="0.3">
      <c r="A12" s="41"/>
      <c r="B12" s="96"/>
    </row>
  </sheetData>
  <sheetProtection algorithmName="SHA-512" hashValue="1nRb/alvzbVK4eaNZOBpJz5TUOAMiWZgIicoganiT7bsbawzIRwWO+Uw7yaOzDY3+9EEshUZrP9waIAaexnTIQ==" saltValue="f4x9u14TL1lIPpNIrzfYcg==" spinCount="100000" sheet="1"/>
  <pageMargins left="0.7" right="0.7" top="0.75" bottom="0.75" header="0.3" footer="0.3"/>
  <pageSetup paperSize="9" scale="84" orientation="portrait" r:id="rId1"/>
  <colBreaks count="1" manualBreakCount="1">
    <brk id="2" max="13"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2DAE76"/>
    <pageSetUpPr fitToPage="1"/>
  </sheetPr>
  <dimension ref="A1:S72"/>
  <sheetViews>
    <sheetView showGridLines="0" showRowColHeaders="0" zoomScale="90" zoomScaleNormal="90" workbookViewId="0">
      <selection activeCell="S8" sqref="S8"/>
    </sheetView>
  </sheetViews>
  <sheetFormatPr defaultColWidth="9.1796875" defaultRowHeight="15.5" x14ac:dyDescent="0.35"/>
  <cols>
    <col min="1" max="1" width="4.54296875" style="13" customWidth="1"/>
    <col min="2" max="2" width="2.453125" style="13" customWidth="1"/>
    <col min="3" max="16384" width="9.1796875" style="13"/>
  </cols>
  <sheetData>
    <row r="1" spans="1:18" ht="15" customHeight="1" thickBot="1" x14ac:dyDescent="0.4"/>
    <row r="2" spans="1:18" ht="15" customHeight="1" x14ac:dyDescent="0.35">
      <c r="B2" s="631"/>
      <c r="C2" s="632"/>
      <c r="D2" s="632"/>
      <c r="E2" s="632"/>
      <c r="F2" s="632"/>
      <c r="G2" s="632"/>
      <c r="H2" s="632"/>
      <c r="I2" s="632"/>
      <c r="J2" s="632"/>
      <c r="K2" s="632"/>
      <c r="L2" s="632"/>
      <c r="M2" s="632"/>
      <c r="N2" s="632"/>
      <c r="O2" s="632"/>
      <c r="P2" s="632"/>
      <c r="Q2" s="632"/>
      <c r="R2" s="633"/>
    </row>
    <row r="3" spans="1:18" ht="24.5" x14ac:dyDescent="0.35">
      <c r="B3" s="97"/>
      <c r="C3" s="645" t="s">
        <v>8</v>
      </c>
      <c r="D3" s="645"/>
      <c r="E3" s="645"/>
      <c r="F3" s="645"/>
      <c r="G3" s="645"/>
      <c r="H3" s="645"/>
      <c r="I3" s="645"/>
      <c r="J3" s="645"/>
      <c r="K3" s="645"/>
      <c r="L3" s="645"/>
      <c r="M3" s="645"/>
      <c r="N3" s="645"/>
      <c r="O3" s="645"/>
      <c r="P3" s="103"/>
      <c r="Q3" s="103"/>
      <c r="R3" s="104"/>
    </row>
    <row r="4" spans="1:18" ht="14.5" customHeight="1" x14ac:dyDescent="0.35">
      <c r="A4" s="14"/>
      <c r="B4" s="100"/>
      <c r="C4" s="105"/>
      <c r="D4" s="105"/>
      <c r="E4" s="105"/>
      <c r="F4" s="105"/>
      <c r="G4" s="106"/>
      <c r="H4" s="106"/>
      <c r="I4" s="106"/>
      <c r="J4" s="106"/>
      <c r="K4" s="106"/>
      <c r="L4" s="106"/>
      <c r="M4" s="106"/>
      <c r="N4" s="106"/>
      <c r="O4" s="106"/>
      <c r="P4" s="106"/>
      <c r="Q4" s="106"/>
      <c r="R4" s="104"/>
    </row>
    <row r="5" spans="1:18" ht="20.5" customHeight="1" x14ac:dyDescent="0.35">
      <c r="B5" s="97"/>
      <c r="C5" s="112" t="s">
        <v>9</v>
      </c>
      <c r="D5" s="107"/>
      <c r="E5" s="107"/>
      <c r="F5" s="107"/>
      <c r="G5" s="107"/>
      <c r="H5" s="107"/>
      <c r="I5" s="107"/>
      <c r="J5" s="107"/>
      <c r="K5" s="107"/>
      <c r="L5" s="107"/>
      <c r="M5" s="106"/>
      <c r="N5" s="107"/>
      <c r="O5" s="107"/>
      <c r="P5" s="107"/>
      <c r="Q5" s="107"/>
      <c r="R5" s="104"/>
    </row>
    <row r="6" spans="1:18" ht="57" customHeight="1" x14ac:dyDescent="0.35">
      <c r="A6" s="15"/>
      <c r="B6" s="101"/>
      <c r="C6" s="634" t="s">
        <v>10</v>
      </c>
      <c r="D6" s="634"/>
      <c r="E6" s="634"/>
      <c r="F6" s="634"/>
      <c r="G6" s="634"/>
      <c r="H6" s="634"/>
      <c r="I6" s="634"/>
      <c r="J6" s="634"/>
      <c r="K6" s="634"/>
      <c r="L6" s="634"/>
      <c r="M6" s="634"/>
      <c r="N6" s="634"/>
      <c r="O6" s="634"/>
      <c r="P6" s="634"/>
      <c r="Q6" s="634"/>
      <c r="R6" s="635"/>
    </row>
    <row r="7" spans="1:18" ht="19.5" customHeight="1" x14ac:dyDescent="0.35">
      <c r="A7" s="15"/>
      <c r="B7" s="101"/>
      <c r="C7" s="639" t="s">
        <v>11</v>
      </c>
      <c r="D7" s="639"/>
      <c r="E7" s="639"/>
      <c r="F7" s="639"/>
      <c r="G7" s="639"/>
      <c r="H7" s="639"/>
      <c r="I7" s="639"/>
      <c r="J7" s="108"/>
      <c r="K7" s="639"/>
      <c r="L7" s="639"/>
      <c r="M7" s="639"/>
      <c r="N7" s="108"/>
      <c r="O7" s="639"/>
      <c r="P7" s="639"/>
      <c r="Q7" s="639"/>
      <c r="R7" s="109"/>
    </row>
    <row r="8" spans="1:18" ht="18.75" customHeight="1" x14ac:dyDescent="0.35">
      <c r="A8" s="15"/>
      <c r="B8" s="101"/>
      <c r="C8" s="637" t="s">
        <v>12</v>
      </c>
      <c r="D8" s="637"/>
      <c r="E8" s="637"/>
      <c r="F8" s="637"/>
      <c r="G8" s="637"/>
      <c r="H8" s="637"/>
      <c r="I8" s="637"/>
      <c r="J8" s="637"/>
      <c r="K8" s="637"/>
      <c r="L8" s="637"/>
      <c r="M8" s="637"/>
      <c r="N8" s="637"/>
      <c r="O8" s="637"/>
      <c r="P8" s="637"/>
      <c r="Q8" s="637"/>
      <c r="R8" s="638"/>
    </row>
    <row r="9" spans="1:18" ht="2.25" customHeight="1" x14ac:dyDescent="0.35">
      <c r="A9" s="15"/>
      <c r="B9" s="101"/>
      <c r="C9" s="636"/>
      <c r="D9" s="636"/>
      <c r="E9" s="636"/>
      <c r="F9" s="636"/>
      <c r="G9" s="636"/>
      <c r="H9" s="636"/>
      <c r="I9" s="636"/>
      <c r="J9" s="636"/>
      <c r="K9" s="636"/>
      <c r="L9" s="636"/>
      <c r="M9" s="108"/>
      <c r="N9" s="108"/>
      <c r="O9" s="108"/>
      <c r="P9" s="108"/>
      <c r="Q9" s="108"/>
      <c r="R9" s="109"/>
    </row>
    <row r="10" spans="1:18" ht="15.75" customHeight="1" x14ac:dyDescent="0.35">
      <c r="B10" s="97"/>
      <c r="C10" s="640" t="s">
        <v>13</v>
      </c>
      <c r="D10" s="641"/>
      <c r="E10" s="641"/>
      <c r="F10" s="641"/>
      <c r="G10" s="641"/>
      <c r="H10" s="641"/>
      <c r="I10" s="641"/>
      <c r="J10" s="641"/>
      <c r="K10" s="641"/>
      <c r="L10" s="641"/>
      <c r="M10" s="641"/>
      <c r="N10" s="641"/>
      <c r="O10" s="641"/>
      <c r="P10" s="641"/>
      <c r="Q10" s="641"/>
      <c r="R10" s="111"/>
    </row>
    <row r="11" spans="1:18" ht="15.75" customHeight="1" x14ac:dyDescent="0.35">
      <c r="B11" s="97"/>
      <c r="C11" s="641"/>
      <c r="D11" s="641"/>
      <c r="E11" s="641"/>
      <c r="F11" s="641"/>
      <c r="G11" s="641"/>
      <c r="H11" s="641"/>
      <c r="I11" s="641"/>
      <c r="J11" s="641"/>
      <c r="K11" s="641"/>
      <c r="L11" s="641"/>
      <c r="M11" s="641"/>
      <c r="N11" s="641"/>
      <c r="O11" s="641"/>
      <c r="P11" s="641"/>
      <c r="Q11" s="641"/>
      <c r="R11" s="111"/>
    </row>
    <row r="12" spans="1:18" x14ac:dyDescent="0.35">
      <c r="B12" s="97"/>
      <c r="C12" s="110" t="s">
        <v>14</v>
      </c>
      <c r="D12" s="110"/>
      <c r="E12" s="110"/>
      <c r="F12" s="110"/>
      <c r="G12" s="110"/>
      <c r="H12" s="110"/>
      <c r="I12" s="110"/>
      <c r="J12" s="110"/>
      <c r="K12" s="110"/>
      <c r="L12" s="110"/>
      <c r="M12" s="110"/>
      <c r="N12" s="110"/>
      <c r="O12" s="110"/>
      <c r="P12" s="110"/>
      <c r="Q12" s="110"/>
      <c r="R12" s="111"/>
    </row>
    <row r="13" spans="1:18" x14ac:dyDescent="0.35">
      <c r="B13" s="97"/>
      <c r="C13" s="110"/>
      <c r="D13" s="110"/>
      <c r="E13" s="110"/>
      <c r="F13" s="110"/>
      <c r="G13" s="110"/>
      <c r="H13" s="110"/>
      <c r="I13" s="110"/>
      <c r="J13" s="110"/>
      <c r="K13" s="110"/>
      <c r="L13" s="110"/>
      <c r="M13" s="110"/>
      <c r="N13" s="110"/>
      <c r="O13" s="110"/>
      <c r="P13" s="110"/>
      <c r="Q13" s="110"/>
      <c r="R13" s="111"/>
    </row>
    <row r="14" spans="1:18" ht="28" customHeight="1" x14ac:dyDescent="0.35">
      <c r="B14" s="97"/>
      <c r="C14" s="110"/>
      <c r="D14" s="110"/>
      <c r="E14" s="110"/>
      <c r="F14" s="110"/>
      <c r="G14" s="110"/>
      <c r="H14" s="110"/>
      <c r="I14" s="110"/>
      <c r="J14" s="110"/>
      <c r="K14" s="110"/>
      <c r="L14" s="110"/>
      <c r="M14" s="110"/>
      <c r="N14" s="110"/>
      <c r="O14" s="110"/>
      <c r="P14" s="110"/>
      <c r="Q14" s="110"/>
      <c r="R14" s="111"/>
    </row>
    <row r="15" spans="1:18" ht="24" customHeight="1" x14ac:dyDescent="0.35">
      <c r="B15" s="97"/>
      <c r="C15" s="110"/>
      <c r="D15" s="110"/>
      <c r="E15" s="110"/>
      <c r="F15" s="110"/>
      <c r="G15" s="110"/>
      <c r="H15" s="110"/>
      <c r="I15" s="110"/>
      <c r="J15" s="110"/>
      <c r="K15" s="110"/>
      <c r="L15" s="110"/>
      <c r="M15" s="110"/>
      <c r="N15" s="110"/>
      <c r="O15" s="110"/>
      <c r="P15" s="110"/>
      <c r="Q15" s="110"/>
      <c r="R15" s="111"/>
    </row>
    <row r="16" spans="1:18" ht="8.25" customHeight="1" x14ac:dyDescent="0.35">
      <c r="B16" s="97"/>
      <c r="C16" s="110"/>
      <c r="D16" s="110"/>
      <c r="E16" s="110"/>
      <c r="F16" s="110"/>
      <c r="G16" s="110"/>
      <c r="H16" s="110"/>
      <c r="I16" s="110"/>
      <c r="J16" s="110"/>
      <c r="K16" s="110"/>
      <c r="L16" s="110"/>
      <c r="M16" s="110"/>
      <c r="N16" s="110"/>
      <c r="O16" s="110"/>
      <c r="P16" s="110"/>
      <c r="Q16" s="110"/>
      <c r="R16" s="111"/>
    </row>
    <row r="17" spans="2:19" x14ac:dyDescent="0.35">
      <c r="B17" s="97"/>
      <c r="C17" s="634" t="s">
        <v>15</v>
      </c>
      <c r="D17" s="634"/>
      <c r="E17" s="634"/>
      <c r="F17" s="634"/>
      <c r="G17" s="634"/>
      <c r="H17" s="634"/>
      <c r="I17" s="634"/>
      <c r="J17" s="634"/>
      <c r="K17" s="634"/>
      <c r="L17" s="634"/>
      <c r="M17" s="634"/>
      <c r="N17" s="634"/>
      <c r="O17" s="634"/>
      <c r="P17" s="634"/>
      <c r="Q17" s="634"/>
      <c r="R17" s="635"/>
    </row>
    <row r="18" spans="2:19" x14ac:dyDescent="0.35">
      <c r="B18" s="97"/>
      <c r="C18" s="634"/>
      <c r="D18" s="634"/>
      <c r="E18" s="634"/>
      <c r="F18" s="634"/>
      <c r="G18" s="634"/>
      <c r="H18" s="634"/>
      <c r="I18" s="634"/>
      <c r="J18" s="634"/>
      <c r="K18" s="634"/>
      <c r="L18" s="634"/>
      <c r="M18" s="634"/>
      <c r="N18" s="634"/>
      <c r="O18" s="634"/>
      <c r="P18" s="634"/>
      <c r="Q18" s="634"/>
      <c r="R18" s="635"/>
    </row>
    <row r="19" spans="2:19" ht="29.5" customHeight="1" x14ac:dyDescent="0.35">
      <c r="B19" s="97"/>
      <c r="C19" s="110"/>
      <c r="D19" s="110"/>
      <c r="E19" s="110"/>
      <c r="F19" s="110"/>
      <c r="G19" s="110"/>
      <c r="H19" s="110"/>
      <c r="I19" s="110"/>
      <c r="J19" s="110"/>
      <c r="K19" s="110"/>
      <c r="L19" s="110"/>
      <c r="M19" s="110"/>
      <c r="N19" s="110"/>
      <c r="O19" s="110"/>
      <c r="P19" s="110"/>
      <c r="Q19" s="110"/>
      <c r="R19" s="111"/>
    </row>
    <row r="20" spans="2:19" ht="28.5" customHeight="1" x14ac:dyDescent="0.35">
      <c r="B20" s="97"/>
      <c r="C20" s="110"/>
      <c r="D20" s="110"/>
      <c r="E20" s="110"/>
      <c r="F20" s="110"/>
      <c r="G20" s="110"/>
      <c r="H20" s="110"/>
      <c r="I20" s="110"/>
      <c r="J20" s="110"/>
      <c r="K20" s="110"/>
      <c r="L20" s="110"/>
      <c r="M20" s="110"/>
      <c r="N20" s="110"/>
      <c r="O20" s="110"/>
      <c r="P20" s="110"/>
      <c r="Q20" s="110"/>
      <c r="R20" s="111"/>
    </row>
    <row r="21" spans="2:19" x14ac:dyDescent="0.35">
      <c r="B21" s="97"/>
      <c r="C21" s="110"/>
      <c r="D21" s="110"/>
      <c r="E21" s="110"/>
      <c r="F21" s="110"/>
      <c r="G21" s="110"/>
      <c r="H21" s="110"/>
      <c r="I21" s="110"/>
      <c r="J21" s="110"/>
      <c r="K21" s="110"/>
      <c r="L21" s="110"/>
      <c r="M21" s="110"/>
      <c r="N21" s="110"/>
      <c r="O21" s="110"/>
      <c r="P21" s="110"/>
      <c r="Q21" s="110"/>
      <c r="R21" s="111"/>
    </row>
    <row r="22" spans="2:19" x14ac:dyDescent="0.35">
      <c r="B22" s="97"/>
      <c r="C22" s="110"/>
      <c r="D22" s="110"/>
      <c r="E22" s="110"/>
      <c r="F22" s="110"/>
      <c r="G22" s="110"/>
      <c r="H22" s="110"/>
      <c r="I22" s="110"/>
      <c r="J22" s="110"/>
      <c r="K22" s="110"/>
      <c r="L22" s="110"/>
      <c r="M22" s="110"/>
      <c r="N22" s="110"/>
      <c r="O22" s="110"/>
      <c r="P22" s="110"/>
      <c r="Q22" s="110"/>
      <c r="R22" s="111"/>
    </row>
    <row r="23" spans="2:19" x14ac:dyDescent="0.35">
      <c r="B23" s="97"/>
      <c r="C23" s="110" t="s">
        <v>16</v>
      </c>
      <c r="D23" s="110"/>
      <c r="E23" s="110"/>
      <c r="F23" s="110"/>
      <c r="G23" s="110"/>
      <c r="H23" s="110"/>
      <c r="I23" s="110"/>
      <c r="J23" s="110"/>
      <c r="K23" s="110"/>
      <c r="L23" s="110"/>
      <c r="M23" s="110"/>
      <c r="N23" s="110"/>
      <c r="O23" s="110"/>
      <c r="P23" s="110"/>
      <c r="Q23" s="110"/>
      <c r="R23" s="111"/>
    </row>
    <row r="24" spans="2:19" ht="28.5" customHeight="1" x14ac:dyDescent="0.35">
      <c r="B24" s="97"/>
      <c r="C24" s="110"/>
      <c r="D24" s="110"/>
      <c r="E24" s="110"/>
      <c r="F24" s="110"/>
      <c r="G24" s="110"/>
      <c r="H24" s="110"/>
      <c r="I24" s="110"/>
      <c r="J24" s="110"/>
      <c r="K24" s="110"/>
      <c r="L24" s="110"/>
      <c r="M24" s="110"/>
      <c r="N24" s="110"/>
      <c r="O24" s="110"/>
      <c r="P24" s="110"/>
      <c r="Q24" s="110"/>
      <c r="R24" s="111"/>
    </row>
    <row r="25" spans="2:19" x14ac:dyDescent="0.35">
      <c r="B25" s="97"/>
      <c r="C25" s="110"/>
      <c r="D25" s="110"/>
      <c r="E25" s="110"/>
      <c r="F25" s="110"/>
      <c r="G25" s="110"/>
      <c r="H25" s="110"/>
      <c r="I25" s="110"/>
      <c r="J25" s="110"/>
      <c r="K25" s="110"/>
      <c r="L25" s="110"/>
      <c r="M25" s="110"/>
      <c r="N25" s="110"/>
      <c r="O25" s="110"/>
      <c r="P25" s="110"/>
      <c r="Q25" s="110"/>
      <c r="R25" s="111"/>
    </row>
    <row r="26" spans="2:19" x14ac:dyDescent="0.35">
      <c r="B26" s="97"/>
      <c r="C26" s="110"/>
      <c r="D26" s="110"/>
      <c r="E26" s="110"/>
      <c r="F26" s="110"/>
      <c r="G26" s="110"/>
      <c r="H26" s="110"/>
      <c r="I26" s="110"/>
      <c r="J26" s="110"/>
      <c r="K26" s="110"/>
      <c r="L26" s="110"/>
      <c r="M26" s="110"/>
      <c r="N26" s="110"/>
      <c r="O26" s="110"/>
      <c r="P26" s="110"/>
      <c r="Q26" s="110"/>
      <c r="R26" s="111"/>
    </row>
    <row r="27" spans="2:19" x14ac:dyDescent="0.35">
      <c r="B27" s="97"/>
      <c r="C27" s="110"/>
      <c r="D27" s="110"/>
      <c r="E27" s="110"/>
      <c r="F27" s="110"/>
      <c r="G27" s="110"/>
      <c r="H27" s="110"/>
      <c r="I27" s="110"/>
      <c r="J27" s="110"/>
      <c r="K27" s="110"/>
      <c r="L27" s="110"/>
      <c r="M27" s="110"/>
      <c r="N27" s="110"/>
      <c r="O27" s="110"/>
      <c r="P27" s="110"/>
      <c r="Q27" s="110"/>
      <c r="R27" s="111"/>
    </row>
    <row r="28" spans="2:19" x14ac:dyDescent="0.35">
      <c r="B28" s="97"/>
      <c r="C28" s="110"/>
      <c r="D28" s="110"/>
      <c r="E28" s="110"/>
      <c r="F28" s="110"/>
      <c r="G28" s="110"/>
      <c r="H28" s="110"/>
      <c r="I28" s="110"/>
      <c r="J28" s="110"/>
      <c r="K28" s="110"/>
      <c r="L28" s="110"/>
      <c r="M28" s="110"/>
      <c r="N28" s="110"/>
      <c r="O28" s="110"/>
      <c r="P28" s="110"/>
      <c r="Q28" s="110"/>
      <c r="R28" s="111"/>
    </row>
    <row r="29" spans="2:19" ht="19.5" customHeight="1" x14ac:dyDescent="0.35">
      <c r="B29" s="97"/>
      <c r="C29" s="634" t="s">
        <v>17</v>
      </c>
      <c r="D29" s="634"/>
      <c r="E29" s="634"/>
      <c r="F29" s="634"/>
      <c r="G29" s="634"/>
      <c r="H29" s="634"/>
      <c r="I29" s="634"/>
      <c r="J29" s="634"/>
      <c r="K29" s="634"/>
      <c r="L29" s="634"/>
      <c r="M29" s="634"/>
      <c r="N29" s="634"/>
      <c r="O29" s="634"/>
      <c r="P29" s="634"/>
      <c r="Q29" s="634"/>
      <c r="R29" s="635"/>
      <c r="S29" s="16"/>
    </row>
    <row r="30" spans="2:19" x14ac:dyDescent="0.35">
      <c r="B30" s="97"/>
      <c r="C30" s="634"/>
      <c r="D30" s="634"/>
      <c r="E30" s="634"/>
      <c r="F30" s="634"/>
      <c r="G30" s="634"/>
      <c r="H30" s="634"/>
      <c r="I30" s="634"/>
      <c r="J30" s="634"/>
      <c r="K30" s="634"/>
      <c r="L30" s="634"/>
      <c r="M30" s="634"/>
      <c r="N30" s="634"/>
      <c r="O30" s="634"/>
      <c r="P30" s="634"/>
      <c r="Q30" s="634"/>
      <c r="R30" s="635"/>
      <c r="S30" s="16"/>
    </row>
    <row r="31" spans="2:19" x14ac:dyDescent="0.35">
      <c r="B31" s="97"/>
      <c r="C31" s="108"/>
      <c r="D31" s="108"/>
      <c r="E31" s="108"/>
      <c r="F31" s="108"/>
      <c r="G31" s="108"/>
      <c r="H31" s="108"/>
      <c r="I31" s="108"/>
      <c r="J31" s="108"/>
      <c r="K31" s="108"/>
      <c r="L31" s="108"/>
      <c r="M31" s="108"/>
      <c r="N31" s="108"/>
      <c r="O31" s="108"/>
      <c r="P31" s="108"/>
      <c r="Q31" s="108"/>
      <c r="R31" s="109"/>
      <c r="S31" s="16"/>
    </row>
    <row r="32" spans="2:19" x14ac:dyDescent="0.35">
      <c r="B32" s="97"/>
      <c r="C32" s="110"/>
      <c r="D32" s="110"/>
      <c r="E32" s="110"/>
      <c r="F32" s="110"/>
      <c r="G32" s="110"/>
      <c r="H32" s="110"/>
      <c r="I32" s="110"/>
      <c r="J32" s="110"/>
      <c r="K32" s="110"/>
      <c r="L32" s="110"/>
      <c r="M32" s="110"/>
      <c r="N32" s="110"/>
      <c r="O32" s="110"/>
      <c r="P32" s="110"/>
      <c r="Q32" s="110"/>
      <c r="R32" s="111"/>
    </row>
    <row r="33" spans="2:18" x14ac:dyDescent="0.35">
      <c r="B33" s="97"/>
      <c r="C33" s="110"/>
      <c r="D33" s="110"/>
      <c r="E33" s="110"/>
      <c r="F33" s="110"/>
      <c r="G33" s="110"/>
      <c r="H33" s="110"/>
      <c r="I33" s="110"/>
      <c r="J33" s="110"/>
      <c r="K33" s="110"/>
      <c r="L33" s="110"/>
      <c r="M33" s="110"/>
      <c r="N33" s="110"/>
      <c r="O33" s="110"/>
      <c r="P33" s="110"/>
      <c r="Q33" s="110"/>
      <c r="R33" s="111"/>
    </row>
    <row r="34" spans="2:18" x14ac:dyDescent="0.35">
      <c r="B34" s="97"/>
      <c r="C34" s="110"/>
      <c r="D34" s="110"/>
      <c r="E34" s="110"/>
      <c r="F34" s="110"/>
      <c r="G34" s="110"/>
      <c r="H34" s="110"/>
      <c r="I34" s="110"/>
      <c r="J34" s="110"/>
      <c r="K34" s="110"/>
      <c r="L34" s="110"/>
      <c r="M34" s="110"/>
      <c r="N34" s="110"/>
      <c r="O34" s="110"/>
      <c r="P34" s="110"/>
      <c r="Q34" s="110"/>
      <c r="R34" s="111"/>
    </row>
    <row r="35" spans="2:18" x14ac:dyDescent="0.35">
      <c r="B35" s="97"/>
      <c r="C35" s="110"/>
      <c r="D35" s="110"/>
      <c r="E35" s="110"/>
      <c r="F35" s="110"/>
      <c r="G35" s="110"/>
      <c r="H35" s="110"/>
      <c r="I35" s="110"/>
      <c r="J35" s="110"/>
      <c r="K35" s="110"/>
      <c r="L35" s="110"/>
      <c r="M35" s="110"/>
      <c r="N35" s="110"/>
      <c r="O35" s="110"/>
      <c r="P35" s="110"/>
      <c r="Q35" s="110"/>
      <c r="R35" s="111"/>
    </row>
    <row r="36" spans="2:18" x14ac:dyDescent="0.35">
      <c r="B36" s="97"/>
      <c r="C36" s="634" t="s">
        <v>18</v>
      </c>
      <c r="D36" s="634"/>
      <c r="E36" s="634"/>
      <c r="F36" s="634"/>
      <c r="G36" s="634"/>
      <c r="H36" s="634"/>
      <c r="I36" s="634"/>
      <c r="J36" s="634"/>
      <c r="K36" s="634"/>
      <c r="L36" s="634"/>
      <c r="M36" s="634"/>
      <c r="N36" s="634"/>
      <c r="O36" s="634"/>
      <c r="P36" s="634"/>
      <c r="Q36" s="634"/>
      <c r="R36" s="635"/>
    </row>
    <row r="37" spans="2:18" x14ac:dyDescent="0.35">
      <c r="B37" s="97"/>
      <c r="C37" s="634"/>
      <c r="D37" s="634"/>
      <c r="E37" s="634"/>
      <c r="F37" s="634"/>
      <c r="G37" s="634"/>
      <c r="H37" s="634"/>
      <c r="I37" s="634"/>
      <c r="J37" s="634"/>
      <c r="K37" s="634"/>
      <c r="L37" s="634"/>
      <c r="M37" s="634"/>
      <c r="N37" s="634"/>
      <c r="O37" s="634"/>
      <c r="P37" s="634"/>
      <c r="Q37" s="634"/>
      <c r="R37" s="635"/>
    </row>
    <row r="38" spans="2:18" x14ac:dyDescent="0.35">
      <c r="B38" s="97"/>
      <c r="C38" s="331"/>
      <c r="D38" s="331"/>
      <c r="E38" s="331"/>
      <c r="F38" s="331"/>
      <c r="G38" s="331"/>
      <c r="H38" s="331"/>
      <c r="I38" s="331"/>
      <c r="J38" s="331"/>
      <c r="K38" s="331"/>
      <c r="L38" s="331"/>
      <c r="M38" s="331"/>
      <c r="N38" s="331"/>
      <c r="O38" s="331"/>
      <c r="P38" s="331"/>
      <c r="Q38" s="331"/>
      <c r="R38" s="102"/>
    </row>
    <row r="39" spans="2:18" x14ac:dyDescent="0.35">
      <c r="B39" s="97"/>
      <c r="C39" s="98"/>
      <c r="D39" s="98"/>
      <c r="E39" s="98"/>
      <c r="F39" s="98"/>
      <c r="G39" s="98"/>
      <c r="H39" s="98"/>
      <c r="I39" s="98"/>
      <c r="J39" s="98"/>
      <c r="K39" s="98"/>
      <c r="L39" s="98"/>
      <c r="M39" s="98"/>
      <c r="N39" s="98"/>
      <c r="O39" s="98"/>
      <c r="P39" s="98"/>
      <c r="Q39" s="98"/>
      <c r="R39" s="99"/>
    </row>
    <row r="40" spans="2:18" x14ac:dyDescent="0.35">
      <c r="B40" s="97"/>
      <c r="C40" s="98"/>
      <c r="D40" s="98"/>
      <c r="E40" s="98"/>
      <c r="F40" s="98"/>
      <c r="G40" s="98"/>
      <c r="H40" s="98"/>
      <c r="I40" s="98"/>
      <c r="J40" s="98"/>
      <c r="K40" s="98"/>
      <c r="L40" s="98"/>
      <c r="M40" s="98"/>
      <c r="N40" s="98"/>
      <c r="O40" s="98"/>
      <c r="P40" s="98"/>
      <c r="Q40" s="98"/>
      <c r="R40" s="99"/>
    </row>
    <row r="41" spans="2:18" x14ac:dyDescent="0.35">
      <c r="B41" s="97"/>
      <c r="C41" s="98"/>
      <c r="D41" s="98"/>
      <c r="E41" s="98"/>
      <c r="F41" s="98"/>
      <c r="G41" s="98"/>
      <c r="H41" s="98"/>
      <c r="I41" s="98"/>
      <c r="J41" s="98"/>
      <c r="K41" s="98"/>
      <c r="L41" s="98"/>
      <c r="M41" s="98"/>
      <c r="N41" s="98"/>
      <c r="O41" s="98"/>
      <c r="P41" s="98"/>
      <c r="Q41" s="98"/>
      <c r="R41" s="99"/>
    </row>
    <row r="42" spans="2:18" x14ac:dyDescent="0.35">
      <c r="B42" s="97"/>
      <c r="C42" s="98"/>
      <c r="D42" s="98"/>
      <c r="E42" s="98"/>
      <c r="F42" s="98"/>
      <c r="G42" s="98"/>
      <c r="H42" s="98"/>
      <c r="I42" s="98"/>
      <c r="J42" s="98"/>
      <c r="K42" s="98"/>
      <c r="L42" s="98"/>
      <c r="M42" s="98"/>
      <c r="N42" s="98"/>
      <c r="O42" s="98"/>
      <c r="P42" s="98"/>
      <c r="Q42" s="98"/>
      <c r="R42" s="99"/>
    </row>
    <row r="43" spans="2:18" x14ac:dyDescent="0.35">
      <c r="B43" s="97"/>
      <c r="C43" s="634" t="s">
        <v>19</v>
      </c>
      <c r="D43" s="634"/>
      <c r="E43" s="634"/>
      <c r="F43" s="634"/>
      <c r="G43" s="634"/>
      <c r="H43" s="634"/>
      <c r="I43" s="634"/>
      <c r="J43" s="634"/>
      <c r="K43" s="634"/>
      <c r="L43" s="634"/>
      <c r="M43" s="634"/>
      <c r="N43" s="634"/>
      <c r="O43" s="634"/>
      <c r="P43" s="634"/>
      <c r="Q43" s="634"/>
      <c r="R43" s="635"/>
    </row>
    <row r="44" spans="2:18" x14ac:dyDescent="0.35">
      <c r="B44" s="97"/>
      <c r="C44" s="634"/>
      <c r="D44" s="634"/>
      <c r="E44" s="634"/>
      <c r="F44" s="634"/>
      <c r="G44" s="634"/>
      <c r="H44" s="634"/>
      <c r="I44" s="634"/>
      <c r="J44" s="634"/>
      <c r="K44" s="634"/>
      <c r="L44" s="634"/>
      <c r="M44" s="634"/>
      <c r="N44" s="634"/>
      <c r="O44" s="634"/>
      <c r="P44" s="634"/>
      <c r="Q44" s="634"/>
      <c r="R44" s="635"/>
    </row>
    <row r="45" spans="2:18" x14ac:dyDescent="0.35">
      <c r="B45" s="97"/>
      <c r="C45" s="98"/>
      <c r="D45" s="98"/>
      <c r="E45" s="98"/>
      <c r="F45" s="98"/>
      <c r="G45" s="98"/>
      <c r="H45" s="98"/>
      <c r="I45" s="98"/>
      <c r="J45" s="98"/>
      <c r="K45" s="98"/>
      <c r="L45" s="98"/>
      <c r="M45" s="98"/>
      <c r="N45" s="98"/>
      <c r="O45" s="98"/>
      <c r="P45" s="98"/>
      <c r="Q45" s="98"/>
      <c r="R45" s="99"/>
    </row>
    <row r="46" spans="2:18" x14ac:dyDescent="0.35">
      <c r="B46" s="97"/>
      <c r="C46" s="98"/>
      <c r="D46" s="98"/>
      <c r="E46" s="98"/>
      <c r="F46" s="98"/>
      <c r="G46" s="98"/>
      <c r="H46" s="98"/>
      <c r="I46" s="98"/>
      <c r="J46" s="98"/>
      <c r="K46" s="98"/>
      <c r="L46" s="98"/>
      <c r="M46" s="98"/>
      <c r="N46" s="98"/>
      <c r="O46" s="98"/>
      <c r="P46" s="98"/>
      <c r="Q46" s="98"/>
      <c r="R46" s="99"/>
    </row>
    <row r="47" spans="2:18" ht="19.5" customHeight="1" x14ac:dyDescent="0.35">
      <c r="B47" s="97"/>
      <c r="C47" s="98"/>
      <c r="D47" s="98"/>
      <c r="E47" s="98"/>
      <c r="F47" s="98"/>
      <c r="G47" s="98"/>
      <c r="H47" s="98"/>
      <c r="I47" s="98"/>
      <c r="J47" s="98"/>
      <c r="K47" s="98"/>
      <c r="L47" s="98"/>
      <c r="M47" s="98"/>
      <c r="N47" s="98"/>
      <c r="O47" s="98"/>
      <c r="P47" s="98"/>
      <c r="Q47" s="98"/>
      <c r="R47" s="99"/>
    </row>
    <row r="48" spans="2:18" ht="21.65" customHeight="1" thickBot="1" x14ac:dyDescent="0.4">
      <c r="B48" s="97"/>
      <c r="C48" s="98"/>
      <c r="D48" s="98"/>
      <c r="E48" s="98"/>
      <c r="F48" s="98"/>
      <c r="G48" s="98"/>
      <c r="H48" s="98"/>
      <c r="I48" s="98"/>
      <c r="J48" s="98"/>
      <c r="K48" s="98"/>
      <c r="L48" s="98"/>
      <c r="M48" s="98"/>
      <c r="N48" s="98"/>
      <c r="O48" s="98"/>
      <c r="P48" s="98"/>
      <c r="Q48" s="98"/>
      <c r="R48" s="99"/>
    </row>
    <row r="49" spans="2:18" ht="16" thickBot="1" x14ac:dyDescent="0.4">
      <c r="B49" s="642"/>
      <c r="C49" s="643"/>
      <c r="D49" s="643"/>
      <c r="E49" s="643"/>
      <c r="F49" s="643"/>
      <c r="G49" s="643"/>
      <c r="H49" s="643"/>
      <c r="I49" s="643"/>
      <c r="J49" s="643"/>
      <c r="K49" s="643"/>
      <c r="L49" s="643"/>
      <c r="M49" s="643"/>
      <c r="N49" s="643"/>
      <c r="O49" s="643"/>
      <c r="P49" s="643"/>
      <c r="Q49" s="643"/>
      <c r="R49" s="644"/>
    </row>
    <row r="51" spans="2:18" ht="16" thickBot="1" x14ac:dyDescent="0.4"/>
    <row r="52" spans="2:18" ht="15.75" customHeight="1" x14ac:dyDescent="0.35">
      <c r="B52" s="646" t="s">
        <v>20</v>
      </c>
      <c r="C52" s="647"/>
      <c r="D52" s="647"/>
      <c r="E52" s="647"/>
      <c r="F52" s="647"/>
      <c r="G52" s="647"/>
      <c r="H52" s="647"/>
      <c r="I52" s="647"/>
      <c r="J52" s="647"/>
      <c r="K52" s="647"/>
      <c r="L52" s="647"/>
      <c r="M52" s="647"/>
      <c r="N52" s="647"/>
      <c r="O52" s="647"/>
      <c r="P52" s="647"/>
      <c r="Q52" s="647"/>
      <c r="R52" s="648"/>
    </row>
    <row r="53" spans="2:18" x14ac:dyDescent="0.35">
      <c r="B53" s="649"/>
      <c r="C53" s="650"/>
      <c r="D53" s="650"/>
      <c r="E53" s="650"/>
      <c r="F53" s="650"/>
      <c r="G53" s="650"/>
      <c r="H53" s="650"/>
      <c r="I53" s="650"/>
      <c r="J53" s="650"/>
      <c r="K53" s="650"/>
      <c r="L53" s="650"/>
      <c r="M53" s="650"/>
      <c r="N53" s="650"/>
      <c r="O53" s="650"/>
      <c r="P53" s="650"/>
      <c r="Q53" s="650"/>
      <c r="R53" s="651"/>
    </row>
    <row r="54" spans="2:18" x14ac:dyDescent="0.35">
      <c r="B54" s="649"/>
      <c r="C54" s="650"/>
      <c r="D54" s="650"/>
      <c r="E54" s="650"/>
      <c r="F54" s="650"/>
      <c r="G54" s="650"/>
      <c r="H54" s="650"/>
      <c r="I54" s="650"/>
      <c r="J54" s="650"/>
      <c r="K54" s="650"/>
      <c r="L54" s="650"/>
      <c r="M54" s="650"/>
      <c r="N54" s="650"/>
      <c r="O54" s="650"/>
      <c r="P54" s="650"/>
      <c r="Q54" s="650"/>
      <c r="R54" s="651"/>
    </row>
    <row r="55" spans="2:18" x14ac:dyDescent="0.35">
      <c r="B55" s="649"/>
      <c r="C55" s="650"/>
      <c r="D55" s="650"/>
      <c r="E55" s="650"/>
      <c r="F55" s="650"/>
      <c r="G55" s="650"/>
      <c r="H55" s="650"/>
      <c r="I55" s="650"/>
      <c r="J55" s="650"/>
      <c r="K55" s="650"/>
      <c r="L55" s="650"/>
      <c r="M55" s="650"/>
      <c r="N55" s="650"/>
      <c r="O55" s="650"/>
      <c r="P55" s="650"/>
      <c r="Q55" s="650"/>
      <c r="R55" s="651"/>
    </row>
    <row r="56" spans="2:18" x14ac:dyDescent="0.35">
      <c r="B56" s="649"/>
      <c r="C56" s="650"/>
      <c r="D56" s="650"/>
      <c r="E56" s="650"/>
      <c r="F56" s="650"/>
      <c r="G56" s="650"/>
      <c r="H56" s="650"/>
      <c r="I56" s="650"/>
      <c r="J56" s="650"/>
      <c r="K56" s="650"/>
      <c r="L56" s="650"/>
      <c r="M56" s="650"/>
      <c r="N56" s="650"/>
      <c r="O56" s="650"/>
      <c r="P56" s="650"/>
      <c r="Q56" s="650"/>
      <c r="R56" s="651"/>
    </row>
    <row r="57" spans="2:18" x14ac:dyDescent="0.35">
      <c r="B57" s="649"/>
      <c r="C57" s="650"/>
      <c r="D57" s="650"/>
      <c r="E57" s="650"/>
      <c r="F57" s="650"/>
      <c r="G57" s="650"/>
      <c r="H57" s="650"/>
      <c r="I57" s="650"/>
      <c r="J57" s="650"/>
      <c r="K57" s="650"/>
      <c r="L57" s="650"/>
      <c r="M57" s="650"/>
      <c r="N57" s="650"/>
      <c r="O57" s="650"/>
      <c r="P57" s="650"/>
      <c r="Q57" s="650"/>
      <c r="R57" s="651"/>
    </row>
    <row r="58" spans="2:18" x14ac:dyDescent="0.35">
      <c r="B58" s="649"/>
      <c r="C58" s="650"/>
      <c r="D58" s="650"/>
      <c r="E58" s="650"/>
      <c r="F58" s="650"/>
      <c r="G58" s="650"/>
      <c r="H58" s="650"/>
      <c r="I58" s="650"/>
      <c r="J58" s="650"/>
      <c r="K58" s="650"/>
      <c r="L58" s="650"/>
      <c r="M58" s="650"/>
      <c r="N58" s="650"/>
      <c r="O58" s="650"/>
      <c r="P58" s="650"/>
      <c r="Q58" s="650"/>
      <c r="R58" s="651"/>
    </row>
    <row r="59" spans="2:18" x14ac:dyDescent="0.35">
      <c r="B59" s="649"/>
      <c r="C59" s="650"/>
      <c r="D59" s="650"/>
      <c r="E59" s="650"/>
      <c r="F59" s="650"/>
      <c r="G59" s="650"/>
      <c r="H59" s="650"/>
      <c r="I59" s="650"/>
      <c r="J59" s="650"/>
      <c r="K59" s="650"/>
      <c r="L59" s="650"/>
      <c r="M59" s="650"/>
      <c r="N59" s="650"/>
      <c r="O59" s="650"/>
      <c r="P59" s="650"/>
      <c r="Q59" s="650"/>
      <c r="R59" s="651"/>
    </row>
    <row r="60" spans="2:18" x14ac:dyDescent="0.35">
      <c r="B60" s="649"/>
      <c r="C60" s="650"/>
      <c r="D60" s="650"/>
      <c r="E60" s="650"/>
      <c r="F60" s="650"/>
      <c r="G60" s="650"/>
      <c r="H60" s="650"/>
      <c r="I60" s="650"/>
      <c r="J60" s="650"/>
      <c r="K60" s="650"/>
      <c r="L60" s="650"/>
      <c r="M60" s="650"/>
      <c r="N60" s="650"/>
      <c r="O60" s="650"/>
      <c r="P60" s="650"/>
      <c r="Q60" s="650"/>
      <c r="R60" s="651"/>
    </row>
    <row r="61" spans="2:18" x14ac:dyDescent="0.35">
      <c r="B61" s="649"/>
      <c r="C61" s="650"/>
      <c r="D61" s="650"/>
      <c r="E61" s="650"/>
      <c r="F61" s="650"/>
      <c r="G61" s="650"/>
      <c r="H61" s="650"/>
      <c r="I61" s="650"/>
      <c r="J61" s="650"/>
      <c r="K61" s="650"/>
      <c r="L61" s="650"/>
      <c r="M61" s="650"/>
      <c r="N61" s="650"/>
      <c r="O61" s="650"/>
      <c r="P61" s="650"/>
      <c r="Q61" s="650"/>
      <c r="R61" s="651"/>
    </row>
    <row r="62" spans="2:18" x14ac:dyDescent="0.35">
      <c r="B62" s="649"/>
      <c r="C62" s="650"/>
      <c r="D62" s="650"/>
      <c r="E62" s="650"/>
      <c r="F62" s="650"/>
      <c r="G62" s="650"/>
      <c r="H62" s="650"/>
      <c r="I62" s="650"/>
      <c r="J62" s="650"/>
      <c r="K62" s="650"/>
      <c r="L62" s="650"/>
      <c r="M62" s="650"/>
      <c r="N62" s="650"/>
      <c r="O62" s="650"/>
      <c r="P62" s="650"/>
      <c r="Q62" s="650"/>
      <c r="R62" s="651"/>
    </row>
    <row r="63" spans="2:18" x14ac:dyDescent="0.35">
      <c r="B63" s="649"/>
      <c r="C63" s="650"/>
      <c r="D63" s="650"/>
      <c r="E63" s="650"/>
      <c r="F63" s="650"/>
      <c r="G63" s="650"/>
      <c r="H63" s="650"/>
      <c r="I63" s="650"/>
      <c r="J63" s="650"/>
      <c r="K63" s="650"/>
      <c r="L63" s="650"/>
      <c r="M63" s="650"/>
      <c r="N63" s="650"/>
      <c r="O63" s="650"/>
      <c r="P63" s="650"/>
      <c r="Q63" s="650"/>
      <c r="R63" s="651"/>
    </row>
    <row r="64" spans="2:18" x14ac:dyDescent="0.35">
      <c r="B64" s="649"/>
      <c r="C64" s="650"/>
      <c r="D64" s="650"/>
      <c r="E64" s="650"/>
      <c r="F64" s="650"/>
      <c r="G64" s="650"/>
      <c r="H64" s="650"/>
      <c r="I64" s="650"/>
      <c r="J64" s="650"/>
      <c r="K64" s="650"/>
      <c r="L64" s="650"/>
      <c r="M64" s="650"/>
      <c r="N64" s="650"/>
      <c r="O64" s="650"/>
      <c r="P64" s="650"/>
      <c r="Q64" s="650"/>
      <c r="R64" s="651"/>
    </row>
    <row r="65" spans="2:18" x14ac:dyDescent="0.35">
      <c r="B65" s="649"/>
      <c r="C65" s="650"/>
      <c r="D65" s="650"/>
      <c r="E65" s="650"/>
      <c r="F65" s="650"/>
      <c r="G65" s="650"/>
      <c r="H65" s="650"/>
      <c r="I65" s="650"/>
      <c r="J65" s="650"/>
      <c r="K65" s="650"/>
      <c r="L65" s="650"/>
      <c r="M65" s="650"/>
      <c r="N65" s="650"/>
      <c r="O65" s="650"/>
      <c r="P65" s="650"/>
      <c r="Q65" s="650"/>
      <c r="R65" s="651"/>
    </row>
    <row r="66" spans="2:18" x14ac:dyDescent="0.35">
      <c r="B66" s="649"/>
      <c r="C66" s="650"/>
      <c r="D66" s="650"/>
      <c r="E66" s="650"/>
      <c r="F66" s="650"/>
      <c r="G66" s="650"/>
      <c r="H66" s="650"/>
      <c r="I66" s="650"/>
      <c r="J66" s="650"/>
      <c r="K66" s="650"/>
      <c r="L66" s="650"/>
      <c r="M66" s="650"/>
      <c r="N66" s="650"/>
      <c r="O66" s="650"/>
      <c r="P66" s="650"/>
      <c r="Q66" s="650"/>
      <c r="R66" s="651"/>
    </row>
    <row r="67" spans="2:18" x14ac:dyDescent="0.35">
      <c r="B67" s="649"/>
      <c r="C67" s="650"/>
      <c r="D67" s="650"/>
      <c r="E67" s="650"/>
      <c r="F67" s="650"/>
      <c r="G67" s="650"/>
      <c r="H67" s="650"/>
      <c r="I67" s="650"/>
      <c r="J67" s="650"/>
      <c r="K67" s="650"/>
      <c r="L67" s="650"/>
      <c r="M67" s="650"/>
      <c r="N67" s="650"/>
      <c r="O67" s="650"/>
      <c r="P67" s="650"/>
      <c r="Q67" s="650"/>
      <c r="R67" s="651"/>
    </row>
    <row r="68" spans="2:18" x14ac:dyDescent="0.35">
      <c r="B68" s="649"/>
      <c r="C68" s="650"/>
      <c r="D68" s="650"/>
      <c r="E68" s="650"/>
      <c r="F68" s="650"/>
      <c r="G68" s="650"/>
      <c r="H68" s="650"/>
      <c r="I68" s="650"/>
      <c r="J68" s="650"/>
      <c r="K68" s="650"/>
      <c r="L68" s="650"/>
      <c r="M68" s="650"/>
      <c r="N68" s="650"/>
      <c r="O68" s="650"/>
      <c r="P68" s="650"/>
      <c r="Q68" s="650"/>
      <c r="R68" s="651"/>
    </row>
    <row r="69" spans="2:18" x14ac:dyDescent="0.35">
      <c r="B69" s="649"/>
      <c r="C69" s="650"/>
      <c r="D69" s="650"/>
      <c r="E69" s="650"/>
      <c r="F69" s="650"/>
      <c r="G69" s="650"/>
      <c r="H69" s="650"/>
      <c r="I69" s="650"/>
      <c r="J69" s="650"/>
      <c r="K69" s="650"/>
      <c r="L69" s="650"/>
      <c r="M69" s="650"/>
      <c r="N69" s="650"/>
      <c r="O69" s="650"/>
      <c r="P69" s="650"/>
      <c r="Q69" s="650"/>
      <c r="R69" s="651"/>
    </row>
    <row r="70" spans="2:18" x14ac:dyDescent="0.35">
      <c r="B70" s="649"/>
      <c r="C70" s="650"/>
      <c r="D70" s="650"/>
      <c r="E70" s="650"/>
      <c r="F70" s="650"/>
      <c r="G70" s="650"/>
      <c r="H70" s="650"/>
      <c r="I70" s="650"/>
      <c r="J70" s="650"/>
      <c r="K70" s="650"/>
      <c r="L70" s="650"/>
      <c r="M70" s="650"/>
      <c r="N70" s="650"/>
      <c r="O70" s="650"/>
      <c r="P70" s="650"/>
      <c r="Q70" s="650"/>
      <c r="R70" s="651"/>
    </row>
    <row r="71" spans="2:18" ht="61.5" customHeight="1" thickBot="1" x14ac:dyDescent="0.4">
      <c r="B71" s="652"/>
      <c r="C71" s="653"/>
      <c r="D71" s="653"/>
      <c r="E71" s="653"/>
      <c r="F71" s="653"/>
      <c r="G71" s="653"/>
      <c r="H71" s="653"/>
      <c r="I71" s="653"/>
      <c r="J71" s="653"/>
      <c r="K71" s="653"/>
      <c r="L71" s="653"/>
      <c r="M71" s="653"/>
      <c r="N71" s="653"/>
      <c r="O71" s="653"/>
      <c r="P71" s="653"/>
      <c r="Q71" s="653"/>
      <c r="R71" s="654"/>
    </row>
    <row r="72" spans="2:18" ht="16" thickBot="1" x14ac:dyDescent="0.4">
      <c r="B72" s="642"/>
      <c r="C72" s="643"/>
      <c r="D72" s="643"/>
      <c r="E72" s="643"/>
      <c r="F72" s="643"/>
      <c r="G72" s="643"/>
      <c r="H72" s="643"/>
      <c r="I72" s="643"/>
      <c r="J72" s="643"/>
      <c r="K72" s="643"/>
      <c r="L72" s="643"/>
      <c r="M72" s="643"/>
      <c r="N72" s="643"/>
      <c r="O72" s="643"/>
      <c r="P72" s="643"/>
      <c r="Q72" s="643"/>
      <c r="R72" s="644"/>
    </row>
  </sheetData>
  <sheetProtection algorithmName="SHA-512" hashValue="/h9XTViiwoFPA0Wy0/sFMzYcgPD1SMCkvy9NRnGsycdNsG29ZD2Rw8RLj+0F6oxS2M2id9VFuA7zDH/RHigWIQ==" saltValue="3vAGEN4To3BVdGNNQoqkvQ==" spinCount="100000" sheet="1" objects="1" scenarios="1"/>
  <mergeCells count="17">
    <mergeCell ref="B49:R49"/>
    <mergeCell ref="C3:O3"/>
    <mergeCell ref="C43:R44"/>
    <mergeCell ref="B72:R72"/>
    <mergeCell ref="B52:R71"/>
    <mergeCell ref="C17:R18"/>
    <mergeCell ref="B2:R2"/>
    <mergeCell ref="C29:R30"/>
    <mergeCell ref="C36:R37"/>
    <mergeCell ref="C6:R6"/>
    <mergeCell ref="C9:L9"/>
    <mergeCell ref="C8:R8"/>
    <mergeCell ref="G7:I7"/>
    <mergeCell ref="K7:M7"/>
    <mergeCell ref="O7:Q7"/>
    <mergeCell ref="C10:Q11"/>
    <mergeCell ref="C7:F7"/>
  </mergeCells>
  <dataValidations count="1">
    <dataValidation type="custom" allowBlank="1" showInputMessage="1" showErrorMessage="1" sqref="R9:R11 C9:Q9" xr:uid="{10DD5618-06EE-4507-9CD6-F2E3D37CE9B3}">
      <formula1>"&lt;0&gt;0"</formula1>
    </dataValidation>
  </dataValidations>
  <hyperlinks>
    <hyperlink ref="C7" r:id="rId1" xr:uid="{23E04996-A3AE-4CC6-8094-A59D6513BD44}"/>
  </hyperlinks>
  <pageMargins left="0.70866141732283472" right="0.70866141732283472" top="0.74803149606299213" bottom="0.74803149606299213" header="0.31496062992125984" footer="0.31496062992125984"/>
  <pageSetup paperSize="9" scale="55" orientation="portrait" horizontalDpi="4294967293"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2DAE76"/>
    <pageSetUpPr fitToPage="1"/>
  </sheetPr>
  <dimension ref="A1:BR138"/>
  <sheetViews>
    <sheetView showGridLines="0" tabSelected="1" zoomScale="80" zoomScaleNormal="80" zoomScaleSheetLayoutView="80" workbookViewId="0">
      <selection activeCell="W3" sqref="W1:AQ1048576"/>
    </sheetView>
  </sheetViews>
  <sheetFormatPr defaultColWidth="9.1796875" defaultRowHeight="13" outlineLevelRow="1" x14ac:dyDescent="0.3"/>
  <cols>
    <col min="1" max="1" width="4.453125" style="17" customWidth="1"/>
    <col min="2" max="2" width="21.81640625" style="18" customWidth="1"/>
    <col min="3" max="3" width="16.1796875" style="18" customWidth="1"/>
    <col min="4" max="4" width="15.54296875" style="19" customWidth="1"/>
    <col min="5" max="6" width="12.1796875" style="20" customWidth="1"/>
    <col min="7" max="7" width="11.453125" style="20" customWidth="1"/>
    <col min="8" max="8" width="19.453125" style="21" customWidth="1"/>
    <col min="9" max="9" width="16" style="21" customWidth="1"/>
    <col min="10" max="10" width="21.54296875" style="21" customWidth="1"/>
    <col min="11" max="11" width="18.1796875" style="22" customWidth="1"/>
    <col min="12" max="12" width="19" style="22" customWidth="1"/>
    <col min="13" max="13" width="15.54296875" style="23" customWidth="1"/>
    <col min="14" max="14" width="16.453125" style="23" customWidth="1"/>
    <col min="15" max="15" width="18.453125" style="24" customWidth="1"/>
    <col min="16" max="17" width="15.54296875" style="24" customWidth="1"/>
    <col min="18" max="18" width="13.453125" style="17" hidden="1" customWidth="1"/>
    <col min="19" max="19" width="15.54296875" style="24" customWidth="1"/>
    <col min="20" max="20" width="15.54296875" style="24" hidden="1" customWidth="1"/>
    <col min="21" max="21" width="15.54296875" style="24" customWidth="1"/>
    <col min="22" max="22" width="16" style="24" customWidth="1"/>
    <col min="23" max="23" width="9.1796875" style="24" hidden="1" customWidth="1"/>
    <col min="24" max="24" width="13.54296875" style="24" hidden="1" customWidth="1"/>
    <col min="25" max="25" width="17.54296875" style="24" hidden="1" customWidth="1"/>
    <col min="26" max="26" width="6.453125" style="24" hidden="1" customWidth="1"/>
    <col min="27" max="27" width="9.1796875" style="24" hidden="1" customWidth="1"/>
    <col min="28" max="28" width="5.54296875" style="24" hidden="1" customWidth="1"/>
    <col min="29" max="32" width="16" style="24" hidden="1" customWidth="1"/>
    <col min="33" max="36" width="15.54296875" style="24" hidden="1" customWidth="1"/>
    <col min="37" max="37" width="17.453125" style="24" hidden="1" customWidth="1"/>
    <col min="38" max="38" width="21.453125" style="24" hidden="1" customWidth="1"/>
    <col min="39" max="43" width="9.1796875" style="24" hidden="1" customWidth="1"/>
    <col min="44" max="63" width="9.1796875" style="24" customWidth="1"/>
    <col min="64" max="16384" width="9.1796875" style="24"/>
  </cols>
  <sheetData>
    <row r="1" spans="1:43" ht="13.5" thickBot="1" x14ac:dyDescent="0.35">
      <c r="R1" s="17" t="s">
        <v>151</v>
      </c>
      <c r="T1" s="24" t="s">
        <v>152</v>
      </c>
    </row>
    <row r="2" spans="1:43" ht="13.5" customHeight="1" thickBot="1" x14ac:dyDescent="0.35">
      <c r="A2" s="487"/>
      <c r="B2" s="488"/>
      <c r="C2" s="488"/>
      <c r="D2" s="489"/>
      <c r="E2" s="490"/>
      <c r="F2" s="490"/>
      <c r="G2" s="490"/>
      <c r="H2" s="491"/>
      <c r="I2" s="491"/>
      <c r="J2" s="491"/>
      <c r="K2" s="492"/>
      <c r="L2" s="492"/>
      <c r="M2" s="493"/>
      <c r="N2" s="493"/>
      <c r="O2" s="494"/>
      <c r="P2" s="494"/>
      <c r="Q2" s="494"/>
      <c r="R2" s="495"/>
      <c r="S2" s="494"/>
      <c r="T2" s="494"/>
      <c r="U2" s="494"/>
      <c r="V2" s="496"/>
      <c r="AQ2" s="24" t="s">
        <v>153</v>
      </c>
    </row>
    <row r="3" spans="1:43" ht="26.25" customHeight="1" x14ac:dyDescent="0.35">
      <c r="A3" s="497"/>
      <c r="B3" s="605" t="s">
        <v>154</v>
      </c>
      <c r="C3" s="606"/>
      <c r="D3" s="601"/>
      <c r="E3" s="601"/>
      <c r="F3" s="601"/>
      <c r="G3" s="602"/>
      <c r="H3" s="498"/>
      <c r="I3" s="499"/>
      <c r="J3" s="500" t="s">
        <v>155</v>
      </c>
      <c r="K3" s="499"/>
      <c r="L3" s="501"/>
      <c r="M3" s="502"/>
      <c r="N3" s="132" t="s">
        <v>156</v>
      </c>
      <c r="O3" s="133"/>
      <c r="P3" s="503"/>
      <c r="Q3" s="504"/>
      <c r="R3" s="505" t="str">
        <f>IF($D$4="Recycling Fund","Client Additional Fund:","")</f>
        <v/>
      </c>
      <c r="S3" s="506"/>
      <c r="T3" s="506"/>
      <c r="U3" s="609"/>
      <c r="V3" s="610"/>
      <c r="W3" s="11"/>
      <c r="X3" s="11"/>
      <c r="AQ3" s="24" t="s">
        <v>153</v>
      </c>
    </row>
    <row r="4" spans="1:43" ht="26.25" customHeight="1" thickBot="1" x14ac:dyDescent="0.4">
      <c r="A4" s="507"/>
      <c r="B4" s="628" t="s">
        <v>157</v>
      </c>
      <c r="C4" s="629"/>
      <c r="D4" s="622"/>
      <c r="E4" s="622"/>
      <c r="F4" s="622"/>
      <c r="G4" s="623"/>
      <c r="H4" s="508"/>
      <c r="I4" s="499"/>
      <c r="J4" s="570" t="s">
        <v>562</v>
      </c>
      <c r="K4" s="368"/>
      <c r="L4" s="501"/>
      <c r="M4" s="502"/>
      <c r="N4" s="113" t="s">
        <v>159</v>
      </c>
      <c r="O4" s="477" t="str">
        <f>IF(D4="SEELS England","No payback criteria - loan repaid in 5 Years",IF($D$4="","",'Extra look-up'!F80&amp;" years"))</f>
        <v/>
      </c>
      <c r="P4" s="509"/>
      <c r="Q4" s="345"/>
      <c r="R4" s="510" t="str">
        <f>IF($D$4="Recycling Fund","10 years","")</f>
        <v/>
      </c>
      <c r="S4" s="506"/>
      <c r="T4" s="506"/>
      <c r="U4" s="609"/>
      <c r="V4" s="610"/>
      <c r="W4" s="11"/>
      <c r="X4" s="11"/>
      <c r="AQ4" s="24" t="s">
        <v>153</v>
      </c>
    </row>
    <row r="5" spans="1:43" ht="26.25" customHeight="1" x14ac:dyDescent="0.35">
      <c r="A5" s="507"/>
      <c r="B5" s="511"/>
      <c r="C5" s="511"/>
      <c r="D5" s="511"/>
      <c r="E5" s="511"/>
      <c r="F5" s="511"/>
      <c r="G5" s="511"/>
      <c r="H5" s="508"/>
      <c r="I5" s="511"/>
      <c r="J5" s="369" t="str">
        <f ca="1">"© Salix Finance "&amp;YEAR(NOW())</f>
        <v>© Salix Finance 2026</v>
      </c>
      <c r="K5" s="511"/>
      <c r="L5" s="501"/>
      <c r="M5" s="502"/>
      <c r="N5" s="113" t="s">
        <v>160</v>
      </c>
      <c r="O5" s="114" t="str">
        <f>IF($D$4="","","£"&amp;'Extra look-up'!G80)</f>
        <v/>
      </c>
      <c r="P5" s="509"/>
      <c r="Q5" s="345"/>
      <c r="R5" s="510" t="str">
        <f>IF($D$4="Recycling Fund","£400","")</f>
        <v/>
      </c>
      <c r="S5" s="506"/>
      <c r="T5" s="506"/>
      <c r="U5" s="609"/>
      <c r="V5" s="610"/>
      <c r="W5" s="11"/>
      <c r="X5" s="11"/>
      <c r="AQ5" s="24" t="s">
        <v>153</v>
      </c>
    </row>
    <row r="6" spans="1:43" ht="26.25" customHeight="1" x14ac:dyDescent="0.35">
      <c r="A6" s="512"/>
      <c r="B6" s="511"/>
      <c r="C6" s="511"/>
      <c r="D6" s="511"/>
      <c r="E6" s="511"/>
      <c r="F6" s="511"/>
      <c r="G6" s="511"/>
      <c r="H6" s="624"/>
      <c r="I6" s="624"/>
      <c r="J6" s="339"/>
      <c r="K6" s="506"/>
      <c r="L6" s="501"/>
      <c r="M6" s="502"/>
      <c r="N6" s="620" t="str">
        <f>IF(OR(O12&gt;=100000,O13&gt;=100000,O14&gt;=100000,O15&gt;=100000,O16&gt;=100000,O17&gt;=100000,O18&gt;=100000,O19&gt;=100000,O20&gt;=100000,O61&gt;=100000),"Please Complete Business Case Information in next tab","")</f>
        <v/>
      </c>
      <c r="O6" s="620"/>
      <c r="P6" s="506"/>
      <c r="Q6" s="506"/>
      <c r="R6" s="506"/>
      <c r="S6" s="506"/>
      <c r="T6" s="506"/>
      <c r="U6" s="609"/>
      <c r="V6" s="610"/>
      <c r="W6" s="11"/>
      <c r="X6" s="11"/>
      <c r="AQ6" s="24" t="s">
        <v>153</v>
      </c>
    </row>
    <row r="7" spans="1:43" ht="14.25" customHeight="1" thickBot="1" x14ac:dyDescent="0.35">
      <c r="A7" s="513"/>
      <c r="B7" s="484"/>
      <c r="C7" s="363"/>
      <c r="D7" s="364"/>
      <c r="E7" s="365"/>
      <c r="F7" s="365"/>
      <c r="G7" s="365"/>
      <c r="H7" s="366"/>
      <c r="I7" s="367"/>
      <c r="J7" s="367"/>
      <c r="K7" s="370"/>
      <c r="L7" s="371"/>
      <c r="M7" s="502"/>
      <c r="N7" s="621"/>
      <c r="O7" s="621"/>
      <c r="P7" s="506"/>
      <c r="Q7" s="506"/>
      <c r="R7" s="506"/>
      <c r="S7" s="506"/>
      <c r="T7" s="506"/>
      <c r="U7" s="609"/>
      <c r="V7" s="610"/>
      <c r="W7" s="11"/>
      <c r="X7" s="11"/>
      <c r="AQ7" s="24" t="s">
        <v>153</v>
      </c>
    </row>
    <row r="8" spans="1:43" s="25" customFormat="1" ht="60.75" customHeight="1" thickBot="1" x14ac:dyDescent="0.4">
      <c r="A8" s="514"/>
      <c r="B8" s="138" t="s">
        <v>161</v>
      </c>
      <c r="C8" s="170" t="s">
        <v>162</v>
      </c>
      <c r="D8" s="533" t="s">
        <v>163</v>
      </c>
      <c r="E8" s="135" t="s">
        <v>164</v>
      </c>
      <c r="F8" s="532" t="s">
        <v>165</v>
      </c>
      <c r="G8" s="598" t="s">
        <v>166</v>
      </c>
      <c r="H8" s="599"/>
      <c r="I8" s="599"/>
      <c r="J8" s="599"/>
      <c r="K8" s="600"/>
      <c r="L8" s="613" t="s">
        <v>167</v>
      </c>
      <c r="M8" s="600"/>
      <c r="N8" s="372"/>
      <c r="O8" s="506"/>
      <c r="P8" s="506"/>
      <c r="Q8" s="515"/>
      <c r="R8" s="515"/>
      <c r="S8" s="515"/>
      <c r="T8" s="515"/>
      <c r="U8" s="515"/>
      <c r="V8" s="516"/>
      <c r="W8" s="6"/>
      <c r="X8" s="6"/>
      <c r="Y8" s="6"/>
      <c r="Z8" s="5"/>
      <c r="AA8" s="5"/>
      <c r="AB8" s="6"/>
      <c r="AC8" s="6"/>
      <c r="AD8" s="6"/>
      <c r="AE8" s="6"/>
      <c r="AF8" s="6"/>
      <c r="AG8" s="6"/>
      <c r="AH8" s="6"/>
      <c r="AI8" s="6"/>
      <c r="AJ8" s="6"/>
      <c r="AK8" s="6"/>
      <c r="AL8" s="6"/>
      <c r="AM8" s="6"/>
      <c r="AN8" s="6"/>
      <c r="AO8" s="6"/>
      <c r="AP8" s="6"/>
      <c r="AQ8" s="24" t="s">
        <v>153</v>
      </c>
    </row>
    <row r="9" spans="1:43" s="25" customFormat="1" ht="43.5" customHeight="1" thickBot="1" x14ac:dyDescent="0.4">
      <c r="A9" s="514"/>
      <c r="B9" s="485"/>
      <c r="C9" s="567"/>
      <c r="D9" s="564"/>
      <c r="E9" s="565"/>
      <c r="F9" s="566"/>
      <c r="G9" s="625"/>
      <c r="H9" s="626"/>
      <c r="I9" s="626"/>
      <c r="J9" s="626"/>
      <c r="K9" s="627"/>
      <c r="L9" s="611" t="str">
        <f>IF(AND(C9="",D9="",E9="",F9="",G9=""),"",IF($F$9="","Enter site life","OK"))</f>
        <v/>
      </c>
      <c r="M9" s="612"/>
      <c r="N9" s="294"/>
      <c r="O9" s="506"/>
      <c r="P9" s="506"/>
      <c r="Q9" s="515"/>
      <c r="R9" s="515"/>
      <c r="S9" s="515"/>
      <c r="T9" s="515"/>
      <c r="U9" s="515"/>
      <c r="V9" s="516"/>
      <c r="W9" s="6"/>
      <c r="X9" s="6"/>
      <c r="Y9" s="6"/>
      <c r="Z9" s="5"/>
      <c r="AA9" s="5"/>
      <c r="AB9" s="6"/>
      <c r="AC9" s="6"/>
      <c r="AD9" s="6"/>
      <c r="AE9" s="6"/>
      <c r="AF9" s="6"/>
      <c r="AG9" s="6"/>
      <c r="AH9" s="6"/>
      <c r="AI9" s="6"/>
      <c r="AJ9" s="6"/>
      <c r="AK9" s="6"/>
      <c r="AL9" s="6"/>
      <c r="AM9" s="6"/>
      <c r="AN9" s="6"/>
      <c r="AO9" s="6"/>
      <c r="AP9" s="6"/>
      <c r="AQ9" s="24" t="s">
        <v>153</v>
      </c>
    </row>
    <row r="10" spans="1:43" s="25" customFormat="1" ht="15" customHeight="1" thickBot="1" x14ac:dyDescent="0.35">
      <c r="A10" s="517"/>
      <c r="B10" s="607"/>
      <c r="C10" s="607"/>
      <c r="D10" s="607"/>
      <c r="E10" s="607"/>
      <c r="F10" s="607"/>
      <c r="G10" s="607"/>
      <c r="H10" s="607"/>
      <c r="I10" s="607"/>
      <c r="J10" s="607"/>
      <c r="K10" s="607"/>
      <c r="L10" s="607"/>
      <c r="M10" s="607"/>
      <c r="N10" s="607"/>
      <c r="O10" s="607"/>
      <c r="P10" s="607"/>
      <c r="Q10" s="607"/>
      <c r="R10" s="607"/>
      <c r="S10" s="607"/>
      <c r="T10" s="607"/>
      <c r="U10" s="607"/>
      <c r="V10" s="608"/>
      <c r="W10" s="6"/>
      <c r="X10" s="6"/>
      <c r="Y10" s="5"/>
      <c r="Z10" s="5"/>
      <c r="AA10" s="6"/>
      <c r="AB10" s="6"/>
      <c r="AC10" s="6"/>
      <c r="AD10" s="6"/>
      <c r="AE10" s="6"/>
      <c r="AF10" s="6"/>
      <c r="AG10" s="6"/>
      <c r="AH10" s="6"/>
      <c r="AI10" s="6"/>
      <c r="AJ10" s="6"/>
      <c r="AK10" s="6"/>
      <c r="AL10" s="6"/>
      <c r="AM10" s="6"/>
      <c r="AN10" s="6"/>
      <c r="AO10" s="6"/>
      <c r="AQ10" s="24" t="s">
        <v>153</v>
      </c>
    </row>
    <row r="11" spans="1:43" s="25" customFormat="1" ht="60.75" customHeight="1" thickBot="1" x14ac:dyDescent="0.35">
      <c r="A11" s="486"/>
      <c r="B11" s="343" t="s">
        <v>168</v>
      </c>
      <c r="C11" s="534" t="s">
        <v>169</v>
      </c>
      <c r="D11" s="134" t="s">
        <v>170</v>
      </c>
      <c r="E11" s="136" t="s">
        <v>171</v>
      </c>
      <c r="F11" s="137" t="s">
        <v>172</v>
      </c>
      <c r="G11" s="138" t="s">
        <v>173</v>
      </c>
      <c r="H11" s="344" t="s">
        <v>23</v>
      </c>
      <c r="I11" s="598" t="s">
        <v>174</v>
      </c>
      <c r="J11" s="630"/>
      <c r="K11" s="136" t="s">
        <v>175</v>
      </c>
      <c r="L11" s="139" t="s">
        <v>176</v>
      </c>
      <c r="M11" s="292" t="s">
        <v>177</v>
      </c>
      <c r="N11" s="293" t="s">
        <v>178</v>
      </c>
      <c r="O11" s="140" t="s">
        <v>179</v>
      </c>
      <c r="P11" s="276" t="s">
        <v>180</v>
      </c>
      <c r="Q11" s="134" t="s">
        <v>181</v>
      </c>
      <c r="R11" s="134" t="s">
        <v>182</v>
      </c>
      <c r="S11" s="141" t="s">
        <v>183</v>
      </c>
      <c r="T11" s="134" t="s">
        <v>184</v>
      </c>
      <c r="U11" s="142" t="s">
        <v>185</v>
      </c>
      <c r="V11" s="557" t="s">
        <v>167</v>
      </c>
      <c r="W11" s="527" t="s">
        <v>186</v>
      </c>
      <c r="X11" s="526" t="s">
        <v>159</v>
      </c>
      <c r="Y11" s="528" t="s">
        <v>187</v>
      </c>
      <c r="Z11" s="518"/>
      <c r="AA11" s="518"/>
      <c r="AB11" s="518" t="s">
        <v>188</v>
      </c>
      <c r="AC11" s="537" t="s">
        <v>189</v>
      </c>
      <c r="AD11" s="541" t="s">
        <v>190</v>
      </c>
      <c r="AE11" s="6"/>
      <c r="AF11" s="6"/>
      <c r="AG11" s="9"/>
      <c r="AH11" s="9"/>
      <c r="AI11" s="9"/>
      <c r="AJ11" s="42" t="s">
        <v>159</v>
      </c>
      <c r="AK11" s="42" t="s">
        <v>191</v>
      </c>
      <c r="AL11" s="33"/>
      <c r="AM11" s="7"/>
      <c r="AP11" s="6"/>
      <c r="AQ11" s="24" t="s">
        <v>153</v>
      </c>
    </row>
    <row r="12" spans="1:43" s="25" customFormat="1" ht="34" customHeight="1" x14ac:dyDescent="0.3">
      <c r="A12" s="167">
        <v>1</v>
      </c>
      <c r="B12" s="115"/>
      <c r="C12" s="124"/>
      <c r="D12" s="116"/>
      <c r="E12" s="117"/>
      <c r="F12" s="118"/>
      <c r="G12" s="571" t="str">
        <f>IFERROR(((F12/E12)^(1/X12))-1,"")</f>
        <v/>
      </c>
      <c r="H12" s="327"/>
      <c r="I12" s="603"/>
      <c r="J12" s="604"/>
      <c r="K12" s="568"/>
      <c r="L12" s="569"/>
      <c r="M12" s="144" t="str">
        <f>IF(K12="","",K12-L12)</f>
        <v/>
      </c>
      <c r="N12" s="145">
        <f>IFERROR(M12/K12,0)</f>
        <v>0</v>
      </c>
      <c r="O12" s="121"/>
      <c r="P12" s="150" t="str">
        <f t="shared" ref="P12:P43" si="0">IF(OR(F12="",M12=""),"",M12*F12/100)</f>
        <v/>
      </c>
      <c r="Q12" s="151" t="str">
        <f t="shared" ref="Q12:Q61" si="1">IF(OR(P12&lt;=0,P12=""),"",O12/P12)</f>
        <v/>
      </c>
      <c r="R12" s="152" t="str">
        <f t="shared" ref="R12:R43" si="2">IFERROR(IF(D12="Electricity",AD12,HLOOKUP(D12,$AH$100:$AQ$138,2,FALSE)),"")</f>
        <v/>
      </c>
      <c r="S12" s="153" t="str">
        <f>IF(OR(D12="",M12="",R12=""),"",M12*R12/1000)</f>
        <v/>
      </c>
      <c r="T12" s="153" t="str">
        <f>IF(S12="","",W12*S12)</f>
        <v/>
      </c>
      <c r="U12" s="154" t="str">
        <f>IF(ISERROR(O12/T12),"",O12/T12)</f>
        <v/>
      </c>
      <c r="V12" s="558" t="str">
        <f ca="1">IF('Extra look-up'!$H6="Work Type","Check Work Type",IF(AND(D12="",F12="",H12="",I12="",L12="",M12=""),"",IF(OR(D12="",F12="",H12="",I12="",L12="",M12="",$L$9&lt;&gt;"OK"),"Check all fields completed correctly",IF(AND(D12="",OR(F12&lt;&gt;"",H12&lt;&gt;"",I12&lt;&gt;"",L12&lt;&gt;"")),"Check all fields completed correctly","OK"))))</f>
        <v/>
      </c>
      <c r="W12" s="520" t="str">
        <f>IF(I12="","",IF(VLOOKUP(I12,'Eligible Technologies'!$D$7:$G$76,4,FALSE)&lt;$F$9,VLOOKUP(I12,'Eligible Technologies'!$D$7:$G$76,4,FALSE),$F$9))</f>
        <v/>
      </c>
      <c r="X12" s="521" t="str">
        <f t="shared" ref="X12:X17" si="3">IF(Q12="","",ROUNDUP($Q$65,0))</f>
        <v/>
      </c>
      <c r="Y12" s="521">
        <f ca="1">IF(V12="",0,1)</f>
        <v>0</v>
      </c>
      <c r="Z12" s="521" t="str">
        <f>'Extra look-up'!F6</f>
        <v/>
      </c>
      <c r="AA12" s="521" t="str">
        <f ca="1">'Extra look-up'!H6</f>
        <v>OK</v>
      </c>
      <c r="AB12" s="521">
        <f ca="1">IF(AND(V12&lt;&gt;"OK",V12&lt;&gt;""),51,1)</f>
        <v>1</v>
      </c>
      <c r="AC12" s="538" t="e">
        <f>ROUNDUP(W12,0)+100</f>
        <v>#VALUE!</v>
      </c>
      <c r="AD12" s="542">
        <f>$AH$101</f>
        <v>0.1953</v>
      </c>
      <c r="AE12" s="535"/>
      <c r="AF12" s="535"/>
      <c r="AG12" s="9"/>
      <c r="AH12" s="9"/>
      <c r="AI12" s="9"/>
      <c r="AJ12" s="42" t="str">
        <f>IF(OR($D$5="Higher Education Institute",$D$4="Scotland",$D$4="Wales",$D$4="Northern Ireland"),8,IF(OR($D$5="Local Authority",$D$5="NHS",$D$5="Emergency Services",$D$5="Maintained School (Local Authority)"),10,""))</f>
        <v/>
      </c>
      <c r="AK12" s="42" t="str">
        <f>IF($D$4="Scotland",250,IF($D$4="Northern Ireland",200,IF(OR($D$4="Wales",$D$5="Higher Education Institute"),275,IF(OR($D$5="Local Authority",$D$5="NHS",$D$5="Emergency Services",$D$5="Maintained School (Local Authority)"),344,""))))</f>
        <v/>
      </c>
      <c r="AL12" s="8"/>
      <c r="AM12" s="6"/>
      <c r="AP12" s="6"/>
      <c r="AQ12" s="24" t="s">
        <v>153</v>
      </c>
    </row>
    <row r="13" spans="1:43" s="25" customFormat="1" ht="34" customHeight="1" x14ac:dyDescent="0.3">
      <c r="A13" s="168">
        <v>2</v>
      </c>
      <c r="B13" s="115"/>
      <c r="C13" s="124"/>
      <c r="D13" s="116"/>
      <c r="E13" s="117"/>
      <c r="F13" s="118"/>
      <c r="G13" s="571" t="str">
        <f t="shared" ref="G13:G43" si="4">IFERROR(((F13/E13)^(1/X13))-1,"")</f>
        <v/>
      </c>
      <c r="H13" s="327"/>
      <c r="I13" s="603"/>
      <c r="J13" s="604"/>
      <c r="K13" s="568"/>
      <c r="L13" s="569"/>
      <c r="M13" s="146" t="str">
        <f t="shared" ref="M13:M61" si="5">IF(K13="","",K13-L13)</f>
        <v/>
      </c>
      <c r="N13" s="147">
        <f t="shared" ref="N13:N61" si="6">IFERROR(M13/K13,0)</f>
        <v>0</v>
      </c>
      <c r="O13" s="121"/>
      <c r="P13" s="155" t="str">
        <f t="shared" si="0"/>
        <v/>
      </c>
      <c r="Q13" s="156" t="str">
        <f t="shared" si="1"/>
        <v/>
      </c>
      <c r="R13" s="547" t="str">
        <f t="shared" si="2"/>
        <v/>
      </c>
      <c r="S13" s="157" t="str">
        <f t="shared" ref="S13:S43" si="7">IF(OR(D13="",M13="",R13=""),"",M13*R13/1000)</f>
        <v/>
      </c>
      <c r="T13" s="157" t="str">
        <f t="shared" ref="T13:T61" si="8">IF(S13="","",W13*S13)</f>
        <v/>
      </c>
      <c r="U13" s="158" t="str">
        <f t="shared" ref="U13:U61" si="9">IF(ISERROR(O13/T13),"",O13/T13)</f>
        <v/>
      </c>
      <c r="V13" s="558" t="str">
        <f ca="1">IF('Extra look-up'!$H7="Work Type","Check Work Type",IF(AND(D13="",F13="",H13="",I13="",L13="",M13=""),"",IF(OR(D13="",F13="",H13="",I13="",L13="",M13="",$L$9&lt;&gt;"OK"),"Check all fields completed correctly",IF(AND(D13="",OR(F13&lt;&gt;"",H13&lt;&gt;"",I13&lt;&gt;"",L13&lt;&gt;"")),"Check all fields completed correctly","OK"))))</f>
        <v/>
      </c>
      <c r="W13" s="522" t="str">
        <f>IF(I13="","",IF(VLOOKUP(I13,'Eligible Technologies'!$D$7:$G$76,4,FALSE)&lt;$F$9,VLOOKUP(I13,'Eligible Technologies'!$D$7:$G$76,4,FALSE),$F$9))</f>
        <v/>
      </c>
      <c r="X13" s="523" t="str">
        <f t="shared" si="3"/>
        <v/>
      </c>
      <c r="Y13" s="523">
        <f t="shared" ref="Y13:Y61" ca="1" si="10">IF(V13="",0,1)</f>
        <v>0</v>
      </c>
      <c r="Z13" s="523" t="str">
        <f>'Extra look-up'!F7</f>
        <v/>
      </c>
      <c r="AA13" s="523" t="str">
        <f ca="1">'Extra look-up'!H7</f>
        <v>OK</v>
      </c>
      <c r="AB13" s="523">
        <f ca="1">IF(AND(V13&lt;&gt;"OK",V13&lt;&gt;""),51,1)</f>
        <v>1</v>
      </c>
      <c r="AC13" s="539" t="e">
        <f>ROUNDUP(W13,0)+100</f>
        <v>#VALUE!</v>
      </c>
      <c r="AD13" s="542">
        <f t="shared" ref="AD13:AD61" si="11">$AH$101</f>
        <v>0.1953</v>
      </c>
      <c r="AE13" s="536"/>
      <c r="AF13" s="536"/>
      <c r="AG13" s="9"/>
      <c r="AH13" s="9"/>
      <c r="AI13" s="9"/>
      <c r="AJ13" s="9"/>
      <c r="AK13" s="9"/>
      <c r="AL13" s="9"/>
      <c r="AM13" s="6"/>
      <c r="AP13" s="6"/>
      <c r="AQ13" s="24" t="s">
        <v>153</v>
      </c>
    </row>
    <row r="14" spans="1:43" s="25" customFormat="1" ht="34" customHeight="1" x14ac:dyDescent="0.3">
      <c r="A14" s="168">
        <v>3</v>
      </c>
      <c r="B14" s="115"/>
      <c r="C14" s="124"/>
      <c r="D14" s="116"/>
      <c r="E14" s="117"/>
      <c r="F14" s="118"/>
      <c r="G14" s="571" t="str">
        <f t="shared" si="4"/>
        <v/>
      </c>
      <c r="H14" s="327"/>
      <c r="I14" s="603"/>
      <c r="J14" s="604"/>
      <c r="K14" s="119"/>
      <c r="L14" s="120"/>
      <c r="M14" s="146" t="str">
        <f t="shared" si="5"/>
        <v/>
      </c>
      <c r="N14" s="147">
        <f t="shared" si="6"/>
        <v>0</v>
      </c>
      <c r="O14" s="121"/>
      <c r="P14" s="155" t="str">
        <f t="shared" si="0"/>
        <v/>
      </c>
      <c r="Q14" s="156" t="str">
        <f t="shared" si="1"/>
        <v/>
      </c>
      <c r="R14" s="547" t="str">
        <f t="shared" si="2"/>
        <v/>
      </c>
      <c r="S14" s="157" t="str">
        <f t="shared" si="7"/>
        <v/>
      </c>
      <c r="T14" s="157" t="str">
        <f t="shared" si="8"/>
        <v/>
      </c>
      <c r="U14" s="158" t="str">
        <f t="shared" si="9"/>
        <v/>
      </c>
      <c r="V14" s="558" t="str">
        <f ca="1">IF('Extra look-up'!$H8="Work Type","Check Work Type",IF(AND(D14="",F14="",H14="",I14="",L14="",M14=""),"",IF(OR(D14="",F14="",H14="",I14="",L14="",M14="",$L$9&lt;&gt;"OK"),"Check all fields completed correctly",IF(AND(D14="",OR(F14&lt;&gt;"",H14&lt;&gt;"",I14&lt;&gt;"",L14&lt;&gt;"")),"Check all fields completed correctly","OK"))))</f>
        <v/>
      </c>
      <c r="W14" s="522" t="str">
        <f>IF(I14="","",IF(VLOOKUP(I14,'Eligible Technologies'!$D$7:$G$76,4,FALSE)&lt;$F$9,VLOOKUP(I14,'Eligible Technologies'!$D$7:$G$76,4,FALSE),$F$9))</f>
        <v/>
      </c>
      <c r="X14" s="523" t="str">
        <f t="shared" si="3"/>
        <v/>
      </c>
      <c r="Y14" s="523">
        <f t="shared" ca="1" si="10"/>
        <v>0</v>
      </c>
      <c r="Z14" s="523" t="str">
        <f>'Extra look-up'!F8</f>
        <v/>
      </c>
      <c r="AA14" s="523" t="str">
        <f ca="1">'Extra look-up'!H8</f>
        <v>OK</v>
      </c>
      <c r="AB14" s="523">
        <f t="shared" ref="AB14:AB61" ca="1" si="12">IF(AND(V14&lt;&gt;"OK",V14&lt;&gt;""),51,1)</f>
        <v>1</v>
      </c>
      <c r="AC14" s="539" t="e">
        <f>ROUNDUP(W14,0)+100</f>
        <v>#VALUE!</v>
      </c>
      <c r="AD14" s="542">
        <f t="shared" si="11"/>
        <v>0.1953</v>
      </c>
      <c r="AE14" s="536"/>
      <c r="AF14" s="536"/>
      <c r="AG14" s="9"/>
      <c r="AH14" s="9"/>
      <c r="AI14" s="9"/>
      <c r="AJ14" s="9"/>
      <c r="AK14" s="9"/>
      <c r="AL14" s="9"/>
      <c r="AM14" s="6"/>
      <c r="AN14" s="6"/>
      <c r="AO14" s="6"/>
      <c r="AP14" s="6"/>
      <c r="AQ14" s="24" t="s">
        <v>153</v>
      </c>
    </row>
    <row r="15" spans="1:43" s="25" customFormat="1" ht="34" customHeight="1" x14ac:dyDescent="0.3">
      <c r="A15" s="168">
        <v>4</v>
      </c>
      <c r="B15" s="115"/>
      <c r="C15" s="122"/>
      <c r="D15" s="116"/>
      <c r="E15" s="117"/>
      <c r="F15" s="118"/>
      <c r="G15" s="571" t="str">
        <f t="shared" si="4"/>
        <v/>
      </c>
      <c r="H15" s="327"/>
      <c r="I15" s="603"/>
      <c r="J15" s="604"/>
      <c r="K15" s="119"/>
      <c r="L15" s="120"/>
      <c r="M15" s="148" t="str">
        <f t="shared" si="5"/>
        <v/>
      </c>
      <c r="N15" s="147">
        <f t="shared" si="6"/>
        <v>0</v>
      </c>
      <c r="O15" s="121"/>
      <c r="P15" s="155" t="str">
        <f t="shared" si="0"/>
        <v/>
      </c>
      <c r="Q15" s="156" t="str">
        <f t="shared" si="1"/>
        <v/>
      </c>
      <c r="R15" s="547" t="str">
        <f t="shared" si="2"/>
        <v/>
      </c>
      <c r="S15" s="157" t="str">
        <f t="shared" si="7"/>
        <v/>
      </c>
      <c r="T15" s="157" t="str">
        <f t="shared" si="8"/>
        <v/>
      </c>
      <c r="U15" s="158" t="str">
        <f t="shared" si="9"/>
        <v/>
      </c>
      <c r="V15" s="558" t="str">
        <f ca="1">IF('Extra look-up'!$H9="Work Type","Check Work Type",IF(AND(D15="",F15="",H15="",I15="",L15="",M15=""),"",IF(OR(D15="",F15="",H15="",I15="",L15="",M15="",$L$9&lt;&gt;"OK"),"Check all fields completed correctly",IF(AND(D15="",OR(F15&lt;&gt;"",H15&lt;&gt;"",I15&lt;&gt;"",L15&lt;&gt;"")),"Check all fields completed correctly","OK"))))</f>
        <v/>
      </c>
      <c r="W15" s="522" t="str">
        <f>IF(I15="","",IF(VLOOKUP(I15,'Eligible Technologies'!$D$7:$G$76,4,FALSE)&lt;$F$9,VLOOKUP(I15,'Eligible Technologies'!$D$7:$G$76,4,FALSE),$F$9))</f>
        <v/>
      </c>
      <c r="X15" s="523" t="str">
        <f t="shared" si="3"/>
        <v/>
      </c>
      <c r="Y15" s="523">
        <f t="shared" ca="1" si="10"/>
        <v>0</v>
      </c>
      <c r="Z15" s="523" t="str">
        <f>'Extra look-up'!F9</f>
        <v/>
      </c>
      <c r="AA15" s="523" t="str">
        <f ca="1">'Extra look-up'!H9</f>
        <v>OK</v>
      </c>
      <c r="AB15" s="523">
        <f t="shared" ca="1" si="12"/>
        <v>1</v>
      </c>
      <c r="AC15" s="539" t="e">
        <f t="shared" ref="AC15:AC61" si="13">ROUNDUP(W15,0)+100</f>
        <v>#VALUE!</v>
      </c>
      <c r="AD15" s="542">
        <f t="shared" si="11"/>
        <v>0.1953</v>
      </c>
      <c r="AE15" s="536"/>
      <c r="AF15" s="536"/>
      <c r="AG15" s="9"/>
      <c r="AH15" s="9"/>
      <c r="AI15" s="9"/>
      <c r="AJ15" s="9"/>
      <c r="AK15" s="9"/>
      <c r="AL15" s="9"/>
      <c r="AM15" s="6"/>
      <c r="AN15" s="6"/>
      <c r="AO15" s="6"/>
      <c r="AP15" s="6"/>
      <c r="AQ15" s="24" t="s">
        <v>153</v>
      </c>
    </row>
    <row r="16" spans="1:43" s="25" customFormat="1" ht="34" customHeight="1" x14ac:dyDescent="0.3">
      <c r="A16" s="168">
        <v>5</v>
      </c>
      <c r="B16" s="115"/>
      <c r="C16" s="123"/>
      <c r="D16" s="116"/>
      <c r="E16" s="117"/>
      <c r="F16" s="118"/>
      <c r="G16" s="143" t="str">
        <f t="shared" si="4"/>
        <v/>
      </c>
      <c r="H16" s="327"/>
      <c r="I16" s="603"/>
      <c r="J16" s="604"/>
      <c r="K16" s="119"/>
      <c r="L16" s="120"/>
      <c r="M16" s="149" t="str">
        <f t="shared" si="5"/>
        <v/>
      </c>
      <c r="N16" s="147">
        <f t="shared" si="6"/>
        <v>0</v>
      </c>
      <c r="O16" s="121"/>
      <c r="P16" s="155" t="str">
        <f t="shared" si="0"/>
        <v/>
      </c>
      <c r="Q16" s="156" t="str">
        <f>IF(OR(P16&lt;=0,P16=""),"",O16/P16)</f>
        <v/>
      </c>
      <c r="R16" s="547" t="str">
        <f t="shared" si="2"/>
        <v/>
      </c>
      <c r="S16" s="157" t="str">
        <f t="shared" si="7"/>
        <v/>
      </c>
      <c r="T16" s="157" t="str">
        <f t="shared" si="8"/>
        <v/>
      </c>
      <c r="U16" s="158" t="str">
        <f t="shared" si="9"/>
        <v/>
      </c>
      <c r="V16" s="558" t="str">
        <f ca="1">IF('Extra look-up'!$H10="Work Type","Check Work Type",IF(AND(D16="",F16="",H16="",I16="",L16="",M16=""),"",IF(OR(D16="",F16="",H16="",I16="",L16="",M16="",$L$9&lt;&gt;"OK"),"Check all fields completed correctly",IF(AND(D16="",OR(F16&lt;&gt;"",H16&lt;&gt;"",I16&lt;&gt;"",L16&lt;&gt;"")),"Check all fields completed correctly","OK"))))</f>
        <v/>
      </c>
      <c r="W16" s="522" t="str">
        <f>IF(I16="","",IF(VLOOKUP(I16,'Eligible Technologies'!$D$7:$G$76,4,FALSE)&lt;$F$9,VLOOKUP(I16,'Eligible Technologies'!$D$7:$G$76,4,FALSE),$F$9))</f>
        <v/>
      </c>
      <c r="X16" s="523" t="str">
        <f t="shared" si="3"/>
        <v/>
      </c>
      <c r="Y16" s="523">
        <f t="shared" ca="1" si="10"/>
        <v>0</v>
      </c>
      <c r="Z16" s="523" t="str">
        <f>'Extra look-up'!F10</f>
        <v/>
      </c>
      <c r="AA16" s="523" t="str">
        <f ca="1">'Extra look-up'!H10</f>
        <v>OK</v>
      </c>
      <c r="AB16" s="523">
        <f t="shared" ca="1" si="12"/>
        <v>1</v>
      </c>
      <c r="AC16" s="539" t="e">
        <f t="shared" si="13"/>
        <v>#VALUE!</v>
      </c>
      <c r="AD16" s="542">
        <f t="shared" si="11"/>
        <v>0.1953</v>
      </c>
      <c r="AE16" s="536"/>
      <c r="AF16" s="536"/>
      <c r="AG16" s="9"/>
      <c r="AH16" s="9"/>
      <c r="AI16" s="9"/>
      <c r="AJ16" s="9"/>
      <c r="AK16" s="9"/>
      <c r="AL16" s="9"/>
      <c r="AM16" s="6"/>
      <c r="AN16" s="6"/>
      <c r="AO16" s="6"/>
      <c r="AP16" s="6"/>
      <c r="AQ16" s="24" t="s">
        <v>153</v>
      </c>
    </row>
    <row r="17" spans="1:70" s="25" customFormat="1" ht="34" customHeight="1" x14ac:dyDescent="0.25">
      <c r="A17" s="168">
        <v>6</v>
      </c>
      <c r="B17" s="115"/>
      <c r="C17" s="122"/>
      <c r="D17" s="116"/>
      <c r="E17" s="117"/>
      <c r="F17" s="118"/>
      <c r="G17" s="143" t="str">
        <f t="shared" si="4"/>
        <v/>
      </c>
      <c r="H17" s="327"/>
      <c r="I17" s="603"/>
      <c r="J17" s="604"/>
      <c r="K17" s="119"/>
      <c r="L17" s="120"/>
      <c r="M17" s="146" t="str">
        <f>IF(K17="","",K17-L17)</f>
        <v/>
      </c>
      <c r="N17" s="147">
        <f t="shared" si="6"/>
        <v>0</v>
      </c>
      <c r="O17" s="121"/>
      <c r="P17" s="155" t="str">
        <f t="shared" si="0"/>
        <v/>
      </c>
      <c r="Q17" s="156" t="str">
        <f t="shared" si="1"/>
        <v/>
      </c>
      <c r="R17" s="547" t="str">
        <f t="shared" si="2"/>
        <v/>
      </c>
      <c r="S17" s="157" t="str">
        <f t="shared" si="7"/>
        <v/>
      </c>
      <c r="T17" s="157" t="str">
        <f t="shared" si="8"/>
        <v/>
      </c>
      <c r="U17" s="158" t="str">
        <f t="shared" si="9"/>
        <v/>
      </c>
      <c r="V17" s="558" t="str">
        <f ca="1">IF('Extra look-up'!$H11="Work Type","Check Work Type",IF(AND(D17="",F17="",H17="",I17="",L17="",M17=""),"",IF(OR(D17="",F17="",H17="",I17="",L17="",M17="",$L$9&lt;&gt;"OK"),"Check all fields completed correctly",IF(AND(D17="",OR(F17&lt;&gt;"",H17&lt;&gt;"",I17&lt;&gt;"",L17&lt;&gt;"")),"Check all fields completed correctly","OK"))))</f>
        <v/>
      </c>
      <c r="W17" s="522" t="str">
        <f>IF(I17="","",IF(VLOOKUP(I17,'Eligible Technologies'!$D$7:$G$76,4,FALSE)&lt;$F$9,VLOOKUP(I17,'Eligible Technologies'!$D$7:$G$76,4,FALSE),$F$9))</f>
        <v/>
      </c>
      <c r="X17" s="523" t="str">
        <f t="shared" si="3"/>
        <v/>
      </c>
      <c r="Y17" s="523">
        <f t="shared" ca="1" si="10"/>
        <v>0</v>
      </c>
      <c r="Z17" s="523" t="str">
        <f>'Extra look-up'!F11</f>
        <v/>
      </c>
      <c r="AA17" s="523" t="str">
        <f ca="1">'Extra look-up'!H11</f>
        <v>OK</v>
      </c>
      <c r="AB17" s="523">
        <f t="shared" ca="1" si="12"/>
        <v>1</v>
      </c>
      <c r="AC17" s="539" t="e">
        <f t="shared" si="13"/>
        <v>#VALUE!</v>
      </c>
      <c r="AD17" s="542">
        <f t="shared" si="11"/>
        <v>0.1953</v>
      </c>
      <c r="AE17" s="536"/>
      <c r="AF17" s="536"/>
      <c r="AG17" s="8"/>
      <c r="AH17" s="9"/>
      <c r="AI17" s="8"/>
      <c r="AJ17" s="8"/>
      <c r="AK17" s="9"/>
      <c r="AL17" s="9"/>
      <c r="AM17" s="6"/>
      <c r="AN17" s="6"/>
      <c r="AO17" s="6"/>
      <c r="AP17" s="6"/>
    </row>
    <row r="18" spans="1:70" s="25" customFormat="1" ht="34" customHeight="1" x14ac:dyDescent="0.25">
      <c r="A18" s="168">
        <v>7</v>
      </c>
      <c r="B18" s="115"/>
      <c r="C18" s="123"/>
      <c r="D18" s="116"/>
      <c r="E18" s="117"/>
      <c r="F18" s="118"/>
      <c r="G18" s="143" t="str">
        <f t="shared" si="4"/>
        <v/>
      </c>
      <c r="H18" s="327"/>
      <c r="I18" s="603"/>
      <c r="J18" s="604" t="s">
        <v>139</v>
      </c>
      <c r="K18" s="119"/>
      <c r="L18" s="120"/>
      <c r="M18" s="148" t="str">
        <f t="shared" si="5"/>
        <v/>
      </c>
      <c r="N18" s="147">
        <f t="shared" si="6"/>
        <v>0</v>
      </c>
      <c r="O18" s="121"/>
      <c r="P18" s="155" t="str">
        <f t="shared" si="0"/>
        <v/>
      </c>
      <c r="Q18" s="156" t="str">
        <f t="shared" si="1"/>
        <v/>
      </c>
      <c r="R18" s="547" t="str">
        <f t="shared" si="2"/>
        <v/>
      </c>
      <c r="S18" s="157" t="str">
        <f t="shared" si="7"/>
        <v/>
      </c>
      <c r="T18" s="157" t="str">
        <f t="shared" si="8"/>
        <v/>
      </c>
      <c r="U18" s="158" t="str">
        <f t="shared" si="9"/>
        <v/>
      </c>
      <c r="V18" s="558" t="str">
        <f ca="1">IF('Extra look-up'!$H12="Work Type","Check Work Type",IF(AND(D18="",F18="",H18="",I18="",L18="",M18=""),"",IF(OR(D18="",F18="",H18="",I18="",L18="",M18="",$L$9&lt;&gt;"OK"),"Check all fields completed correctly",IF(AND(D18="",OR(F18&lt;&gt;"",H18&lt;&gt;"",I18&lt;&gt;"",L18&lt;&gt;"")),"Check all fields completed correctly","OK"))))</f>
        <v/>
      </c>
      <c r="W18" s="522" t="str">
        <f>IF(I18="","",IF(VLOOKUP(I18,'Eligible Technologies'!$D$7:$G$76,4,FALSE)&lt;$F$9,VLOOKUP(I18,'Eligible Technologies'!$D$7:$G$76,4,FALSE),$F$9))</f>
        <v/>
      </c>
      <c r="X18" s="523" t="str">
        <f t="shared" ref="X18:X61" si="14">IF(Q18="","",ROUNDUP($Q$65,0))</f>
        <v/>
      </c>
      <c r="Y18" s="523">
        <f t="shared" ca="1" si="10"/>
        <v>0</v>
      </c>
      <c r="Z18" s="523" t="str">
        <f>'Extra look-up'!F12</f>
        <v/>
      </c>
      <c r="AA18" s="523" t="str">
        <f ca="1">'Extra look-up'!H12</f>
        <v>OK</v>
      </c>
      <c r="AB18" s="523">
        <f t="shared" ca="1" si="12"/>
        <v>1</v>
      </c>
      <c r="AC18" s="539" t="e">
        <f t="shared" si="13"/>
        <v>#VALUE!</v>
      </c>
      <c r="AD18" s="542">
        <f t="shared" si="11"/>
        <v>0.1953</v>
      </c>
      <c r="AE18" s="536"/>
      <c r="AF18" s="536"/>
      <c r="AG18" s="8"/>
      <c r="AH18" s="9"/>
      <c r="AI18" s="8"/>
      <c r="AJ18" s="8"/>
      <c r="AK18" s="9"/>
      <c r="AL18" s="9"/>
      <c r="AM18" s="6"/>
      <c r="AN18" s="6"/>
      <c r="AO18" s="6"/>
      <c r="AP18" s="6"/>
    </row>
    <row r="19" spans="1:70" s="25" customFormat="1" ht="34" customHeight="1" x14ac:dyDescent="0.25">
      <c r="A19" s="168">
        <v>8</v>
      </c>
      <c r="B19" s="115"/>
      <c r="C19" s="123"/>
      <c r="D19" s="116"/>
      <c r="E19" s="117"/>
      <c r="F19" s="118"/>
      <c r="G19" s="143" t="str">
        <f t="shared" si="4"/>
        <v/>
      </c>
      <c r="H19" s="327"/>
      <c r="I19" s="603"/>
      <c r="J19" s="604" t="s">
        <v>139</v>
      </c>
      <c r="K19" s="119"/>
      <c r="L19" s="120"/>
      <c r="M19" s="146" t="str">
        <f t="shared" si="5"/>
        <v/>
      </c>
      <c r="N19" s="147">
        <f t="shared" si="6"/>
        <v>0</v>
      </c>
      <c r="O19" s="121"/>
      <c r="P19" s="155" t="str">
        <f t="shared" si="0"/>
        <v/>
      </c>
      <c r="Q19" s="156" t="str">
        <f t="shared" si="1"/>
        <v/>
      </c>
      <c r="R19" s="547" t="str">
        <f t="shared" si="2"/>
        <v/>
      </c>
      <c r="S19" s="157" t="str">
        <f t="shared" si="7"/>
        <v/>
      </c>
      <c r="T19" s="157" t="str">
        <f t="shared" si="8"/>
        <v/>
      </c>
      <c r="U19" s="158" t="str">
        <f t="shared" si="9"/>
        <v/>
      </c>
      <c r="V19" s="558" t="str">
        <f ca="1">IF('Extra look-up'!$H13="Work Type","Check Work Type",IF(AND(D19="",F19="",H19="",I19="",L19="",M19=""),"",IF(OR(D19="",F19="",H19="",I19="",L19="",M19="",$L$9&lt;&gt;"OK"),"Check all fields completed correctly",IF(AND(D19="",OR(F19&lt;&gt;"",H19&lt;&gt;"",I19&lt;&gt;"",L19&lt;&gt;"")),"Check all fields completed correctly","OK"))))</f>
        <v/>
      </c>
      <c r="W19" s="522" t="str">
        <f>IF(I19="","",IF(VLOOKUP(I19,'Eligible Technologies'!$D$7:$G$76,4,FALSE)&lt;$F$9,VLOOKUP(I19,'Eligible Technologies'!$D$7:$G$76,4,FALSE),$F$9))</f>
        <v/>
      </c>
      <c r="X19" s="523" t="str">
        <f t="shared" si="14"/>
        <v/>
      </c>
      <c r="Y19" s="523">
        <f t="shared" ca="1" si="10"/>
        <v>0</v>
      </c>
      <c r="Z19" s="523" t="str">
        <f>'Extra look-up'!F13</f>
        <v/>
      </c>
      <c r="AA19" s="523" t="str">
        <f ca="1">'Extra look-up'!H13</f>
        <v>OK</v>
      </c>
      <c r="AB19" s="523">
        <f t="shared" ca="1" si="12"/>
        <v>1</v>
      </c>
      <c r="AC19" s="539" t="e">
        <f t="shared" si="13"/>
        <v>#VALUE!</v>
      </c>
      <c r="AD19" s="542">
        <f t="shared" si="11"/>
        <v>0.1953</v>
      </c>
      <c r="AE19" s="536"/>
      <c r="AF19" s="536"/>
      <c r="AG19" s="35" t="s">
        <v>193</v>
      </c>
      <c r="AH19" s="33" t="s">
        <v>194</v>
      </c>
      <c r="AI19" s="35" t="s">
        <v>195</v>
      </c>
      <c r="AJ19" s="35" t="s">
        <v>196</v>
      </c>
      <c r="AK19" s="33" t="s">
        <v>197</v>
      </c>
      <c r="AL19" s="33" t="s">
        <v>198</v>
      </c>
      <c r="AM19" s="7" t="s">
        <v>199</v>
      </c>
      <c r="AN19" s="7" t="s">
        <v>200</v>
      </c>
      <c r="AO19" s="7" t="s">
        <v>201</v>
      </c>
      <c r="AP19" s="6"/>
    </row>
    <row r="20" spans="1:70" s="25" customFormat="1" ht="34" customHeight="1" x14ac:dyDescent="0.25">
      <c r="A20" s="168">
        <v>9</v>
      </c>
      <c r="B20" s="115"/>
      <c r="C20" s="124"/>
      <c r="D20" s="116"/>
      <c r="E20" s="117"/>
      <c r="F20" s="118"/>
      <c r="G20" s="143" t="str">
        <f t="shared" si="4"/>
        <v/>
      </c>
      <c r="H20" s="327"/>
      <c r="I20" s="603"/>
      <c r="J20" s="604"/>
      <c r="K20" s="119"/>
      <c r="L20" s="120"/>
      <c r="M20" s="146" t="str">
        <f t="shared" si="5"/>
        <v/>
      </c>
      <c r="N20" s="147">
        <f t="shared" si="6"/>
        <v>0</v>
      </c>
      <c r="O20" s="121"/>
      <c r="P20" s="155" t="str">
        <f t="shared" si="0"/>
        <v/>
      </c>
      <c r="Q20" s="156" t="str">
        <f t="shared" si="1"/>
        <v/>
      </c>
      <c r="R20" s="547" t="str">
        <f t="shared" si="2"/>
        <v/>
      </c>
      <c r="S20" s="157" t="str">
        <f t="shared" si="7"/>
        <v/>
      </c>
      <c r="T20" s="157" t="str">
        <f t="shared" si="8"/>
        <v/>
      </c>
      <c r="U20" s="158" t="str">
        <f t="shared" si="9"/>
        <v/>
      </c>
      <c r="V20" s="558" t="str">
        <f ca="1">IF('Extra look-up'!$H14="Work Type","Check Work Type",IF(AND(D20="",F20="",H20="",I20="",L20="",M20=""),"",IF(OR(D20="",F20="",H20="",I20="",L20="",M20="",$L$9&lt;&gt;"OK"),"Check all fields completed correctly",IF(AND(D20="",OR(F20&lt;&gt;"",H20&lt;&gt;"",I20&lt;&gt;"",L20&lt;&gt;"")),"Check all fields completed correctly","OK"))))</f>
        <v/>
      </c>
      <c r="W20" s="522" t="str">
        <f>IF(I20="","",IF(VLOOKUP(I20,'Eligible Technologies'!$D$7:$G$76,4,FALSE)&lt;$F$9,VLOOKUP(I20,'Eligible Technologies'!$D$7:$G$76,4,FALSE),$F$9))</f>
        <v/>
      </c>
      <c r="X20" s="523" t="str">
        <f t="shared" si="14"/>
        <v/>
      </c>
      <c r="Y20" s="523">
        <f t="shared" ca="1" si="10"/>
        <v>0</v>
      </c>
      <c r="Z20" s="523" t="str">
        <f>'Extra look-up'!F14</f>
        <v/>
      </c>
      <c r="AA20" s="523" t="str">
        <f ca="1">'Extra look-up'!H14</f>
        <v>OK</v>
      </c>
      <c r="AB20" s="523">
        <f t="shared" ca="1" si="12"/>
        <v>1</v>
      </c>
      <c r="AC20" s="539" t="e">
        <f t="shared" si="13"/>
        <v>#VALUE!</v>
      </c>
      <c r="AD20" s="542">
        <f t="shared" si="11"/>
        <v>0.1953</v>
      </c>
      <c r="AE20" s="536"/>
      <c r="AF20" s="536"/>
      <c r="AG20" s="8" t="s">
        <v>202</v>
      </c>
      <c r="AH20" s="9" t="s">
        <v>203</v>
      </c>
      <c r="AI20" s="8" t="s">
        <v>203</v>
      </c>
      <c r="AJ20" s="8" t="s">
        <v>202</v>
      </c>
      <c r="AK20" s="9" t="s">
        <v>204</v>
      </c>
      <c r="AL20" s="9" t="s">
        <v>202</v>
      </c>
      <c r="AM20" s="6" t="s">
        <v>202</v>
      </c>
      <c r="AN20" s="6" t="s">
        <v>202</v>
      </c>
      <c r="AO20" s="43" t="e">
        <f>'Extra look-up'!G126</f>
        <v>#N/A</v>
      </c>
      <c r="AP20" s="6"/>
    </row>
    <row r="21" spans="1:70" s="25" customFormat="1" ht="34" customHeight="1" x14ac:dyDescent="0.25">
      <c r="A21" s="168">
        <v>10</v>
      </c>
      <c r="B21" s="115"/>
      <c r="C21" s="124"/>
      <c r="D21" s="116"/>
      <c r="E21" s="117"/>
      <c r="F21" s="118"/>
      <c r="G21" s="143" t="str">
        <f t="shared" si="4"/>
        <v/>
      </c>
      <c r="H21" s="327"/>
      <c r="I21" s="603"/>
      <c r="J21" s="604"/>
      <c r="K21" s="119"/>
      <c r="L21" s="120"/>
      <c r="M21" s="146" t="str">
        <f t="shared" si="5"/>
        <v/>
      </c>
      <c r="N21" s="147">
        <f t="shared" si="6"/>
        <v>0</v>
      </c>
      <c r="O21" s="121"/>
      <c r="P21" s="155" t="str">
        <f t="shared" si="0"/>
        <v/>
      </c>
      <c r="Q21" s="156" t="str">
        <f t="shared" si="1"/>
        <v/>
      </c>
      <c r="R21" s="547" t="str">
        <f t="shared" si="2"/>
        <v/>
      </c>
      <c r="S21" s="157" t="str">
        <f t="shared" si="7"/>
        <v/>
      </c>
      <c r="T21" s="157" t="str">
        <f t="shared" si="8"/>
        <v/>
      </c>
      <c r="U21" s="158" t="str">
        <f t="shared" si="9"/>
        <v/>
      </c>
      <c r="V21" s="558" t="str">
        <f ca="1">IF('Extra look-up'!$H15="Work Type","Check Work Type",IF(AND(D21="",F21="",H21="",I21="",L21="",M21=""),"",IF(OR(D21="",F21="",H21="",I21="",L21="",M21="",$L$9&lt;&gt;"OK"),"Check all fields completed correctly",IF(AND(D21="",OR(F21&lt;&gt;"",H21&lt;&gt;"",I21&lt;&gt;"",L21&lt;&gt;"")),"Check all fields completed correctly","OK"))))</f>
        <v/>
      </c>
      <c r="W21" s="522" t="str">
        <f>IF(I21="","",IF(VLOOKUP(I21,'Eligible Technologies'!$D$7:$G$76,4,FALSE)&lt;$F$9,VLOOKUP(I21,'Eligible Technologies'!$D$7:$G$76,4,FALSE),$F$9))</f>
        <v/>
      </c>
      <c r="X21" s="523" t="str">
        <f t="shared" si="14"/>
        <v/>
      </c>
      <c r="Y21" s="523">
        <f t="shared" ca="1" si="10"/>
        <v>0</v>
      </c>
      <c r="Z21" s="523" t="str">
        <f>'Extra look-up'!F15</f>
        <v/>
      </c>
      <c r="AA21" s="523" t="str">
        <f ca="1">'Extra look-up'!H15</f>
        <v>OK</v>
      </c>
      <c r="AB21" s="523">
        <f t="shared" ca="1" si="12"/>
        <v>1</v>
      </c>
      <c r="AC21" s="539" t="e">
        <f t="shared" si="13"/>
        <v>#VALUE!</v>
      </c>
      <c r="AD21" s="542">
        <f t="shared" si="11"/>
        <v>0.1953</v>
      </c>
      <c r="AE21" s="536"/>
      <c r="AF21" s="536"/>
      <c r="AG21" s="8" t="s">
        <v>205</v>
      </c>
      <c r="AH21" s="9" t="s">
        <v>202</v>
      </c>
      <c r="AI21" s="8" t="s">
        <v>202</v>
      </c>
      <c r="AJ21" s="8" t="s">
        <v>206</v>
      </c>
      <c r="AK21" s="9" t="s">
        <v>202</v>
      </c>
      <c r="AL21" s="9" t="s">
        <v>206</v>
      </c>
      <c r="AM21" s="6" t="s">
        <v>206</v>
      </c>
      <c r="AN21" s="6" t="s">
        <v>206</v>
      </c>
      <c r="AO21" s="6"/>
      <c r="AP21" s="6"/>
    </row>
    <row r="22" spans="1:70" s="25" customFormat="1" ht="34" customHeight="1" x14ac:dyDescent="0.25">
      <c r="A22" s="168">
        <v>11</v>
      </c>
      <c r="B22" s="115"/>
      <c r="C22" s="124"/>
      <c r="D22" s="116"/>
      <c r="E22" s="117"/>
      <c r="F22" s="118"/>
      <c r="G22" s="143" t="str">
        <f t="shared" si="4"/>
        <v/>
      </c>
      <c r="H22" s="327"/>
      <c r="I22" s="603"/>
      <c r="J22" s="604"/>
      <c r="K22" s="119"/>
      <c r="L22" s="120"/>
      <c r="M22" s="146" t="str">
        <f t="shared" si="5"/>
        <v/>
      </c>
      <c r="N22" s="147">
        <f t="shared" si="6"/>
        <v>0</v>
      </c>
      <c r="O22" s="121"/>
      <c r="P22" s="155" t="str">
        <f t="shared" si="0"/>
        <v/>
      </c>
      <c r="Q22" s="156" t="str">
        <f t="shared" si="1"/>
        <v/>
      </c>
      <c r="R22" s="547" t="str">
        <f t="shared" si="2"/>
        <v/>
      </c>
      <c r="S22" s="157" t="str">
        <f t="shared" si="7"/>
        <v/>
      </c>
      <c r="T22" s="157" t="str">
        <f t="shared" si="8"/>
        <v/>
      </c>
      <c r="U22" s="158" t="str">
        <f t="shared" si="9"/>
        <v/>
      </c>
      <c r="V22" s="558" t="str">
        <f ca="1">IF('Extra look-up'!$H16="Work Type","Check Work Type",IF(AND(D22="",F22="",H22="",I22="",L22="",M22=""),"",IF(OR(D22="",F22="",H22="",I22="",L22="",M22="",$L$9&lt;&gt;"OK"),"Check all fields completed correctly",IF(AND(D22="",OR(F22&lt;&gt;"",H22&lt;&gt;"",I22&lt;&gt;"",L22&lt;&gt;"")),"Check all fields completed correctly","OK"))))</f>
        <v/>
      </c>
      <c r="W22" s="522" t="str">
        <f>IF(I22="","",IF(VLOOKUP(I22,'Eligible Technologies'!$D$7:$G$76,4,FALSE)&lt;$F$9,VLOOKUP(I22,'Eligible Technologies'!$D$7:$G$76,4,FALSE),$F$9))</f>
        <v/>
      </c>
      <c r="X22" s="523" t="str">
        <f t="shared" si="14"/>
        <v/>
      </c>
      <c r="Y22" s="523">
        <f t="shared" ca="1" si="10"/>
        <v>0</v>
      </c>
      <c r="Z22" s="523" t="str">
        <f>'Extra look-up'!F16</f>
        <v/>
      </c>
      <c r="AA22" s="523" t="str">
        <f ca="1">'Extra look-up'!H16</f>
        <v>OK</v>
      </c>
      <c r="AB22" s="523">
        <f t="shared" ca="1" si="12"/>
        <v>1</v>
      </c>
      <c r="AC22" s="539" t="e">
        <f t="shared" si="13"/>
        <v>#VALUE!</v>
      </c>
      <c r="AD22" s="542">
        <f t="shared" si="11"/>
        <v>0.1953</v>
      </c>
      <c r="AE22" s="536"/>
      <c r="AF22" s="536"/>
      <c r="AG22" s="8" t="s">
        <v>207</v>
      </c>
      <c r="AH22" s="9" t="s">
        <v>208</v>
      </c>
      <c r="AI22" s="8" t="s">
        <v>208</v>
      </c>
      <c r="AJ22" s="8" t="s">
        <v>209</v>
      </c>
      <c r="AK22" s="9" t="s">
        <v>206</v>
      </c>
      <c r="AL22" s="9" t="s">
        <v>210</v>
      </c>
      <c r="AM22" s="6" t="s">
        <v>210</v>
      </c>
      <c r="AN22" s="6" t="s">
        <v>210</v>
      </c>
      <c r="AO22" s="6"/>
      <c r="AP22" s="6"/>
    </row>
    <row r="23" spans="1:70" s="25" customFormat="1" ht="34" customHeight="1" x14ac:dyDescent="0.25">
      <c r="A23" s="168">
        <v>12</v>
      </c>
      <c r="B23" s="115"/>
      <c r="C23" s="124"/>
      <c r="D23" s="116"/>
      <c r="E23" s="117"/>
      <c r="F23" s="118"/>
      <c r="G23" s="143" t="str">
        <f t="shared" si="4"/>
        <v/>
      </c>
      <c r="H23" s="327"/>
      <c r="I23" s="603"/>
      <c r="J23" s="604"/>
      <c r="K23" s="119"/>
      <c r="L23" s="120"/>
      <c r="M23" s="146" t="str">
        <f t="shared" si="5"/>
        <v/>
      </c>
      <c r="N23" s="147">
        <f t="shared" si="6"/>
        <v>0</v>
      </c>
      <c r="O23" s="121"/>
      <c r="P23" s="155" t="str">
        <f t="shared" si="0"/>
        <v/>
      </c>
      <c r="Q23" s="156" t="str">
        <f t="shared" si="1"/>
        <v/>
      </c>
      <c r="R23" s="547" t="str">
        <f t="shared" si="2"/>
        <v/>
      </c>
      <c r="S23" s="157" t="str">
        <f t="shared" si="7"/>
        <v/>
      </c>
      <c r="T23" s="157" t="str">
        <f t="shared" si="8"/>
        <v/>
      </c>
      <c r="U23" s="158" t="str">
        <f t="shared" si="9"/>
        <v/>
      </c>
      <c r="V23" s="558" t="str">
        <f ca="1">IF('Extra look-up'!$H17="Work Type","Check Work Type",IF(AND(D23="",F23="",H23="",I23="",L23="",M23=""),"",IF(OR(D23="",F23="",H23="",I23="",L23="",M23="",$L$9&lt;&gt;"OK"),"Check all fields completed correctly",IF(AND(D23="",OR(F23&lt;&gt;"",H23&lt;&gt;"",I23&lt;&gt;"",L23&lt;&gt;"")),"Check all fields completed correctly","OK"))))</f>
        <v/>
      </c>
      <c r="W23" s="522" t="str">
        <f>IF(I23="","",IF(VLOOKUP(I23,'Eligible Technologies'!$D$7:$G$76,4,FALSE)&lt;$F$9,VLOOKUP(I23,'Eligible Technologies'!$D$7:$G$76,4,FALSE),$F$9))</f>
        <v/>
      </c>
      <c r="X23" s="523" t="str">
        <f t="shared" si="14"/>
        <v/>
      </c>
      <c r="Y23" s="523">
        <f t="shared" ca="1" si="10"/>
        <v>0</v>
      </c>
      <c r="Z23" s="523" t="str">
        <f>'Extra look-up'!F17</f>
        <v/>
      </c>
      <c r="AA23" s="523" t="str">
        <f ca="1">'Extra look-up'!H17</f>
        <v>OK</v>
      </c>
      <c r="AB23" s="523">
        <f t="shared" ca="1" si="12"/>
        <v>1</v>
      </c>
      <c r="AC23" s="539" t="e">
        <f t="shared" si="13"/>
        <v>#VALUE!</v>
      </c>
      <c r="AD23" s="542">
        <f t="shared" si="11"/>
        <v>0.1953</v>
      </c>
      <c r="AE23" s="536"/>
      <c r="AF23" s="536"/>
      <c r="AG23" s="25" t="s">
        <v>211</v>
      </c>
      <c r="AH23" s="25" t="s">
        <v>212</v>
      </c>
      <c r="AI23" s="25" t="s">
        <v>212</v>
      </c>
      <c r="AJ23" s="25" t="s">
        <v>213</v>
      </c>
      <c r="AK23" s="25" t="s">
        <v>214</v>
      </c>
      <c r="AL23" s="25" t="s">
        <v>207</v>
      </c>
      <c r="AM23" s="6" t="s">
        <v>207</v>
      </c>
      <c r="AN23" s="6" t="s">
        <v>207</v>
      </c>
      <c r="AO23" s="6"/>
      <c r="AP23" s="6"/>
    </row>
    <row r="24" spans="1:70" s="25" customFormat="1" ht="34" customHeight="1" x14ac:dyDescent="0.25">
      <c r="A24" s="168">
        <v>13</v>
      </c>
      <c r="B24" s="115"/>
      <c r="C24" s="124"/>
      <c r="D24" s="116"/>
      <c r="E24" s="117"/>
      <c r="F24" s="118"/>
      <c r="G24" s="143" t="str">
        <f t="shared" si="4"/>
        <v/>
      </c>
      <c r="H24" s="327"/>
      <c r="I24" s="603"/>
      <c r="J24" s="604"/>
      <c r="K24" s="119"/>
      <c r="L24" s="120"/>
      <c r="M24" s="146" t="str">
        <f t="shared" si="5"/>
        <v/>
      </c>
      <c r="N24" s="147">
        <f t="shared" si="6"/>
        <v>0</v>
      </c>
      <c r="O24" s="121"/>
      <c r="P24" s="155" t="str">
        <f t="shared" si="0"/>
        <v/>
      </c>
      <c r="Q24" s="156" t="str">
        <f t="shared" si="1"/>
        <v/>
      </c>
      <c r="R24" s="547" t="str">
        <f t="shared" si="2"/>
        <v/>
      </c>
      <c r="S24" s="157" t="str">
        <f t="shared" si="7"/>
        <v/>
      </c>
      <c r="T24" s="157" t="str">
        <f t="shared" si="8"/>
        <v/>
      </c>
      <c r="U24" s="158" t="str">
        <f t="shared" si="9"/>
        <v/>
      </c>
      <c r="V24" s="558" t="str">
        <f ca="1">IF('Extra look-up'!$H18="Work Type","Check Work Type",IF(AND(D24="",F24="",H24="",I24="",L24="",M24=""),"",IF(OR(D24="",F24="",H24="",I24="",L24="",M24="",$L$9&lt;&gt;"OK"),"Check all fields completed correctly",IF(AND(D24="",OR(F24&lt;&gt;"",H24&lt;&gt;"",I24&lt;&gt;"",L24&lt;&gt;"")),"Check all fields completed correctly","OK"))))</f>
        <v/>
      </c>
      <c r="W24" s="522" t="str">
        <f>IF(I24="","",IF(VLOOKUP(I24,'Eligible Technologies'!$D$7:$G$76,4,FALSE)&lt;$F$9,VLOOKUP(I24,'Eligible Technologies'!$D$7:$G$76,4,FALSE),$F$9))</f>
        <v/>
      </c>
      <c r="X24" s="523" t="str">
        <f t="shared" si="14"/>
        <v/>
      </c>
      <c r="Y24" s="523">
        <f t="shared" ca="1" si="10"/>
        <v>0</v>
      </c>
      <c r="Z24" s="523" t="str">
        <f>'Extra look-up'!F18</f>
        <v/>
      </c>
      <c r="AA24" s="523" t="str">
        <f ca="1">'Extra look-up'!H18</f>
        <v>OK</v>
      </c>
      <c r="AB24" s="523">
        <f t="shared" ca="1" si="12"/>
        <v>1</v>
      </c>
      <c r="AC24" s="539" t="e">
        <f t="shared" si="13"/>
        <v>#VALUE!</v>
      </c>
      <c r="AD24" s="542">
        <f t="shared" si="11"/>
        <v>0.1953</v>
      </c>
      <c r="AE24" s="536"/>
      <c r="AF24" s="536"/>
      <c r="AG24" s="25" t="s">
        <v>215</v>
      </c>
      <c r="AH24" s="9" t="s">
        <v>216</v>
      </c>
      <c r="AI24" s="25" t="s">
        <v>216</v>
      </c>
      <c r="AJ24" s="25" t="s">
        <v>217</v>
      </c>
      <c r="AK24" s="25" t="s">
        <v>218</v>
      </c>
      <c r="AL24" s="25" t="s">
        <v>219</v>
      </c>
      <c r="AM24" s="6" t="s">
        <v>219</v>
      </c>
      <c r="AN24" s="6" t="s">
        <v>219</v>
      </c>
      <c r="AO24" s="6"/>
      <c r="AP24" s="6"/>
    </row>
    <row r="25" spans="1:70" s="25" customFormat="1" ht="34" customHeight="1" x14ac:dyDescent="0.3">
      <c r="A25" s="168">
        <v>14</v>
      </c>
      <c r="B25" s="115"/>
      <c r="C25" s="124"/>
      <c r="D25" s="116"/>
      <c r="E25" s="117"/>
      <c r="F25" s="118"/>
      <c r="G25" s="143" t="str">
        <f t="shared" si="4"/>
        <v/>
      </c>
      <c r="H25" s="327"/>
      <c r="I25" s="603"/>
      <c r="J25" s="604"/>
      <c r="K25" s="119"/>
      <c r="L25" s="120"/>
      <c r="M25" s="146" t="str">
        <f t="shared" si="5"/>
        <v/>
      </c>
      <c r="N25" s="147">
        <f t="shared" si="6"/>
        <v>0</v>
      </c>
      <c r="O25" s="121"/>
      <c r="P25" s="155" t="str">
        <f t="shared" si="0"/>
        <v/>
      </c>
      <c r="Q25" s="156" t="str">
        <f t="shared" si="1"/>
        <v/>
      </c>
      <c r="R25" s="547" t="str">
        <f t="shared" si="2"/>
        <v/>
      </c>
      <c r="S25" s="157" t="str">
        <f t="shared" si="7"/>
        <v/>
      </c>
      <c r="T25" s="157" t="str">
        <f t="shared" si="8"/>
        <v/>
      </c>
      <c r="U25" s="158" t="str">
        <f t="shared" si="9"/>
        <v/>
      </c>
      <c r="V25" s="558" t="str">
        <f ca="1">IF('Extra look-up'!$H19="Work Type","Check Work Type",IF(AND(D25="",F25="",H25="",I25="",L25="",M25=""),"",IF(OR(D25="",F25="",H25="",I25="",L25="",M25="",$L$9&lt;&gt;"OK"),"Check all fields completed correctly",IF(AND(D25="",OR(F25&lt;&gt;"",H25&lt;&gt;"",I25&lt;&gt;"",L25&lt;&gt;"")),"Check all fields completed correctly","OK"))))</f>
        <v/>
      </c>
      <c r="W25" s="522" t="str">
        <f>IF(I25="","",IF(VLOOKUP(I25,'Eligible Technologies'!$D$7:$G$76,4,FALSE)&lt;$F$9,VLOOKUP(I25,'Eligible Technologies'!$D$7:$G$76,4,FALSE),$F$9))</f>
        <v/>
      </c>
      <c r="X25" s="523" t="str">
        <f t="shared" si="14"/>
        <v/>
      </c>
      <c r="Y25" s="523">
        <f t="shared" ca="1" si="10"/>
        <v>0</v>
      </c>
      <c r="Z25" s="523" t="str">
        <f>'Extra look-up'!F19</f>
        <v/>
      </c>
      <c r="AA25" s="523" t="str">
        <f ca="1">'Extra look-up'!H19</f>
        <v>OK</v>
      </c>
      <c r="AB25" s="523">
        <f t="shared" ca="1" si="12"/>
        <v>1</v>
      </c>
      <c r="AC25" s="539" t="e">
        <f t="shared" si="13"/>
        <v>#VALUE!</v>
      </c>
      <c r="AD25" s="542">
        <f t="shared" si="11"/>
        <v>0.1953</v>
      </c>
      <c r="AE25" s="536"/>
      <c r="AF25" s="536"/>
      <c r="AG25" s="9" t="s">
        <v>220</v>
      </c>
      <c r="AH25" s="9" t="s">
        <v>211</v>
      </c>
      <c r="AI25" s="8" t="s">
        <v>211</v>
      </c>
      <c r="AJ25" s="8" t="s">
        <v>221</v>
      </c>
      <c r="AK25" s="9" t="s">
        <v>222</v>
      </c>
      <c r="AL25" s="9" t="s">
        <v>220</v>
      </c>
      <c r="AM25" s="11" t="s">
        <v>220</v>
      </c>
      <c r="AN25" s="11" t="s">
        <v>220</v>
      </c>
      <c r="AO25" s="6"/>
      <c r="AP25" s="6"/>
    </row>
    <row r="26" spans="1:70" s="25" customFormat="1" ht="34" customHeight="1" thickBot="1" x14ac:dyDescent="0.35">
      <c r="A26" s="168">
        <v>15</v>
      </c>
      <c r="B26" s="115"/>
      <c r="C26" s="124"/>
      <c r="D26" s="116"/>
      <c r="E26" s="117"/>
      <c r="F26" s="118"/>
      <c r="G26" s="143" t="str">
        <f t="shared" si="4"/>
        <v/>
      </c>
      <c r="H26" s="327"/>
      <c r="I26" s="603"/>
      <c r="J26" s="604"/>
      <c r="K26" s="119"/>
      <c r="L26" s="120"/>
      <c r="M26" s="146" t="str">
        <f t="shared" si="5"/>
        <v/>
      </c>
      <c r="N26" s="147">
        <f t="shared" si="6"/>
        <v>0</v>
      </c>
      <c r="O26" s="121"/>
      <c r="P26" s="155" t="str">
        <f t="shared" si="0"/>
        <v/>
      </c>
      <c r="Q26" s="156" t="str">
        <f t="shared" si="1"/>
        <v/>
      </c>
      <c r="R26" s="547" t="str">
        <f t="shared" si="2"/>
        <v/>
      </c>
      <c r="S26" s="157" t="str">
        <f t="shared" si="7"/>
        <v/>
      </c>
      <c r="T26" s="157" t="str">
        <f t="shared" si="8"/>
        <v/>
      </c>
      <c r="U26" s="158" t="str">
        <f t="shared" si="9"/>
        <v/>
      </c>
      <c r="V26" s="558" t="str">
        <f ca="1">IF('Extra look-up'!$H20="Work Type","Check Work Type",IF(AND(D26="",F26="",H26="",I26="",L26="",M26=""),"",IF(OR(D26="",F26="",H26="",I26="",L26="",M26="",$L$9&lt;&gt;"OK"),"Check all fields completed correctly",IF(AND(D26="",OR(F26&lt;&gt;"",H26&lt;&gt;"",I26&lt;&gt;"",L26&lt;&gt;"")),"Check all fields completed correctly","OK"))))</f>
        <v/>
      </c>
      <c r="W26" s="522" t="str">
        <f>IF(I26="","",IF(VLOOKUP(I26,'Eligible Technologies'!$D$7:$G$76,4,FALSE)&lt;$F$9,VLOOKUP(I26,'Eligible Technologies'!$D$7:$G$76,4,FALSE),$F$9))</f>
        <v/>
      </c>
      <c r="X26" s="523" t="str">
        <f t="shared" si="14"/>
        <v/>
      </c>
      <c r="Y26" s="523">
        <f t="shared" ca="1" si="10"/>
        <v>0</v>
      </c>
      <c r="Z26" s="523" t="str">
        <f>'Extra look-up'!F20</f>
        <v/>
      </c>
      <c r="AA26" s="523" t="str">
        <f ca="1">'Extra look-up'!H20</f>
        <v>OK</v>
      </c>
      <c r="AB26" s="523">
        <f t="shared" ca="1" si="12"/>
        <v>1</v>
      </c>
      <c r="AC26" s="539" t="e">
        <f t="shared" si="13"/>
        <v>#VALUE!</v>
      </c>
      <c r="AD26" s="542">
        <f t="shared" si="11"/>
        <v>0.1953</v>
      </c>
      <c r="AE26" s="536"/>
      <c r="AF26" s="536"/>
      <c r="AG26" s="9" t="s">
        <v>223</v>
      </c>
      <c r="AH26" s="9" t="s">
        <v>224</v>
      </c>
      <c r="AI26" s="8" t="s">
        <v>224</v>
      </c>
      <c r="AJ26" s="8" t="s">
        <v>219</v>
      </c>
      <c r="AK26" s="9" t="s">
        <v>225</v>
      </c>
      <c r="AL26" s="9" t="s">
        <v>226</v>
      </c>
      <c r="AM26" s="11" t="s">
        <v>226</v>
      </c>
      <c r="AN26" s="11" t="s">
        <v>226</v>
      </c>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row>
    <row r="27" spans="1:70" s="25" customFormat="1" ht="34" hidden="1" customHeight="1" outlineLevel="1" x14ac:dyDescent="0.25">
      <c r="A27" s="168">
        <v>16</v>
      </c>
      <c r="B27" s="115"/>
      <c r="C27" s="124"/>
      <c r="D27" s="116"/>
      <c r="E27" s="117"/>
      <c r="F27" s="118"/>
      <c r="G27" s="143" t="str">
        <f t="shared" si="4"/>
        <v/>
      </c>
      <c r="H27" s="327"/>
      <c r="I27" s="603"/>
      <c r="J27" s="604"/>
      <c r="K27" s="119"/>
      <c r="L27" s="120"/>
      <c r="M27" s="146" t="str">
        <f t="shared" si="5"/>
        <v/>
      </c>
      <c r="N27" s="147">
        <f t="shared" si="6"/>
        <v>0</v>
      </c>
      <c r="O27" s="121"/>
      <c r="P27" s="155" t="str">
        <f t="shared" si="0"/>
        <v/>
      </c>
      <c r="Q27" s="156" t="str">
        <f t="shared" si="1"/>
        <v/>
      </c>
      <c r="R27" s="547" t="str">
        <f t="shared" si="2"/>
        <v/>
      </c>
      <c r="S27" s="157" t="str">
        <f t="shared" si="7"/>
        <v/>
      </c>
      <c r="T27" s="157" t="str">
        <f t="shared" si="8"/>
        <v/>
      </c>
      <c r="U27" s="158" t="str">
        <f t="shared" si="9"/>
        <v/>
      </c>
      <c r="V27" s="558" t="str">
        <f ca="1">IF('Extra look-up'!$H21="Work Type","Check Work Type",IF(AND(D27="",F27="",H27="",I27="",L27="",M27=""),"",IF(OR(D27="",F27="",H27="",I27="",L27="",M27="",$L$9&lt;&gt;"OK"),"Check all fields completed correctly",IF(AND(D27="",OR(F27&lt;&gt;"",H27&lt;&gt;"",I27&lt;&gt;"",L27&lt;&gt;"")),"Check all fields completed correctly","OK"))))</f>
        <v/>
      </c>
      <c r="W27" s="522" t="str">
        <f>IF(I27="","",IF(VLOOKUP(I27,'Eligible Technologies'!$D$7:$G$76,4,FALSE)&lt;$F$9,VLOOKUP(I27,'Eligible Technologies'!$D$7:$G$76,4,FALSE),$F$9))</f>
        <v/>
      </c>
      <c r="X27" s="523" t="str">
        <f t="shared" si="14"/>
        <v/>
      </c>
      <c r="Y27" s="523">
        <f t="shared" ca="1" si="10"/>
        <v>0</v>
      </c>
      <c r="Z27" s="523" t="str">
        <f>'Extra look-up'!F21</f>
        <v/>
      </c>
      <c r="AA27" s="523" t="str">
        <f ca="1">'Extra look-up'!H21</f>
        <v>OK</v>
      </c>
      <c r="AB27" s="523">
        <f t="shared" ca="1" si="12"/>
        <v>1</v>
      </c>
      <c r="AC27" s="539" t="e">
        <f t="shared" si="13"/>
        <v>#VALUE!</v>
      </c>
      <c r="AD27" s="542">
        <f t="shared" si="11"/>
        <v>0.1953</v>
      </c>
      <c r="AE27" s="536"/>
      <c r="AF27" s="536"/>
      <c r="AG27" s="9" t="s">
        <v>227</v>
      </c>
      <c r="AH27" s="10" t="s">
        <v>222</v>
      </c>
      <c r="AI27" s="8" t="s">
        <v>222</v>
      </c>
      <c r="AJ27" s="8" t="s">
        <v>223</v>
      </c>
      <c r="AK27" s="9" t="s">
        <v>226</v>
      </c>
      <c r="AL27" s="9" t="s">
        <v>228</v>
      </c>
      <c r="AM27" s="6" t="s">
        <v>228</v>
      </c>
      <c r="AN27" s="6" t="s">
        <v>228</v>
      </c>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row>
    <row r="28" spans="1:70" s="25" customFormat="1" ht="34" hidden="1" customHeight="1" outlineLevel="1" x14ac:dyDescent="0.3">
      <c r="A28" s="168">
        <v>17</v>
      </c>
      <c r="B28" s="115"/>
      <c r="C28" s="124"/>
      <c r="D28" s="116"/>
      <c r="E28" s="117"/>
      <c r="F28" s="118"/>
      <c r="G28" s="143" t="str">
        <f t="shared" si="4"/>
        <v/>
      </c>
      <c r="H28" s="327"/>
      <c r="I28" s="603"/>
      <c r="J28" s="604"/>
      <c r="K28" s="119"/>
      <c r="L28" s="120"/>
      <c r="M28" s="146" t="str">
        <f t="shared" si="5"/>
        <v/>
      </c>
      <c r="N28" s="147">
        <f t="shared" si="6"/>
        <v>0</v>
      </c>
      <c r="O28" s="121"/>
      <c r="P28" s="155" t="str">
        <f t="shared" si="0"/>
        <v/>
      </c>
      <c r="Q28" s="156" t="str">
        <f t="shared" si="1"/>
        <v/>
      </c>
      <c r="R28" s="547" t="str">
        <f t="shared" si="2"/>
        <v/>
      </c>
      <c r="S28" s="157" t="str">
        <f t="shared" si="7"/>
        <v/>
      </c>
      <c r="T28" s="157" t="str">
        <f t="shared" si="8"/>
        <v/>
      </c>
      <c r="U28" s="158" t="str">
        <f t="shared" si="9"/>
        <v/>
      </c>
      <c r="V28" s="558" t="str">
        <f ca="1">IF('Extra look-up'!$H22="Work Type","Check Work Type",IF(AND(D28="",F28="",H28="",I28="",L28="",M28=""),"",IF(OR(D28="",F28="",H28="",I28="",L28="",M28="",$L$9&lt;&gt;"OK"),"Check all fields completed correctly",IF(AND(D28="",OR(F28&lt;&gt;"",H28&lt;&gt;"",I28&lt;&gt;"",L28&lt;&gt;"")),"Check all fields completed correctly","OK"))))</f>
        <v/>
      </c>
      <c r="W28" s="522" t="str">
        <f>IF(I28="","",IF(VLOOKUP(I28,'Eligible Technologies'!$D$7:$G$76,4,FALSE)&lt;$F$9,VLOOKUP(I28,'Eligible Technologies'!$D$7:$G$76,4,FALSE),$F$9))</f>
        <v/>
      </c>
      <c r="X28" s="523" t="str">
        <f t="shared" si="14"/>
        <v/>
      </c>
      <c r="Y28" s="523">
        <f t="shared" ca="1" si="10"/>
        <v>0</v>
      </c>
      <c r="Z28" s="523" t="str">
        <f>'Extra look-up'!F22</f>
        <v/>
      </c>
      <c r="AA28" s="523" t="str">
        <f ca="1">'Extra look-up'!H22</f>
        <v>OK</v>
      </c>
      <c r="AB28" s="523">
        <f t="shared" ca="1" si="12"/>
        <v>1</v>
      </c>
      <c r="AC28" s="539" t="e">
        <f t="shared" si="13"/>
        <v>#VALUE!</v>
      </c>
      <c r="AD28" s="542">
        <f t="shared" si="11"/>
        <v>0.1953</v>
      </c>
      <c r="AE28" s="536"/>
      <c r="AF28" s="536"/>
      <c r="AG28" s="10" t="s">
        <v>229</v>
      </c>
      <c r="AH28" s="12" t="s">
        <v>230</v>
      </c>
      <c r="AI28" s="10" t="s">
        <v>230</v>
      </c>
      <c r="AJ28" s="10" t="s">
        <v>228</v>
      </c>
      <c r="AK28" s="10" t="s">
        <v>227</v>
      </c>
      <c r="AL28" s="10" t="s">
        <v>227</v>
      </c>
      <c r="AM28" s="6" t="s">
        <v>227</v>
      </c>
      <c r="AN28" s="6" t="s">
        <v>227</v>
      </c>
      <c r="AO28" s="11"/>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row>
    <row r="29" spans="1:70" s="25" customFormat="1" ht="34" hidden="1" customHeight="1" outlineLevel="1" x14ac:dyDescent="0.3">
      <c r="A29" s="168">
        <v>18</v>
      </c>
      <c r="B29" s="115"/>
      <c r="C29" s="124"/>
      <c r="D29" s="116"/>
      <c r="E29" s="117"/>
      <c r="F29" s="118"/>
      <c r="G29" s="143" t="str">
        <f t="shared" si="4"/>
        <v/>
      </c>
      <c r="H29" s="327"/>
      <c r="I29" s="603"/>
      <c r="J29" s="604"/>
      <c r="K29" s="119"/>
      <c r="L29" s="120"/>
      <c r="M29" s="146" t="str">
        <f t="shared" si="5"/>
        <v/>
      </c>
      <c r="N29" s="147">
        <f t="shared" si="6"/>
        <v>0</v>
      </c>
      <c r="O29" s="121"/>
      <c r="P29" s="155" t="str">
        <f t="shared" si="0"/>
        <v/>
      </c>
      <c r="Q29" s="156" t="str">
        <f t="shared" si="1"/>
        <v/>
      </c>
      <c r="R29" s="547" t="str">
        <f t="shared" si="2"/>
        <v/>
      </c>
      <c r="S29" s="157" t="str">
        <f t="shared" si="7"/>
        <v/>
      </c>
      <c r="T29" s="157" t="str">
        <f t="shared" si="8"/>
        <v/>
      </c>
      <c r="U29" s="158" t="str">
        <f t="shared" si="9"/>
        <v/>
      </c>
      <c r="V29" s="558" t="str">
        <f ca="1">IF('Extra look-up'!$H23="Work Type","Check Work Type",IF(AND(D29="",F29="",H29="",I29="",L29="",M29=""),"",IF(OR(D29="",F29="",H29="",I29="",L29="",M29="",$L$9&lt;&gt;"OK"),"Check all fields completed correctly",IF(AND(D29="",OR(F29&lt;&gt;"",H29&lt;&gt;"",I29&lt;&gt;"",L29&lt;&gt;"")),"Check all fields completed correctly","OK"))))</f>
        <v/>
      </c>
      <c r="W29" s="522" t="str">
        <f>IF(I29="","",IF(VLOOKUP(I29,'Eligible Technologies'!$D$7:$G$76,4,FALSE)&lt;$F$9,VLOOKUP(I29,'Eligible Technologies'!$D$7:$G$76,4,FALSE),$F$9))</f>
        <v/>
      </c>
      <c r="X29" s="523" t="str">
        <f t="shared" si="14"/>
        <v/>
      </c>
      <c r="Y29" s="523">
        <f t="shared" ca="1" si="10"/>
        <v>0</v>
      </c>
      <c r="Z29" s="523" t="str">
        <f>'Extra look-up'!F23</f>
        <v/>
      </c>
      <c r="AA29" s="523" t="str">
        <f ca="1">'Extra look-up'!H23</f>
        <v>OK</v>
      </c>
      <c r="AB29" s="523">
        <f t="shared" ca="1" si="12"/>
        <v>1</v>
      </c>
      <c r="AC29" s="539" t="e">
        <f t="shared" si="13"/>
        <v>#VALUE!</v>
      </c>
      <c r="AD29" s="542">
        <f t="shared" si="11"/>
        <v>0.1953</v>
      </c>
      <c r="AE29" s="536"/>
      <c r="AF29" s="536"/>
      <c r="AG29" s="12" t="s">
        <v>231</v>
      </c>
      <c r="AH29" s="10" t="s">
        <v>220</v>
      </c>
      <c r="AI29" s="12" t="s">
        <v>220</v>
      </c>
      <c r="AJ29" s="12" t="s">
        <v>232</v>
      </c>
      <c r="AK29" s="12" t="s">
        <v>233</v>
      </c>
      <c r="AL29" s="12" t="s">
        <v>233</v>
      </c>
      <c r="AM29" s="6" t="s">
        <v>234</v>
      </c>
      <c r="AN29" s="6" t="s">
        <v>234</v>
      </c>
      <c r="AO29" s="11"/>
      <c r="AP29" s="11"/>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row>
    <row r="30" spans="1:70" s="25" customFormat="1" ht="34" hidden="1" customHeight="1" outlineLevel="1" x14ac:dyDescent="0.3">
      <c r="A30" s="168">
        <v>19</v>
      </c>
      <c r="B30" s="115"/>
      <c r="C30" s="124"/>
      <c r="D30" s="116"/>
      <c r="E30" s="117"/>
      <c r="F30" s="118"/>
      <c r="G30" s="143" t="str">
        <f t="shared" si="4"/>
        <v/>
      </c>
      <c r="H30" s="327"/>
      <c r="I30" s="603"/>
      <c r="J30" s="604"/>
      <c r="K30" s="119"/>
      <c r="L30" s="120"/>
      <c r="M30" s="146" t="str">
        <f t="shared" si="5"/>
        <v/>
      </c>
      <c r="N30" s="147">
        <f t="shared" si="6"/>
        <v>0</v>
      </c>
      <c r="O30" s="121"/>
      <c r="P30" s="155" t="str">
        <f t="shared" si="0"/>
        <v/>
      </c>
      <c r="Q30" s="156" t="str">
        <f t="shared" si="1"/>
        <v/>
      </c>
      <c r="R30" s="547" t="str">
        <f t="shared" si="2"/>
        <v/>
      </c>
      <c r="S30" s="157" t="str">
        <f t="shared" si="7"/>
        <v/>
      </c>
      <c r="T30" s="157" t="str">
        <f t="shared" si="8"/>
        <v/>
      </c>
      <c r="U30" s="158" t="str">
        <f t="shared" si="9"/>
        <v/>
      </c>
      <c r="V30" s="558" t="str">
        <f ca="1">IF('Extra look-up'!$H24="Work Type","Check Work Type",IF(AND(D30="",F30="",H30="",I30="",L30="",M30=""),"",IF(OR(D30="",F30="",H30="",I30="",L30="",M30="",$L$9&lt;&gt;"OK"),"Check all fields completed correctly",IF(AND(D30="",OR(F30&lt;&gt;"",H30&lt;&gt;"",I30&lt;&gt;"",L30&lt;&gt;"")),"Check all fields completed correctly","OK"))))</f>
        <v/>
      </c>
      <c r="W30" s="522" t="str">
        <f>IF(I30="","",IF(VLOOKUP(I30,'Eligible Technologies'!$D$7:$G$76,4,FALSE)&lt;$F$9,VLOOKUP(I30,'Eligible Technologies'!$D$7:$G$76,4,FALSE),$F$9))</f>
        <v/>
      </c>
      <c r="X30" s="523" t="str">
        <f t="shared" si="14"/>
        <v/>
      </c>
      <c r="Y30" s="523">
        <f t="shared" ca="1" si="10"/>
        <v>0</v>
      </c>
      <c r="Z30" s="523" t="str">
        <f>'Extra look-up'!F24</f>
        <v/>
      </c>
      <c r="AA30" s="523" t="str">
        <f ca="1">'Extra look-up'!H24</f>
        <v>OK</v>
      </c>
      <c r="AB30" s="523">
        <f t="shared" ca="1" si="12"/>
        <v>1</v>
      </c>
      <c r="AC30" s="539" t="e">
        <f t="shared" si="13"/>
        <v>#VALUE!</v>
      </c>
      <c r="AD30" s="542">
        <f t="shared" si="11"/>
        <v>0.1953</v>
      </c>
      <c r="AE30" s="536"/>
      <c r="AF30" s="536"/>
      <c r="AG30" s="10" t="s">
        <v>233</v>
      </c>
      <c r="AH30" s="10" t="s">
        <v>223</v>
      </c>
      <c r="AI30" s="10" t="s">
        <v>223</v>
      </c>
      <c r="AJ30" s="10" t="s">
        <v>235</v>
      </c>
      <c r="AK30" s="10"/>
      <c r="AL30" s="10" t="s">
        <v>236</v>
      </c>
      <c r="AM30" s="11" t="s">
        <v>237</v>
      </c>
      <c r="AN30" s="11" t="s">
        <v>237</v>
      </c>
      <c r="AO30" s="11"/>
      <c r="AP30" s="11"/>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row>
    <row r="31" spans="1:70" s="25" customFormat="1" ht="34" hidden="1" customHeight="1" outlineLevel="1" x14ac:dyDescent="0.3">
      <c r="A31" s="168">
        <v>20</v>
      </c>
      <c r="B31" s="115"/>
      <c r="C31" s="124"/>
      <c r="D31" s="116"/>
      <c r="E31" s="117"/>
      <c r="F31" s="118"/>
      <c r="G31" s="143" t="str">
        <f t="shared" si="4"/>
        <v/>
      </c>
      <c r="H31" s="327"/>
      <c r="I31" s="603"/>
      <c r="J31" s="604"/>
      <c r="K31" s="119"/>
      <c r="L31" s="120"/>
      <c r="M31" s="146" t="str">
        <f t="shared" si="5"/>
        <v/>
      </c>
      <c r="N31" s="147">
        <f t="shared" si="6"/>
        <v>0</v>
      </c>
      <c r="O31" s="121"/>
      <c r="P31" s="155" t="str">
        <f t="shared" si="0"/>
        <v/>
      </c>
      <c r="Q31" s="156" t="str">
        <f t="shared" si="1"/>
        <v/>
      </c>
      <c r="R31" s="547" t="str">
        <f t="shared" si="2"/>
        <v/>
      </c>
      <c r="S31" s="157" t="str">
        <f t="shared" si="7"/>
        <v/>
      </c>
      <c r="T31" s="157" t="str">
        <f t="shared" si="8"/>
        <v/>
      </c>
      <c r="U31" s="158" t="str">
        <f t="shared" si="9"/>
        <v/>
      </c>
      <c r="V31" s="558" t="str">
        <f ca="1">IF('Extra look-up'!$H25="Work Type","Check Work Type",IF(AND(D31="",F31="",H31="",I31="",L31="",M31=""),"",IF(OR(D31="",F31="",H31="",I31="",L31="",M31="",$L$9&lt;&gt;"OK"),"Check all fields completed correctly",IF(AND(D31="",OR(F31&lt;&gt;"",H31&lt;&gt;"",I31&lt;&gt;"",L31&lt;&gt;"")),"Check all fields completed correctly","OK"))))</f>
        <v/>
      </c>
      <c r="W31" s="522" t="str">
        <f>IF(I31="","",IF(VLOOKUP(I31,'Eligible Technologies'!$D$7:$G$76,4,FALSE)&lt;$F$9,VLOOKUP(I31,'Eligible Technologies'!$D$7:$G$76,4,FALSE),$F$9))</f>
        <v/>
      </c>
      <c r="X31" s="523" t="str">
        <f t="shared" si="14"/>
        <v/>
      </c>
      <c r="Y31" s="523">
        <f t="shared" ca="1" si="10"/>
        <v>0</v>
      </c>
      <c r="Z31" s="523" t="str">
        <f>'Extra look-up'!F25</f>
        <v/>
      </c>
      <c r="AA31" s="523" t="str">
        <f ca="1">'Extra look-up'!H25</f>
        <v>OK</v>
      </c>
      <c r="AB31" s="523">
        <f t="shared" ca="1" si="12"/>
        <v>1</v>
      </c>
      <c r="AC31" s="539" t="e">
        <f t="shared" si="13"/>
        <v>#VALUE!</v>
      </c>
      <c r="AD31" s="542">
        <f t="shared" si="11"/>
        <v>0.1953</v>
      </c>
      <c r="AE31" s="536"/>
      <c r="AF31" s="536"/>
      <c r="AG31" s="10"/>
      <c r="AH31" s="10" t="s">
        <v>228</v>
      </c>
      <c r="AI31" s="10" t="s">
        <v>228</v>
      </c>
      <c r="AJ31" s="10" t="s">
        <v>238</v>
      </c>
      <c r="AK31" s="10"/>
      <c r="AL31" s="10"/>
      <c r="AM31" s="11"/>
      <c r="AN31" s="6"/>
      <c r="AO31" s="11"/>
      <c r="AP31" s="11"/>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row>
    <row r="32" spans="1:70" s="25" customFormat="1" ht="34" hidden="1" customHeight="1" outlineLevel="1" x14ac:dyDescent="0.3">
      <c r="A32" s="168">
        <v>21</v>
      </c>
      <c r="B32" s="115"/>
      <c r="C32" s="124"/>
      <c r="D32" s="116"/>
      <c r="E32" s="117"/>
      <c r="F32" s="118"/>
      <c r="G32" s="143" t="str">
        <f t="shared" si="4"/>
        <v/>
      </c>
      <c r="H32" s="327"/>
      <c r="I32" s="603"/>
      <c r="J32" s="604"/>
      <c r="K32" s="119"/>
      <c r="L32" s="120"/>
      <c r="M32" s="146" t="str">
        <f t="shared" si="5"/>
        <v/>
      </c>
      <c r="N32" s="147">
        <f t="shared" si="6"/>
        <v>0</v>
      </c>
      <c r="O32" s="121"/>
      <c r="P32" s="155" t="str">
        <f t="shared" si="0"/>
        <v/>
      </c>
      <c r="Q32" s="156" t="str">
        <f t="shared" si="1"/>
        <v/>
      </c>
      <c r="R32" s="547" t="str">
        <f t="shared" si="2"/>
        <v/>
      </c>
      <c r="S32" s="157" t="str">
        <f t="shared" si="7"/>
        <v/>
      </c>
      <c r="T32" s="157" t="str">
        <f t="shared" si="8"/>
        <v/>
      </c>
      <c r="U32" s="158" t="str">
        <f t="shared" si="9"/>
        <v/>
      </c>
      <c r="V32" s="558" t="str">
        <f ca="1">IF('Extra look-up'!$H26="Work Type","Check Work Type",IF(AND(D32="",F32="",H32="",I32="",L32="",M32=""),"",IF(OR(D32="",F32="",H32="",I32="",L32="",M32="",$L$9&lt;&gt;"OK"),"Check all fields completed correctly",IF(AND(D32="",OR(F32&lt;&gt;"",H32&lt;&gt;"",I32&lt;&gt;"",L32&lt;&gt;"")),"Check all fields completed correctly","OK"))))</f>
        <v/>
      </c>
      <c r="W32" s="522" t="str">
        <f>IF(I32="","",IF(VLOOKUP(I32,'Eligible Technologies'!$D$7:$G$76,4,FALSE)&lt;$F$9,VLOOKUP(I32,'Eligible Technologies'!$D$7:$G$76,4,FALSE),$F$9))</f>
        <v/>
      </c>
      <c r="X32" s="523" t="str">
        <f t="shared" si="14"/>
        <v/>
      </c>
      <c r="Y32" s="523">
        <f t="shared" ca="1" si="10"/>
        <v>0</v>
      </c>
      <c r="Z32" s="523" t="str">
        <f>'Extra look-up'!F26</f>
        <v/>
      </c>
      <c r="AA32" s="523" t="str">
        <f ca="1">'Extra look-up'!H26</f>
        <v>OK</v>
      </c>
      <c r="AB32" s="523">
        <f t="shared" ca="1" si="12"/>
        <v>1</v>
      </c>
      <c r="AC32" s="539" t="e">
        <f t="shared" si="13"/>
        <v>#VALUE!</v>
      </c>
      <c r="AD32" s="542">
        <f t="shared" si="11"/>
        <v>0.1953</v>
      </c>
      <c r="AE32" s="536"/>
      <c r="AF32" s="536"/>
      <c r="AG32" s="10"/>
      <c r="AH32" s="12" t="s">
        <v>227</v>
      </c>
      <c r="AI32" s="10" t="s">
        <v>227</v>
      </c>
      <c r="AJ32" s="10" t="s">
        <v>239</v>
      </c>
      <c r="AK32" s="10"/>
      <c r="AL32" s="10"/>
      <c r="AM32" s="11"/>
      <c r="AN32" s="6"/>
      <c r="AO32" s="11"/>
      <c r="AP32" s="11"/>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row>
    <row r="33" spans="1:70" s="25" customFormat="1" ht="34" hidden="1" customHeight="1" outlineLevel="1" x14ac:dyDescent="0.3">
      <c r="A33" s="168">
        <v>22</v>
      </c>
      <c r="B33" s="115"/>
      <c r="C33" s="124"/>
      <c r="D33" s="116"/>
      <c r="E33" s="117"/>
      <c r="F33" s="118"/>
      <c r="G33" s="143" t="str">
        <f t="shared" si="4"/>
        <v/>
      </c>
      <c r="H33" s="327"/>
      <c r="I33" s="603"/>
      <c r="J33" s="604"/>
      <c r="K33" s="119"/>
      <c r="L33" s="120"/>
      <c r="M33" s="146" t="str">
        <f t="shared" si="5"/>
        <v/>
      </c>
      <c r="N33" s="147">
        <f t="shared" si="6"/>
        <v>0</v>
      </c>
      <c r="O33" s="121"/>
      <c r="P33" s="155" t="str">
        <f t="shared" si="0"/>
        <v/>
      </c>
      <c r="Q33" s="156" t="str">
        <f t="shared" si="1"/>
        <v/>
      </c>
      <c r="R33" s="547" t="str">
        <f t="shared" si="2"/>
        <v/>
      </c>
      <c r="S33" s="157" t="str">
        <f t="shared" si="7"/>
        <v/>
      </c>
      <c r="T33" s="157" t="str">
        <f t="shared" si="8"/>
        <v/>
      </c>
      <c r="U33" s="158" t="str">
        <f t="shared" si="9"/>
        <v/>
      </c>
      <c r="V33" s="558" t="str">
        <f ca="1">IF('Extra look-up'!$H27="Work Type","Check Work Type",IF(AND(D33="",F33="",H33="",I33="",L33="",M33=""),"",IF(OR(D33="",F33="",H33="",I33="",L33="",M33="",$L$9&lt;&gt;"OK"),"Check all fields completed correctly",IF(AND(D33="",OR(F33&lt;&gt;"",H33&lt;&gt;"",I33&lt;&gt;"",L33&lt;&gt;"")),"Check all fields completed correctly","OK"))))</f>
        <v/>
      </c>
      <c r="W33" s="522" t="str">
        <f>IF(I33="","",IF(VLOOKUP(I33,'Eligible Technologies'!$D$7:$G$76,4,FALSE)&lt;$F$9,VLOOKUP(I33,'Eligible Technologies'!$D$7:$G$76,4,FALSE),$F$9))</f>
        <v/>
      </c>
      <c r="X33" s="523" t="str">
        <f t="shared" si="14"/>
        <v/>
      </c>
      <c r="Y33" s="523">
        <f t="shared" ca="1" si="10"/>
        <v>0</v>
      </c>
      <c r="Z33" s="523" t="str">
        <f>'Extra look-up'!F27</f>
        <v/>
      </c>
      <c r="AA33" s="523" t="str">
        <f ca="1">'Extra look-up'!H27</f>
        <v>OK</v>
      </c>
      <c r="AB33" s="523">
        <f t="shared" ca="1" si="12"/>
        <v>1</v>
      </c>
      <c r="AC33" s="539" t="e">
        <f t="shared" si="13"/>
        <v>#VALUE!</v>
      </c>
      <c r="AD33" s="542">
        <f t="shared" si="11"/>
        <v>0.1953</v>
      </c>
      <c r="AE33" s="536"/>
      <c r="AF33" s="536"/>
      <c r="AG33" s="12"/>
      <c r="AH33" s="12" t="s">
        <v>235</v>
      </c>
      <c r="AI33" s="12" t="s">
        <v>235</v>
      </c>
      <c r="AJ33" s="12" t="s">
        <v>240</v>
      </c>
      <c r="AK33" s="12"/>
      <c r="AL33" s="12"/>
      <c r="AM33" s="11"/>
      <c r="AN33" s="11"/>
      <c r="AO33" s="11"/>
      <c r="AP33" s="11"/>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row>
    <row r="34" spans="1:70" s="25" customFormat="1" ht="34" hidden="1" customHeight="1" outlineLevel="1" x14ac:dyDescent="0.3">
      <c r="A34" s="168">
        <v>23</v>
      </c>
      <c r="B34" s="115"/>
      <c r="C34" s="124"/>
      <c r="D34" s="116"/>
      <c r="E34" s="117"/>
      <c r="F34" s="118"/>
      <c r="G34" s="143" t="str">
        <f t="shared" si="4"/>
        <v/>
      </c>
      <c r="H34" s="327"/>
      <c r="I34" s="603"/>
      <c r="J34" s="604"/>
      <c r="K34" s="119"/>
      <c r="L34" s="120"/>
      <c r="M34" s="146" t="str">
        <f t="shared" si="5"/>
        <v/>
      </c>
      <c r="N34" s="147">
        <f t="shared" si="6"/>
        <v>0</v>
      </c>
      <c r="O34" s="121"/>
      <c r="P34" s="155" t="str">
        <f t="shared" si="0"/>
        <v/>
      </c>
      <c r="Q34" s="156" t="str">
        <f t="shared" si="1"/>
        <v/>
      </c>
      <c r="R34" s="547" t="str">
        <f t="shared" si="2"/>
        <v/>
      </c>
      <c r="S34" s="157" t="str">
        <f t="shared" si="7"/>
        <v/>
      </c>
      <c r="T34" s="157" t="str">
        <f t="shared" si="8"/>
        <v/>
      </c>
      <c r="U34" s="158" t="str">
        <f t="shared" si="9"/>
        <v/>
      </c>
      <c r="V34" s="558" t="str">
        <f ca="1">IF('Extra look-up'!$H28="Work Type","Check Work Type",IF(AND(D34="",F34="",H34="",I34="",L34="",M34=""),"",IF(OR(D34="",F34="",H34="",I34="",L34="",M34="",$L$9&lt;&gt;"OK"),"Check all fields completed correctly",IF(AND(D34="",OR(F34&lt;&gt;"",H34&lt;&gt;"",I34&lt;&gt;"",L34&lt;&gt;"")),"Check all fields completed correctly","OK"))))</f>
        <v/>
      </c>
      <c r="W34" s="522" t="str">
        <f>IF(I34="","",IF(VLOOKUP(I34,'Eligible Technologies'!$D$7:$G$76,4,FALSE)&lt;$F$9,VLOOKUP(I34,'Eligible Technologies'!$D$7:$G$76,4,FALSE),$F$9))</f>
        <v/>
      </c>
      <c r="X34" s="523" t="str">
        <f t="shared" si="14"/>
        <v/>
      </c>
      <c r="Y34" s="523">
        <f t="shared" ca="1" si="10"/>
        <v>0</v>
      </c>
      <c r="Z34" s="523" t="str">
        <f>'Extra look-up'!F28</f>
        <v/>
      </c>
      <c r="AA34" s="523" t="str">
        <f ca="1">'Extra look-up'!H28</f>
        <v>OK</v>
      </c>
      <c r="AB34" s="523">
        <f t="shared" ca="1" si="12"/>
        <v>1</v>
      </c>
      <c r="AC34" s="539" t="e">
        <f t="shared" si="13"/>
        <v>#VALUE!</v>
      </c>
      <c r="AD34" s="542">
        <f t="shared" si="11"/>
        <v>0.1953</v>
      </c>
      <c r="AE34" s="536"/>
      <c r="AF34" s="536"/>
      <c r="AG34" s="12"/>
      <c r="AH34" s="12" t="s">
        <v>231</v>
      </c>
      <c r="AI34" s="12" t="s">
        <v>231</v>
      </c>
      <c r="AJ34" s="12"/>
      <c r="AK34" s="12"/>
      <c r="AL34" s="12"/>
      <c r="AM34" s="11"/>
      <c r="AN34" s="11"/>
      <c r="AO34" s="11"/>
      <c r="AP34" s="11"/>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row>
    <row r="35" spans="1:70" s="25" customFormat="1" ht="34" hidden="1" customHeight="1" outlineLevel="1" x14ac:dyDescent="0.3">
      <c r="A35" s="168">
        <v>24</v>
      </c>
      <c r="B35" s="115"/>
      <c r="C35" s="124"/>
      <c r="D35" s="116"/>
      <c r="E35" s="117"/>
      <c r="F35" s="118"/>
      <c r="G35" s="143" t="str">
        <f t="shared" si="4"/>
        <v/>
      </c>
      <c r="H35" s="327"/>
      <c r="I35" s="603"/>
      <c r="J35" s="604"/>
      <c r="K35" s="119"/>
      <c r="L35" s="120"/>
      <c r="M35" s="146" t="str">
        <f t="shared" si="5"/>
        <v/>
      </c>
      <c r="N35" s="147">
        <f t="shared" si="6"/>
        <v>0</v>
      </c>
      <c r="O35" s="121"/>
      <c r="P35" s="155" t="str">
        <f t="shared" si="0"/>
        <v/>
      </c>
      <c r="Q35" s="156" t="str">
        <f t="shared" si="1"/>
        <v/>
      </c>
      <c r="R35" s="547" t="str">
        <f t="shared" si="2"/>
        <v/>
      </c>
      <c r="S35" s="157" t="str">
        <f t="shared" si="7"/>
        <v/>
      </c>
      <c r="T35" s="157" t="str">
        <f t="shared" si="8"/>
        <v/>
      </c>
      <c r="U35" s="158" t="str">
        <f t="shared" si="9"/>
        <v/>
      </c>
      <c r="V35" s="558" t="str">
        <f ca="1">IF('Extra look-up'!$H29="Work Type","Check Work Type",IF(AND(D35="",F35="",H35="",I35="",L35="",M35=""),"",IF(OR(D35="",F35="",H35="",I35="",L35="",M35="",$L$9&lt;&gt;"OK"),"Check all fields completed correctly",IF(AND(D35="",OR(F35&lt;&gt;"",H35&lt;&gt;"",I35&lt;&gt;"",L35&lt;&gt;"")),"Check all fields completed correctly","OK"))))</f>
        <v/>
      </c>
      <c r="W35" s="522" t="str">
        <f>IF(I35="","",IF(VLOOKUP(I35,'Eligible Technologies'!$D$7:$G$76,4,FALSE)&lt;$F$9,VLOOKUP(I35,'Eligible Technologies'!$D$7:$G$76,4,FALSE),$F$9))</f>
        <v/>
      </c>
      <c r="X35" s="523" t="str">
        <f t="shared" si="14"/>
        <v/>
      </c>
      <c r="Y35" s="523">
        <f t="shared" ca="1" si="10"/>
        <v>0</v>
      </c>
      <c r="Z35" s="523" t="str">
        <f>'Extra look-up'!F29</f>
        <v/>
      </c>
      <c r="AA35" s="523" t="str">
        <f ca="1">'Extra look-up'!H29</f>
        <v>OK</v>
      </c>
      <c r="AB35" s="523">
        <f t="shared" ca="1" si="12"/>
        <v>1</v>
      </c>
      <c r="AC35" s="539" t="e">
        <f t="shared" si="13"/>
        <v>#VALUE!</v>
      </c>
      <c r="AD35" s="542">
        <f t="shared" si="11"/>
        <v>0.1953</v>
      </c>
      <c r="AE35" s="536"/>
      <c r="AF35" s="536"/>
      <c r="AG35" s="12"/>
      <c r="AH35" s="12" t="s">
        <v>233</v>
      </c>
      <c r="AI35" s="12" t="s">
        <v>233</v>
      </c>
      <c r="AJ35" s="12"/>
      <c r="AK35" s="12"/>
      <c r="AL35" s="12"/>
      <c r="AM35" s="11"/>
      <c r="AN35" s="11"/>
      <c r="AO35" s="11"/>
      <c r="AP35" s="11"/>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row>
    <row r="36" spans="1:70" s="25" customFormat="1" ht="34" hidden="1" customHeight="1" outlineLevel="1" x14ac:dyDescent="0.3">
      <c r="A36" s="168">
        <v>25</v>
      </c>
      <c r="B36" s="115"/>
      <c r="C36" s="124"/>
      <c r="D36" s="116"/>
      <c r="E36" s="117"/>
      <c r="F36" s="118"/>
      <c r="G36" s="143" t="str">
        <f t="shared" si="4"/>
        <v/>
      </c>
      <c r="H36" s="327"/>
      <c r="I36" s="603"/>
      <c r="J36" s="604"/>
      <c r="K36" s="119"/>
      <c r="L36" s="120"/>
      <c r="M36" s="146" t="str">
        <f t="shared" si="5"/>
        <v/>
      </c>
      <c r="N36" s="147">
        <f t="shared" si="6"/>
        <v>0</v>
      </c>
      <c r="O36" s="121"/>
      <c r="P36" s="155" t="str">
        <f t="shared" si="0"/>
        <v/>
      </c>
      <c r="Q36" s="156" t="str">
        <f t="shared" si="1"/>
        <v/>
      </c>
      <c r="R36" s="547" t="str">
        <f t="shared" si="2"/>
        <v/>
      </c>
      <c r="S36" s="157" t="str">
        <f t="shared" si="7"/>
        <v/>
      </c>
      <c r="T36" s="157" t="str">
        <f t="shared" si="8"/>
        <v/>
      </c>
      <c r="U36" s="158" t="str">
        <f t="shared" si="9"/>
        <v/>
      </c>
      <c r="V36" s="558" t="str">
        <f ca="1">IF('Extra look-up'!$H30="Work Type","Check Work Type",IF(AND(D36="",F36="",H36="",I36="",L36="",M36=""),"",IF(OR(D36="",F36="",H36="",I36="",L36="",M36="",$L$9&lt;&gt;"OK"),"Check all fields completed correctly",IF(AND(D36="",OR(F36&lt;&gt;"",H36&lt;&gt;"",I36&lt;&gt;"",L36&lt;&gt;"")),"Check all fields completed correctly","OK"))))</f>
        <v/>
      </c>
      <c r="W36" s="522" t="str">
        <f>IF(I36="","",IF(VLOOKUP(I36,'Eligible Technologies'!$D$7:$G$76,4,FALSE)&lt;$F$9,VLOOKUP(I36,'Eligible Technologies'!$D$7:$G$76,4,FALSE),$F$9))</f>
        <v/>
      </c>
      <c r="X36" s="523" t="str">
        <f t="shared" si="14"/>
        <v/>
      </c>
      <c r="Y36" s="523">
        <f t="shared" ca="1" si="10"/>
        <v>0</v>
      </c>
      <c r="Z36" s="523" t="str">
        <f>'Extra look-up'!F30</f>
        <v/>
      </c>
      <c r="AA36" s="523" t="str">
        <f ca="1">'Extra look-up'!H30</f>
        <v>OK</v>
      </c>
      <c r="AB36" s="523">
        <f t="shared" ca="1" si="12"/>
        <v>1</v>
      </c>
      <c r="AC36" s="539" t="e">
        <f t="shared" si="13"/>
        <v>#VALUE!</v>
      </c>
      <c r="AD36" s="542">
        <f t="shared" si="11"/>
        <v>0.1953</v>
      </c>
      <c r="AE36" s="536"/>
      <c r="AF36" s="536"/>
      <c r="AG36" s="12"/>
      <c r="AH36" s="12" t="s">
        <v>241</v>
      </c>
      <c r="AI36" s="12" t="s">
        <v>237</v>
      </c>
      <c r="AJ36" s="12"/>
      <c r="AK36" s="12"/>
      <c r="AL36" s="12"/>
      <c r="AM36" s="24"/>
      <c r="AN36" s="11"/>
      <c r="AO36" s="11"/>
      <c r="AP36" s="11"/>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row>
    <row r="37" spans="1:70" s="25" customFormat="1" ht="34" hidden="1" customHeight="1" outlineLevel="1" x14ac:dyDescent="0.3">
      <c r="A37" s="168">
        <v>26</v>
      </c>
      <c r="B37" s="115"/>
      <c r="C37" s="124"/>
      <c r="D37" s="116"/>
      <c r="E37" s="117"/>
      <c r="F37" s="118"/>
      <c r="G37" s="143" t="str">
        <f t="shared" si="4"/>
        <v/>
      </c>
      <c r="H37" s="327"/>
      <c r="I37" s="603"/>
      <c r="J37" s="604"/>
      <c r="K37" s="119"/>
      <c r="L37" s="120"/>
      <c r="M37" s="146" t="str">
        <f t="shared" si="5"/>
        <v/>
      </c>
      <c r="N37" s="147">
        <f t="shared" si="6"/>
        <v>0</v>
      </c>
      <c r="O37" s="121"/>
      <c r="P37" s="155" t="str">
        <f t="shared" si="0"/>
        <v/>
      </c>
      <c r="Q37" s="156" t="str">
        <f t="shared" si="1"/>
        <v/>
      </c>
      <c r="R37" s="547" t="str">
        <f t="shared" si="2"/>
        <v/>
      </c>
      <c r="S37" s="157" t="str">
        <f t="shared" si="7"/>
        <v/>
      </c>
      <c r="T37" s="157" t="str">
        <f t="shared" si="8"/>
        <v/>
      </c>
      <c r="U37" s="158" t="str">
        <f t="shared" si="9"/>
        <v/>
      </c>
      <c r="V37" s="558" t="str">
        <f ca="1">IF('Extra look-up'!$H31="Work Type","Check Work Type",IF(AND(D37="",F37="",H37="",I37="",L37="",M37=""),"",IF(OR(D37="",F37="",H37="",I37="",L37="",M37="",$L$9&lt;&gt;"OK"),"Check all fields completed correctly",IF(AND(D37="",OR(F37&lt;&gt;"",H37&lt;&gt;"",I37&lt;&gt;"",L37&lt;&gt;"")),"Check all fields completed correctly","OK"))))</f>
        <v/>
      </c>
      <c r="W37" s="522" t="str">
        <f>IF(I37="","",IF(VLOOKUP(I37,'Eligible Technologies'!$D$7:$G$76,4,FALSE)&lt;$F$9,VLOOKUP(I37,'Eligible Technologies'!$D$7:$G$76,4,FALSE),$F$9))</f>
        <v/>
      </c>
      <c r="X37" s="523" t="str">
        <f t="shared" si="14"/>
        <v/>
      </c>
      <c r="Y37" s="523">
        <f t="shared" ca="1" si="10"/>
        <v>0</v>
      </c>
      <c r="Z37" s="523" t="str">
        <f>'Extra look-up'!F31</f>
        <v/>
      </c>
      <c r="AA37" s="523" t="str">
        <f ca="1">'Extra look-up'!H31</f>
        <v>OK</v>
      </c>
      <c r="AB37" s="523">
        <f t="shared" ca="1" si="12"/>
        <v>1</v>
      </c>
      <c r="AC37" s="539" t="e">
        <f t="shared" si="13"/>
        <v>#VALUE!</v>
      </c>
      <c r="AD37" s="542">
        <f t="shared" si="11"/>
        <v>0.1953</v>
      </c>
      <c r="AE37" s="536"/>
      <c r="AF37" s="536"/>
      <c r="AG37" s="12"/>
      <c r="AH37" s="11" t="s">
        <v>242</v>
      </c>
      <c r="AI37" s="12" t="s">
        <v>242</v>
      </c>
      <c r="AJ37" s="12"/>
      <c r="AK37" s="24"/>
      <c r="AL37" s="24"/>
      <c r="AM37" s="24"/>
      <c r="AN37" s="11"/>
      <c r="AO37" s="11"/>
      <c r="AP37" s="11"/>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row>
    <row r="38" spans="1:70" s="25" customFormat="1" ht="34" hidden="1" customHeight="1" outlineLevel="1" x14ac:dyDescent="0.3">
      <c r="A38" s="168">
        <v>27</v>
      </c>
      <c r="B38" s="115"/>
      <c r="C38" s="124"/>
      <c r="D38" s="116"/>
      <c r="E38" s="117"/>
      <c r="F38" s="118"/>
      <c r="G38" s="143" t="str">
        <f t="shared" si="4"/>
        <v/>
      </c>
      <c r="H38" s="327"/>
      <c r="I38" s="603"/>
      <c r="J38" s="604"/>
      <c r="K38" s="119"/>
      <c r="L38" s="120"/>
      <c r="M38" s="146" t="str">
        <f t="shared" si="5"/>
        <v/>
      </c>
      <c r="N38" s="147">
        <f t="shared" si="6"/>
        <v>0</v>
      </c>
      <c r="O38" s="121"/>
      <c r="P38" s="155" t="str">
        <f t="shared" si="0"/>
        <v/>
      </c>
      <c r="Q38" s="156" t="str">
        <f t="shared" si="1"/>
        <v/>
      </c>
      <c r="R38" s="547" t="str">
        <f t="shared" si="2"/>
        <v/>
      </c>
      <c r="S38" s="157" t="str">
        <f t="shared" si="7"/>
        <v/>
      </c>
      <c r="T38" s="157" t="str">
        <f t="shared" si="8"/>
        <v/>
      </c>
      <c r="U38" s="158" t="str">
        <f t="shared" si="9"/>
        <v/>
      </c>
      <c r="V38" s="558" t="str">
        <f ca="1">IF('Extra look-up'!$H32="Work Type","Check Work Type",IF(AND(D38="",F38="",H38="",I38="",L38="",M38=""),"",IF(OR(D38="",F38="",H38="",I38="",L38="",M38="",$L$9&lt;&gt;"OK"),"Check all fields completed correctly",IF(AND(D38="",OR(F38&lt;&gt;"",H38&lt;&gt;"",I38&lt;&gt;"",L38&lt;&gt;"")),"Check all fields completed correctly","OK"))))</f>
        <v/>
      </c>
      <c r="W38" s="522" t="str">
        <f>IF(I38="","",IF(VLOOKUP(I38,'Eligible Technologies'!$D$7:$G$76,4,FALSE)&lt;$F$9,VLOOKUP(I38,'Eligible Technologies'!$D$7:$G$76,4,FALSE),$F$9))</f>
        <v/>
      </c>
      <c r="X38" s="523" t="str">
        <f t="shared" si="14"/>
        <v/>
      </c>
      <c r="Y38" s="523">
        <f t="shared" ca="1" si="10"/>
        <v>0</v>
      </c>
      <c r="Z38" s="523" t="str">
        <f>'Extra look-up'!F32</f>
        <v/>
      </c>
      <c r="AA38" s="523" t="str">
        <f ca="1">'Extra look-up'!H32</f>
        <v>OK</v>
      </c>
      <c r="AB38" s="523">
        <f t="shared" ca="1" si="12"/>
        <v>1</v>
      </c>
      <c r="AC38" s="539" t="e">
        <f t="shared" si="13"/>
        <v>#VALUE!</v>
      </c>
      <c r="AD38" s="542">
        <f t="shared" si="11"/>
        <v>0.1953</v>
      </c>
      <c r="AE38" s="536"/>
      <c r="AF38" s="536"/>
      <c r="AG38" s="11"/>
      <c r="AH38" s="24"/>
      <c r="AI38" s="11"/>
      <c r="AJ38" s="11"/>
      <c r="AK38" s="11"/>
      <c r="AL38" s="11"/>
      <c r="AM38" s="24"/>
      <c r="AN38" s="11"/>
      <c r="AO38" s="11"/>
      <c r="AP38" s="11"/>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row>
    <row r="39" spans="1:70" s="25" customFormat="1" ht="34" hidden="1" customHeight="1" outlineLevel="1" x14ac:dyDescent="0.3">
      <c r="A39" s="168">
        <v>28</v>
      </c>
      <c r="B39" s="115"/>
      <c r="C39" s="124"/>
      <c r="D39" s="116"/>
      <c r="E39" s="117"/>
      <c r="F39" s="118"/>
      <c r="G39" s="143" t="str">
        <f t="shared" si="4"/>
        <v/>
      </c>
      <c r="H39" s="327"/>
      <c r="I39" s="603"/>
      <c r="J39" s="604"/>
      <c r="K39" s="119"/>
      <c r="L39" s="120"/>
      <c r="M39" s="146" t="str">
        <f t="shared" si="5"/>
        <v/>
      </c>
      <c r="N39" s="147">
        <f t="shared" si="6"/>
        <v>0</v>
      </c>
      <c r="O39" s="121"/>
      <c r="P39" s="155" t="str">
        <f t="shared" si="0"/>
        <v/>
      </c>
      <c r="Q39" s="156" t="str">
        <f t="shared" si="1"/>
        <v/>
      </c>
      <c r="R39" s="547" t="str">
        <f t="shared" si="2"/>
        <v/>
      </c>
      <c r="S39" s="157" t="str">
        <f t="shared" si="7"/>
        <v/>
      </c>
      <c r="T39" s="157" t="str">
        <f t="shared" si="8"/>
        <v/>
      </c>
      <c r="U39" s="158" t="str">
        <f t="shared" si="9"/>
        <v/>
      </c>
      <c r="V39" s="558" t="str">
        <f ca="1">IF('Extra look-up'!$H33="Work Type","Check Work Type",IF(AND(D39="",F39="",H39="",I39="",L39="",M39=""),"",IF(OR(D39="",F39="",H39="",I39="",L39="",M39="",$L$9&lt;&gt;"OK"),"Check all fields completed correctly",IF(AND(D39="",OR(F39&lt;&gt;"",H39&lt;&gt;"",I39&lt;&gt;"",L39&lt;&gt;"")),"Check all fields completed correctly","OK"))))</f>
        <v/>
      </c>
      <c r="W39" s="522" t="str">
        <f>IF(I39="","",IF(VLOOKUP(I39,'Eligible Technologies'!$D$7:$G$76,4,FALSE)&lt;$F$9,VLOOKUP(I39,'Eligible Technologies'!$D$7:$G$76,4,FALSE),$F$9))</f>
        <v/>
      </c>
      <c r="X39" s="523" t="str">
        <f t="shared" si="14"/>
        <v/>
      </c>
      <c r="Y39" s="523">
        <f t="shared" ca="1" si="10"/>
        <v>0</v>
      </c>
      <c r="Z39" s="523" t="str">
        <f>'Extra look-up'!F33</f>
        <v/>
      </c>
      <c r="AA39" s="523" t="str">
        <f ca="1">'Extra look-up'!H33</f>
        <v>OK</v>
      </c>
      <c r="AB39" s="523">
        <f t="shared" ca="1" si="12"/>
        <v>1</v>
      </c>
      <c r="AC39" s="539" t="e">
        <f t="shared" si="13"/>
        <v>#VALUE!</v>
      </c>
      <c r="AD39" s="542">
        <f t="shared" si="11"/>
        <v>0.1953</v>
      </c>
      <c r="AE39" s="536"/>
      <c r="AF39" s="536"/>
      <c r="AG39" s="24"/>
      <c r="AH39" s="24"/>
      <c r="AI39" s="24"/>
      <c r="AJ39" s="24"/>
      <c r="AK39" s="24"/>
      <c r="AL39" s="24"/>
      <c r="AM39" s="24"/>
      <c r="AN39" s="24"/>
      <c r="AO39" s="11"/>
      <c r="AP39" s="11"/>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row>
    <row r="40" spans="1:70" s="25" customFormat="1" ht="34" hidden="1" customHeight="1" outlineLevel="1" x14ac:dyDescent="0.3">
      <c r="A40" s="168">
        <v>29</v>
      </c>
      <c r="B40" s="115"/>
      <c r="C40" s="124"/>
      <c r="D40" s="116"/>
      <c r="E40" s="117"/>
      <c r="F40" s="118"/>
      <c r="G40" s="143" t="str">
        <f t="shared" si="4"/>
        <v/>
      </c>
      <c r="H40" s="327"/>
      <c r="I40" s="603"/>
      <c r="J40" s="604"/>
      <c r="K40" s="119"/>
      <c r="L40" s="120"/>
      <c r="M40" s="146" t="str">
        <f t="shared" si="5"/>
        <v/>
      </c>
      <c r="N40" s="147">
        <f t="shared" si="6"/>
        <v>0</v>
      </c>
      <c r="O40" s="121"/>
      <c r="P40" s="155" t="str">
        <f t="shared" si="0"/>
        <v/>
      </c>
      <c r="Q40" s="156" t="str">
        <f t="shared" si="1"/>
        <v/>
      </c>
      <c r="R40" s="547" t="str">
        <f t="shared" si="2"/>
        <v/>
      </c>
      <c r="S40" s="157" t="str">
        <f t="shared" si="7"/>
        <v/>
      </c>
      <c r="T40" s="157" t="str">
        <f t="shared" si="8"/>
        <v/>
      </c>
      <c r="U40" s="158" t="str">
        <f t="shared" si="9"/>
        <v/>
      </c>
      <c r="V40" s="558" t="str">
        <f ca="1">IF('Extra look-up'!$H34="Work Type","Check Work Type",IF(AND(D40="",F40="",H40="",I40="",L40="",M40=""),"",IF(OR(D40="",F40="",H40="",I40="",L40="",M40="",$L$9&lt;&gt;"OK"),"Check all fields completed correctly",IF(AND(D40="",OR(F40&lt;&gt;"",H40&lt;&gt;"",I40&lt;&gt;"",L40&lt;&gt;"")),"Check all fields completed correctly","OK"))))</f>
        <v/>
      </c>
      <c r="W40" s="522" t="str">
        <f>IF(I40="","",IF(VLOOKUP(I40,'Eligible Technologies'!$D$7:$G$76,4,FALSE)&lt;$F$9,VLOOKUP(I40,'Eligible Technologies'!$D$7:$G$76,4,FALSE),$F$9))</f>
        <v/>
      </c>
      <c r="X40" s="523" t="str">
        <f t="shared" si="14"/>
        <v/>
      </c>
      <c r="Y40" s="523">
        <f t="shared" ca="1" si="10"/>
        <v>0</v>
      </c>
      <c r="Z40" s="523" t="str">
        <f>'Extra look-up'!F34</f>
        <v/>
      </c>
      <c r="AA40" s="523" t="str">
        <f ca="1">'Extra look-up'!H34</f>
        <v>OK</v>
      </c>
      <c r="AB40" s="523">
        <f t="shared" ca="1" si="12"/>
        <v>1</v>
      </c>
      <c r="AC40" s="539" t="e">
        <f t="shared" si="13"/>
        <v>#VALUE!</v>
      </c>
      <c r="AD40" s="542">
        <f t="shared" si="11"/>
        <v>0.1953</v>
      </c>
      <c r="AE40" s="536"/>
      <c r="AF40" s="536"/>
      <c r="AG40" s="24"/>
      <c r="AH40" s="24"/>
      <c r="AI40" s="24"/>
      <c r="AJ40" s="24"/>
      <c r="AK40" s="24"/>
      <c r="AL40" s="24"/>
      <c r="AM40" s="24"/>
      <c r="AN40" s="24"/>
      <c r="AO40" s="11"/>
      <c r="AP40" s="11"/>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row>
    <row r="41" spans="1:70" s="25" customFormat="1" ht="34" hidden="1" customHeight="1" outlineLevel="1" x14ac:dyDescent="0.3">
      <c r="A41" s="168">
        <v>30</v>
      </c>
      <c r="B41" s="115"/>
      <c r="C41" s="124"/>
      <c r="D41" s="116"/>
      <c r="E41" s="117"/>
      <c r="F41" s="118"/>
      <c r="G41" s="143" t="str">
        <f t="shared" si="4"/>
        <v/>
      </c>
      <c r="H41" s="327"/>
      <c r="I41" s="603"/>
      <c r="J41" s="604"/>
      <c r="K41" s="119"/>
      <c r="L41" s="120"/>
      <c r="M41" s="146" t="str">
        <f t="shared" si="5"/>
        <v/>
      </c>
      <c r="N41" s="147">
        <f t="shared" si="6"/>
        <v>0</v>
      </c>
      <c r="O41" s="121"/>
      <c r="P41" s="155" t="str">
        <f t="shared" si="0"/>
        <v/>
      </c>
      <c r="Q41" s="156" t="str">
        <f t="shared" si="1"/>
        <v/>
      </c>
      <c r="R41" s="547" t="str">
        <f t="shared" si="2"/>
        <v/>
      </c>
      <c r="S41" s="157" t="str">
        <f t="shared" si="7"/>
        <v/>
      </c>
      <c r="T41" s="157" t="str">
        <f t="shared" si="8"/>
        <v/>
      </c>
      <c r="U41" s="158" t="str">
        <f t="shared" si="9"/>
        <v/>
      </c>
      <c r="V41" s="558" t="str">
        <f ca="1">IF('Extra look-up'!$H35="Work Type","Check Work Type",IF(AND(D41="",F41="",H41="",I41="",L41="",M41=""),"",IF(OR(D41="",F41="",H41="",I41="",L41="",M41="",$L$9&lt;&gt;"OK"),"Check all fields completed correctly",IF(AND(D41="",OR(F41&lt;&gt;"",H41&lt;&gt;"",I41&lt;&gt;"",L41&lt;&gt;"")),"Check all fields completed correctly","OK"))))</f>
        <v/>
      </c>
      <c r="W41" s="522" t="str">
        <f>IF(I41="","",IF(VLOOKUP(I41,'Eligible Technologies'!$D$7:$G$76,4,FALSE)&lt;$F$9,VLOOKUP(I41,'Eligible Technologies'!$D$7:$G$76,4,FALSE),$F$9))</f>
        <v/>
      </c>
      <c r="X41" s="523" t="str">
        <f t="shared" si="14"/>
        <v/>
      </c>
      <c r="Y41" s="523">
        <f t="shared" ca="1" si="10"/>
        <v>0</v>
      </c>
      <c r="Z41" s="523" t="str">
        <f>'Extra look-up'!F35</f>
        <v/>
      </c>
      <c r="AA41" s="523" t="str">
        <f ca="1">'Extra look-up'!H35</f>
        <v>OK</v>
      </c>
      <c r="AB41" s="523">
        <f t="shared" ca="1" si="12"/>
        <v>1</v>
      </c>
      <c r="AC41" s="539" t="e">
        <f t="shared" si="13"/>
        <v>#VALUE!</v>
      </c>
      <c r="AD41" s="542">
        <f t="shared" si="11"/>
        <v>0.1953</v>
      </c>
      <c r="AE41" s="536"/>
      <c r="AF41" s="536"/>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row>
    <row r="42" spans="1:70" s="25" customFormat="1" ht="34" hidden="1" customHeight="1" outlineLevel="1" x14ac:dyDescent="0.3">
      <c r="A42" s="168">
        <v>31</v>
      </c>
      <c r="B42" s="115"/>
      <c r="C42" s="124"/>
      <c r="D42" s="116"/>
      <c r="E42" s="117"/>
      <c r="F42" s="118"/>
      <c r="G42" s="143" t="str">
        <f t="shared" si="4"/>
        <v/>
      </c>
      <c r="H42" s="327"/>
      <c r="I42" s="603"/>
      <c r="J42" s="604"/>
      <c r="K42" s="119"/>
      <c r="L42" s="120"/>
      <c r="M42" s="146" t="str">
        <f t="shared" si="5"/>
        <v/>
      </c>
      <c r="N42" s="147">
        <f t="shared" si="6"/>
        <v>0</v>
      </c>
      <c r="O42" s="121"/>
      <c r="P42" s="155" t="str">
        <f t="shared" si="0"/>
        <v/>
      </c>
      <c r="Q42" s="156" t="str">
        <f t="shared" si="1"/>
        <v/>
      </c>
      <c r="R42" s="547" t="str">
        <f t="shared" si="2"/>
        <v/>
      </c>
      <c r="S42" s="157" t="str">
        <f t="shared" si="7"/>
        <v/>
      </c>
      <c r="T42" s="157" t="str">
        <f t="shared" si="8"/>
        <v/>
      </c>
      <c r="U42" s="158" t="str">
        <f t="shared" si="9"/>
        <v/>
      </c>
      <c r="V42" s="558" t="str">
        <f ca="1">IF('Extra look-up'!$H36="Work Type","Check Work Type",IF(AND(D42="",F42="",H42="",I42="",L42="",M42=""),"",IF(OR(D42="",F42="",H42="",I42="",L42="",M42="",$L$9&lt;&gt;"OK"),"Check all fields completed correctly",IF(AND(D42="",OR(F42&lt;&gt;"",H42&lt;&gt;"",I42&lt;&gt;"",L42&lt;&gt;"")),"Check all fields completed correctly","OK"))))</f>
        <v/>
      </c>
      <c r="W42" s="522" t="str">
        <f>IF(I42="","",IF(VLOOKUP(I42,'Eligible Technologies'!$D$7:$G$76,4,FALSE)&lt;$F$9,VLOOKUP(I42,'Eligible Technologies'!$D$7:$G$76,4,FALSE),$F$9))</f>
        <v/>
      </c>
      <c r="X42" s="523" t="str">
        <f t="shared" si="14"/>
        <v/>
      </c>
      <c r="Y42" s="523">
        <f t="shared" ca="1" si="10"/>
        <v>0</v>
      </c>
      <c r="Z42" s="523" t="str">
        <f>'Extra look-up'!F36</f>
        <v/>
      </c>
      <c r="AA42" s="523" t="str">
        <f ca="1">'Extra look-up'!H36</f>
        <v>OK</v>
      </c>
      <c r="AB42" s="523">
        <f t="shared" ca="1" si="12"/>
        <v>1</v>
      </c>
      <c r="AC42" s="539" t="e">
        <f t="shared" si="13"/>
        <v>#VALUE!</v>
      </c>
      <c r="AD42" s="542">
        <f t="shared" si="11"/>
        <v>0.1953</v>
      </c>
      <c r="AE42" s="536"/>
      <c r="AF42" s="536"/>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row>
    <row r="43" spans="1:70" s="25" customFormat="1" ht="34" hidden="1" customHeight="1" outlineLevel="1" x14ac:dyDescent="0.3">
      <c r="A43" s="168">
        <v>32</v>
      </c>
      <c r="B43" s="115"/>
      <c r="C43" s="124"/>
      <c r="D43" s="116"/>
      <c r="E43" s="117"/>
      <c r="F43" s="118"/>
      <c r="G43" s="143" t="str">
        <f t="shared" si="4"/>
        <v/>
      </c>
      <c r="H43" s="327"/>
      <c r="I43" s="603"/>
      <c r="J43" s="604"/>
      <c r="K43" s="119"/>
      <c r="L43" s="120"/>
      <c r="M43" s="146" t="str">
        <f t="shared" si="5"/>
        <v/>
      </c>
      <c r="N43" s="147">
        <f t="shared" si="6"/>
        <v>0</v>
      </c>
      <c r="O43" s="121"/>
      <c r="P43" s="155" t="str">
        <f t="shared" si="0"/>
        <v/>
      </c>
      <c r="Q43" s="156" t="str">
        <f t="shared" si="1"/>
        <v/>
      </c>
      <c r="R43" s="547" t="str">
        <f t="shared" si="2"/>
        <v/>
      </c>
      <c r="S43" s="157" t="str">
        <f t="shared" si="7"/>
        <v/>
      </c>
      <c r="T43" s="157" t="str">
        <f t="shared" si="8"/>
        <v/>
      </c>
      <c r="U43" s="158" t="str">
        <f t="shared" si="9"/>
        <v/>
      </c>
      <c r="V43" s="558" t="str">
        <f>IF('Extra look-up'!$H69="Work Type","Check Work Type",IF(AND(D43="",F43="",H43="",I43="",L43="",M43=""),"",IF(OR(D43="",F43="",H43="",I43="",L43="",M43="",$L$9&lt;&gt;"OK"),"Check all fields completed correctly",IF(AND(D43="",OR(F43&lt;&gt;"",H43&lt;&gt;"",I43&lt;&gt;"",L43&lt;&gt;"")),"Check all fields completed correctly","OK"))))</f>
        <v/>
      </c>
      <c r="W43" s="522" t="str">
        <f>IF(I43="","",IF(VLOOKUP(I43,'Eligible Technologies'!$D$7:$G$76,4,FALSE)&lt;$F$9,VLOOKUP(I43,'Eligible Technologies'!$D$7:$G$76,4,FALSE),$F$9))</f>
        <v/>
      </c>
      <c r="X43" s="523" t="str">
        <f t="shared" si="14"/>
        <v/>
      </c>
      <c r="Y43" s="523">
        <f t="shared" si="10"/>
        <v>0</v>
      </c>
      <c r="Z43" s="523" t="str">
        <f>'Extra look-up'!F37</f>
        <v/>
      </c>
      <c r="AA43" s="523" t="str">
        <f ca="1">'Extra look-up'!H37</f>
        <v>OK</v>
      </c>
      <c r="AB43" s="523">
        <f t="shared" si="12"/>
        <v>1</v>
      </c>
      <c r="AC43" s="539" t="e">
        <f t="shared" si="13"/>
        <v>#VALUE!</v>
      </c>
      <c r="AD43" s="542">
        <f t="shared" si="11"/>
        <v>0.1953</v>
      </c>
      <c r="AE43" s="536"/>
      <c r="AF43" s="536"/>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row>
    <row r="44" spans="1:70" s="25" customFormat="1" ht="34" hidden="1" customHeight="1" outlineLevel="1" x14ac:dyDescent="0.3">
      <c r="A44" s="168">
        <v>33</v>
      </c>
      <c r="B44" s="115"/>
      <c r="C44" s="124"/>
      <c r="D44" s="116"/>
      <c r="E44" s="117"/>
      <c r="F44" s="118"/>
      <c r="G44" s="143" t="str">
        <f t="shared" ref="G44:G61" si="15">IFERROR(((F44/E44)^(1/X44))-1,"")</f>
        <v/>
      </c>
      <c r="H44" s="327"/>
      <c r="I44" s="603"/>
      <c r="J44" s="604"/>
      <c r="K44" s="119"/>
      <c r="L44" s="120"/>
      <c r="M44" s="146" t="str">
        <f t="shared" si="5"/>
        <v/>
      </c>
      <c r="N44" s="147">
        <f t="shared" si="6"/>
        <v>0</v>
      </c>
      <c r="O44" s="121"/>
      <c r="P44" s="155" t="str">
        <f t="shared" ref="P44:P61" si="16">IF(OR(F44="",M44=""),"",M44*F44/100)</f>
        <v/>
      </c>
      <c r="Q44" s="156" t="str">
        <f t="shared" si="1"/>
        <v/>
      </c>
      <c r="R44" s="547" t="str">
        <f t="shared" ref="R44:R61" si="17">IFERROR(IF(D44="Electricity",AD44,HLOOKUP(D44,$AH$100:$AQ$138,2,FALSE)),"")</f>
        <v/>
      </c>
      <c r="S44" s="157" t="str">
        <f t="shared" ref="S44:S61" si="18">IF(OR(D44="",M44="",R44=""),"",M44*R44/1000)</f>
        <v/>
      </c>
      <c r="T44" s="157" t="str">
        <f t="shared" si="8"/>
        <v/>
      </c>
      <c r="U44" s="158" t="str">
        <f t="shared" si="9"/>
        <v/>
      </c>
      <c r="V44" s="558" t="str">
        <f>IF('Extra look-up'!$H70="Work Type","Check Work Type",IF(AND(D44="",F44="",H44="",I44="",L44="",M44=""),"",IF(OR(D44="",F44="",H44="",I44="",L44="",M44="",$L$9&lt;&gt;"OK"),"Check all fields completed correctly",IF(AND(D44="",OR(F44&lt;&gt;"",H44&lt;&gt;"",I44&lt;&gt;"",L44&lt;&gt;"")),"Check all fields completed correctly","OK"))))</f>
        <v/>
      </c>
      <c r="W44" s="522" t="str">
        <f>IF(I44="","",IF(VLOOKUP(I44,'Eligible Technologies'!$D$7:$G$76,4,FALSE)&lt;$F$9,VLOOKUP(I44,'Eligible Technologies'!$D$7:$G$76,4,FALSE),$F$9))</f>
        <v/>
      </c>
      <c r="X44" s="523" t="str">
        <f t="shared" si="14"/>
        <v/>
      </c>
      <c r="Y44" s="523">
        <f t="shared" si="10"/>
        <v>0</v>
      </c>
      <c r="Z44" s="523" t="str">
        <f>'Extra look-up'!F38</f>
        <v/>
      </c>
      <c r="AA44" s="523" t="str">
        <f ca="1">'Extra look-up'!H38</f>
        <v>OK</v>
      </c>
      <c r="AB44" s="523">
        <f t="shared" si="12"/>
        <v>1</v>
      </c>
      <c r="AC44" s="539" t="e">
        <f t="shared" si="13"/>
        <v>#VALUE!</v>
      </c>
      <c r="AD44" s="542">
        <f t="shared" si="11"/>
        <v>0.1953</v>
      </c>
      <c r="AE44" s="536"/>
      <c r="AF44" s="536"/>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row>
    <row r="45" spans="1:70" s="25" customFormat="1" ht="34" hidden="1" customHeight="1" outlineLevel="1" x14ac:dyDescent="0.3">
      <c r="A45" s="168">
        <v>34</v>
      </c>
      <c r="B45" s="115"/>
      <c r="C45" s="124"/>
      <c r="D45" s="116"/>
      <c r="E45" s="117"/>
      <c r="F45" s="118"/>
      <c r="G45" s="143" t="str">
        <f t="shared" si="15"/>
        <v/>
      </c>
      <c r="H45" s="327"/>
      <c r="I45" s="603"/>
      <c r="J45" s="604"/>
      <c r="K45" s="119"/>
      <c r="L45" s="120"/>
      <c r="M45" s="146" t="str">
        <f t="shared" si="5"/>
        <v/>
      </c>
      <c r="N45" s="147">
        <f t="shared" si="6"/>
        <v>0</v>
      </c>
      <c r="O45" s="121"/>
      <c r="P45" s="155" t="str">
        <f t="shared" si="16"/>
        <v/>
      </c>
      <c r="Q45" s="156" t="str">
        <f t="shared" si="1"/>
        <v/>
      </c>
      <c r="R45" s="547" t="str">
        <f t="shared" si="17"/>
        <v/>
      </c>
      <c r="S45" s="157" t="str">
        <f t="shared" si="18"/>
        <v/>
      </c>
      <c r="T45" s="157" t="str">
        <f t="shared" si="8"/>
        <v/>
      </c>
      <c r="U45" s="158" t="str">
        <f t="shared" si="9"/>
        <v/>
      </c>
      <c r="V45" s="558" t="str">
        <f>IF('Extra look-up'!$H71="Work Type","Check Work Type",IF(AND(D45="",F45="",H45="",I45="",L45="",M45=""),"",IF(OR(D45="",F45="",H45="",I45="",L45="",M45="",$L$9&lt;&gt;"OK"),"Check all fields completed correctly",IF(AND(D45="",OR(F45&lt;&gt;"",H45&lt;&gt;"",I45&lt;&gt;"",L45&lt;&gt;"")),"Check all fields completed correctly","OK"))))</f>
        <v/>
      </c>
      <c r="W45" s="522" t="str">
        <f>IF(I45="","",IF(VLOOKUP(I45,'Eligible Technologies'!$D$7:$G$76,4,FALSE)&lt;$F$9,VLOOKUP(I45,'Eligible Technologies'!$D$7:$G$76,4,FALSE),$F$9))</f>
        <v/>
      </c>
      <c r="X45" s="523" t="str">
        <f t="shared" si="14"/>
        <v/>
      </c>
      <c r="Y45" s="523">
        <f t="shared" si="10"/>
        <v>0</v>
      </c>
      <c r="Z45" s="523" t="str">
        <f>'Extra look-up'!F39</f>
        <v/>
      </c>
      <c r="AA45" s="523" t="str">
        <f ca="1">'Extra look-up'!H39</f>
        <v>OK</v>
      </c>
      <c r="AB45" s="523">
        <f t="shared" si="12"/>
        <v>1</v>
      </c>
      <c r="AC45" s="539" t="e">
        <f t="shared" si="13"/>
        <v>#VALUE!</v>
      </c>
      <c r="AD45" s="542">
        <f t="shared" si="11"/>
        <v>0.1953</v>
      </c>
      <c r="AE45" s="536"/>
      <c r="AF45" s="536"/>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row>
    <row r="46" spans="1:70" s="25" customFormat="1" ht="34" hidden="1" customHeight="1" outlineLevel="1" x14ac:dyDescent="0.3">
      <c r="A46" s="168">
        <v>35</v>
      </c>
      <c r="B46" s="115"/>
      <c r="C46" s="124"/>
      <c r="D46" s="116"/>
      <c r="E46" s="117"/>
      <c r="F46" s="118"/>
      <c r="G46" s="143" t="str">
        <f t="shared" si="15"/>
        <v/>
      </c>
      <c r="H46" s="327"/>
      <c r="I46" s="603"/>
      <c r="J46" s="604"/>
      <c r="K46" s="119"/>
      <c r="L46" s="120"/>
      <c r="M46" s="146" t="str">
        <f t="shared" si="5"/>
        <v/>
      </c>
      <c r="N46" s="147">
        <f t="shared" si="6"/>
        <v>0</v>
      </c>
      <c r="O46" s="121"/>
      <c r="P46" s="155" t="str">
        <f t="shared" si="16"/>
        <v/>
      </c>
      <c r="Q46" s="156" t="str">
        <f t="shared" si="1"/>
        <v/>
      </c>
      <c r="R46" s="547" t="str">
        <f t="shared" si="17"/>
        <v/>
      </c>
      <c r="S46" s="157" t="str">
        <f t="shared" si="18"/>
        <v/>
      </c>
      <c r="T46" s="157" t="str">
        <f t="shared" si="8"/>
        <v/>
      </c>
      <c r="U46" s="158" t="str">
        <f t="shared" si="9"/>
        <v/>
      </c>
      <c r="V46" s="558" t="str">
        <f>IF('Extra look-up'!$H72="Work Type","Check Work Type",IF(AND(D46="",F46="",H46="",I46="",L46="",M46=""),"",IF(OR(D46="",F46="",H46="",I46="",L46="",M46="",$L$9&lt;&gt;"OK"),"Check all fields completed correctly",IF(AND(D46="",OR(F46&lt;&gt;"",H46&lt;&gt;"",I46&lt;&gt;"",L46&lt;&gt;"")),"Check all fields completed correctly","OK"))))</f>
        <v/>
      </c>
      <c r="W46" s="522" t="str">
        <f>IF(I46="","",IF(VLOOKUP(I46,'Eligible Technologies'!$D$7:$G$76,4,FALSE)&lt;$F$9,VLOOKUP(I46,'Eligible Technologies'!$D$7:$G$76,4,FALSE),$F$9))</f>
        <v/>
      </c>
      <c r="X46" s="523" t="str">
        <f t="shared" si="14"/>
        <v/>
      </c>
      <c r="Y46" s="523">
        <f t="shared" si="10"/>
        <v>0</v>
      </c>
      <c r="Z46" s="523" t="str">
        <f>'Extra look-up'!F40</f>
        <v/>
      </c>
      <c r="AA46" s="523" t="str">
        <f ca="1">'Extra look-up'!H40</f>
        <v>OK</v>
      </c>
      <c r="AB46" s="523">
        <f t="shared" si="12"/>
        <v>1</v>
      </c>
      <c r="AC46" s="539" t="e">
        <f t="shared" si="13"/>
        <v>#VALUE!</v>
      </c>
      <c r="AD46" s="542">
        <f t="shared" si="11"/>
        <v>0.1953</v>
      </c>
      <c r="AE46" s="536"/>
      <c r="AF46" s="536"/>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row>
    <row r="47" spans="1:70" s="25" customFormat="1" ht="34" hidden="1" customHeight="1" outlineLevel="1" x14ac:dyDescent="0.3">
      <c r="A47" s="168">
        <v>36</v>
      </c>
      <c r="B47" s="115"/>
      <c r="C47" s="124"/>
      <c r="D47" s="116"/>
      <c r="E47" s="117"/>
      <c r="F47" s="118"/>
      <c r="G47" s="143" t="str">
        <f t="shared" si="15"/>
        <v/>
      </c>
      <c r="H47" s="327"/>
      <c r="I47" s="603"/>
      <c r="J47" s="604"/>
      <c r="K47" s="119"/>
      <c r="L47" s="120"/>
      <c r="M47" s="146" t="str">
        <f t="shared" si="5"/>
        <v/>
      </c>
      <c r="N47" s="147">
        <f t="shared" si="6"/>
        <v>0</v>
      </c>
      <c r="O47" s="121"/>
      <c r="P47" s="155" t="str">
        <f t="shared" si="16"/>
        <v/>
      </c>
      <c r="Q47" s="156" t="str">
        <f t="shared" si="1"/>
        <v/>
      </c>
      <c r="R47" s="547" t="str">
        <f t="shared" si="17"/>
        <v/>
      </c>
      <c r="S47" s="157" t="str">
        <f t="shared" si="18"/>
        <v/>
      </c>
      <c r="T47" s="157" t="str">
        <f t="shared" si="8"/>
        <v/>
      </c>
      <c r="U47" s="158" t="str">
        <f t="shared" si="9"/>
        <v/>
      </c>
      <c r="V47" s="558" t="str">
        <f>IF('Extra look-up'!$H73="Work Type","Check Work Type",IF(AND(D47="",F47="",H47="",I47="",L47="",M47=""),"",IF(OR(D47="",F47="",H47="",I47="",L47="",M47="",$L$9&lt;&gt;"OK"),"Check all fields completed correctly",IF(AND(D47="",OR(F47&lt;&gt;"",H47&lt;&gt;"",I47&lt;&gt;"",L47&lt;&gt;"")),"Check all fields completed correctly","OK"))))</f>
        <v/>
      </c>
      <c r="W47" s="522" t="str">
        <f>IF(I47="","",IF(VLOOKUP(I47,'Eligible Technologies'!$D$7:$G$76,4,FALSE)&lt;$F$9,VLOOKUP(I47,'Eligible Technologies'!$D$7:$G$76,4,FALSE),$F$9))</f>
        <v/>
      </c>
      <c r="X47" s="523" t="str">
        <f t="shared" si="14"/>
        <v/>
      </c>
      <c r="Y47" s="523">
        <f t="shared" si="10"/>
        <v>0</v>
      </c>
      <c r="Z47" s="523" t="str">
        <f>'Extra look-up'!F41</f>
        <v/>
      </c>
      <c r="AA47" s="523" t="str">
        <f ca="1">'Extra look-up'!H41</f>
        <v>OK</v>
      </c>
      <c r="AB47" s="523">
        <f t="shared" si="12"/>
        <v>1</v>
      </c>
      <c r="AC47" s="539" t="e">
        <f t="shared" si="13"/>
        <v>#VALUE!</v>
      </c>
      <c r="AD47" s="542">
        <f t="shared" si="11"/>
        <v>0.1953</v>
      </c>
      <c r="AE47" s="536"/>
      <c r="AF47" s="536"/>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row>
    <row r="48" spans="1:70" s="25" customFormat="1" ht="34" hidden="1" customHeight="1" outlineLevel="1" x14ac:dyDescent="0.3">
      <c r="A48" s="168">
        <v>37</v>
      </c>
      <c r="B48" s="115"/>
      <c r="C48" s="124"/>
      <c r="D48" s="116"/>
      <c r="E48" s="117"/>
      <c r="F48" s="118"/>
      <c r="G48" s="143" t="str">
        <f t="shared" si="15"/>
        <v/>
      </c>
      <c r="H48" s="327"/>
      <c r="I48" s="603"/>
      <c r="J48" s="604"/>
      <c r="K48" s="119"/>
      <c r="L48" s="120"/>
      <c r="M48" s="146" t="str">
        <f t="shared" si="5"/>
        <v/>
      </c>
      <c r="N48" s="147">
        <f t="shared" si="6"/>
        <v>0</v>
      </c>
      <c r="O48" s="121"/>
      <c r="P48" s="155" t="str">
        <f t="shared" si="16"/>
        <v/>
      </c>
      <c r="Q48" s="156" t="str">
        <f t="shared" si="1"/>
        <v/>
      </c>
      <c r="R48" s="547" t="str">
        <f t="shared" si="17"/>
        <v/>
      </c>
      <c r="S48" s="157" t="str">
        <f t="shared" si="18"/>
        <v/>
      </c>
      <c r="T48" s="157" t="str">
        <f t="shared" si="8"/>
        <v/>
      </c>
      <c r="U48" s="158" t="str">
        <f t="shared" si="9"/>
        <v/>
      </c>
      <c r="V48" s="558" t="str">
        <f>IF('Extra look-up'!$H74="Work Type","Check Work Type",IF(AND(D48="",F48="",H48="",I48="",L48="",M48=""),"",IF(OR(D48="",F48="",H48="",I48="",L48="",M48="",$L$9&lt;&gt;"OK"),"Check all fields completed correctly",IF(AND(D48="",OR(F48&lt;&gt;"",H48&lt;&gt;"",I48&lt;&gt;"",L48&lt;&gt;"")),"Check all fields completed correctly","OK"))))</f>
        <v/>
      </c>
      <c r="W48" s="522" t="str">
        <f>IF(I48="","",IF(VLOOKUP(I48,'Eligible Technologies'!$D$7:$G$76,4,FALSE)&lt;$F$9,VLOOKUP(I48,'Eligible Technologies'!$D$7:$G$76,4,FALSE),$F$9))</f>
        <v/>
      </c>
      <c r="X48" s="523" t="str">
        <f t="shared" si="14"/>
        <v/>
      </c>
      <c r="Y48" s="523">
        <f t="shared" si="10"/>
        <v>0</v>
      </c>
      <c r="Z48" s="523" t="str">
        <f>'Extra look-up'!F42</f>
        <v/>
      </c>
      <c r="AA48" s="523" t="str">
        <f ca="1">'Extra look-up'!H42</f>
        <v>OK</v>
      </c>
      <c r="AB48" s="523">
        <f t="shared" si="12"/>
        <v>1</v>
      </c>
      <c r="AC48" s="539" t="e">
        <f t="shared" si="13"/>
        <v>#VALUE!</v>
      </c>
      <c r="AD48" s="542">
        <f t="shared" si="11"/>
        <v>0.1953</v>
      </c>
      <c r="AE48" s="536"/>
      <c r="AF48" s="536"/>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row>
    <row r="49" spans="1:70" s="25" customFormat="1" ht="34" hidden="1" customHeight="1" outlineLevel="1" x14ac:dyDescent="0.3">
      <c r="A49" s="168">
        <v>38</v>
      </c>
      <c r="B49" s="115"/>
      <c r="C49" s="124"/>
      <c r="D49" s="116"/>
      <c r="E49" s="117"/>
      <c r="F49" s="118"/>
      <c r="G49" s="143" t="str">
        <f t="shared" si="15"/>
        <v/>
      </c>
      <c r="H49" s="327"/>
      <c r="I49" s="603"/>
      <c r="J49" s="604"/>
      <c r="K49" s="119"/>
      <c r="L49" s="120"/>
      <c r="M49" s="146" t="str">
        <f t="shared" si="5"/>
        <v/>
      </c>
      <c r="N49" s="147">
        <f t="shared" si="6"/>
        <v>0</v>
      </c>
      <c r="O49" s="121"/>
      <c r="P49" s="155" t="str">
        <f t="shared" si="16"/>
        <v/>
      </c>
      <c r="Q49" s="156" t="str">
        <f t="shared" si="1"/>
        <v/>
      </c>
      <c r="R49" s="547" t="str">
        <f t="shared" si="17"/>
        <v/>
      </c>
      <c r="S49" s="157" t="str">
        <f t="shared" si="18"/>
        <v/>
      </c>
      <c r="T49" s="157" t="str">
        <f t="shared" si="8"/>
        <v/>
      </c>
      <c r="U49" s="158" t="str">
        <f t="shared" si="9"/>
        <v/>
      </c>
      <c r="V49" s="558" t="str">
        <f>IF('Extra look-up'!$H75="Work Type","Check Work Type",IF(AND(D49="",F49="",H49="",I49="",L49="",M49=""),"",IF(OR(D49="",F49="",H49="",I49="",L49="",M49="",$L$9&lt;&gt;"OK"),"Check all fields completed correctly",IF(AND(D49="",OR(F49&lt;&gt;"",H49&lt;&gt;"",I49&lt;&gt;"",L49&lt;&gt;"")),"Check all fields completed correctly","OK"))))</f>
        <v/>
      </c>
      <c r="W49" s="522" t="str">
        <f>IF(I49="","",IF(VLOOKUP(I49,'Eligible Technologies'!$D$7:$G$76,4,FALSE)&lt;$F$9,VLOOKUP(I49,'Eligible Technologies'!$D$7:$G$76,4,FALSE),$F$9))</f>
        <v/>
      </c>
      <c r="X49" s="523" t="str">
        <f t="shared" si="14"/>
        <v/>
      </c>
      <c r="Y49" s="523">
        <f t="shared" si="10"/>
        <v>0</v>
      </c>
      <c r="Z49" s="523" t="str">
        <f>'Extra look-up'!F43</f>
        <v/>
      </c>
      <c r="AA49" s="523" t="str">
        <f ca="1">'Extra look-up'!H43</f>
        <v>OK</v>
      </c>
      <c r="AB49" s="523">
        <f t="shared" si="12"/>
        <v>1</v>
      </c>
      <c r="AC49" s="539" t="e">
        <f t="shared" si="13"/>
        <v>#VALUE!</v>
      </c>
      <c r="AD49" s="542">
        <f t="shared" si="11"/>
        <v>0.1953</v>
      </c>
      <c r="AE49" s="536"/>
      <c r="AF49" s="536"/>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row>
    <row r="50" spans="1:70" s="25" customFormat="1" ht="34" hidden="1" customHeight="1" outlineLevel="1" x14ac:dyDescent="0.3">
      <c r="A50" s="168">
        <v>39</v>
      </c>
      <c r="B50" s="115"/>
      <c r="C50" s="124"/>
      <c r="D50" s="116"/>
      <c r="E50" s="117"/>
      <c r="F50" s="118"/>
      <c r="G50" s="143" t="str">
        <f t="shared" si="15"/>
        <v/>
      </c>
      <c r="H50" s="327"/>
      <c r="I50" s="603"/>
      <c r="J50" s="604"/>
      <c r="K50" s="119"/>
      <c r="L50" s="120"/>
      <c r="M50" s="146" t="str">
        <f t="shared" si="5"/>
        <v/>
      </c>
      <c r="N50" s="147">
        <f t="shared" si="6"/>
        <v>0</v>
      </c>
      <c r="O50" s="121"/>
      <c r="P50" s="155" t="str">
        <f t="shared" si="16"/>
        <v/>
      </c>
      <c r="Q50" s="156" t="str">
        <f t="shared" si="1"/>
        <v/>
      </c>
      <c r="R50" s="547" t="str">
        <f t="shared" si="17"/>
        <v/>
      </c>
      <c r="S50" s="157" t="str">
        <f t="shared" si="18"/>
        <v/>
      </c>
      <c r="T50" s="157" t="str">
        <f t="shared" si="8"/>
        <v/>
      </c>
      <c r="U50" s="158" t="str">
        <f t="shared" si="9"/>
        <v/>
      </c>
      <c r="V50" s="558" t="str">
        <f>IF('Extra look-up'!$H76="Work Type","Check Work Type",IF(AND(D50="",F50="",H50="",I50="",L50="",M50=""),"",IF(OR(D50="",F50="",H50="",I50="",L50="",M50="",$L$9&lt;&gt;"OK"),"Check all fields completed correctly",IF(AND(D50="",OR(F50&lt;&gt;"",H50&lt;&gt;"",I50&lt;&gt;"",L50&lt;&gt;"")),"Check all fields completed correctly","OK"))))</f>
        <v/>
      </c>
      <c r="W50" s="522" t="str">
        <f>IF(I50="","",IF(VLOOKUP(I50,'Eligible Technologies'!$D$7:$G$76,4,FALSE)&lt;$F$9,VLOOKUP(I50,'Eligible Technologies'!$D$7:$G$76,4,FALSE),$F$9))</f>
        <v/>
      </c>
      <c r="X50" s="523" t="str">
        <f t="shared" si="14"/>
        <v/>
      </c>
      <c r="Y50" s="523">
        <f t="shared" si="10"/>
        <v>0</v>
      </c>
      <c r="Z50" s="523" t="str">
        <f>'Extra look-up'!F44</f>
        <v/>
      </c>
      <c r="AA50" s="523" t="str">
        <f ca="1">'Extra look-up'!H44</f>
        <v>OK</v>
      </c>
      <c r="AB50" s="523">
        <f t="shared" si="12"/>
        <v>1</v>
      </c>
      <c r="AC50" s="539" t="e">
        <f t="shared" si="13"/>
        <v>#VALUE!</v>
      </c>
      <c r="AD50" s="542">
        <f t="shared" si="11"/>
        <v>0.1953</v>
      </c>
      <c r="AE50" s="536"/>
      <c r="AF50" s="536"/>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row>
    <row r="51" spans="1:70" s="25" customFormat="1" ht="34" hidden="1" customHeight="1" outlineLevel="1" x14ac:dyDescent="0.3">
      <c r="A51" s="168">
        <v>40</v>
      </c>
      <c r="B51" s="115"/>
      <c r="C51" s="124"/>
      <c r="D51" s="116"/>
      <c r="E51" s="117"/>
      <c r="F51" s="118"/>
      <c r="G51" s="143" t="str">
        <f t="shared" si="15"/>
        <v/>
      </c>
      <c r="H51" s="327"/>
      <c r="I51" s="603"/>
      <c r="J51" s="604"/>
      <c r="K51" s="119"/>
      <c r="L51" s="120"/>
      <c r="M51" s="146" t="str">
        <f t="shared" si="5"/>
        <v/>
      </c>
      <c r="N51" s="147">
        <f t="shared" si="6"/>
        <v>0</v>
      </c>
      <c r="O51" s="121"/>
      <c r="P51" s="155" t="str">
        <f t="shared" si="16"/>
        <v/>
      </c>
      <c r="Q51" s="156" t="str">
        <f t="shared" si="1"/>
        <v/>
      </c>
      <c r="R51" s="547" t="str">
        <f t="shared" si="17"/>
        <v/>
      </c>
      <c r="S51" s="157" t="str">
        <f t="shared" si="18"/>
        <v/>
      </c>
      <c r="T51" s="157" t="str">
        <f t="shared" si="8"/>
        <v/>
      </c>
      <c r="U51" s="158" t="str">
        <f t="shared" si="9"/>
        <v/>
      </c>
      <c r="V51" s="558" t="str">
        <f>IF('Extra look-up'!$H77="Work Type","Check Work Type",IF(AND(D51="",F51="",H51="",I51="",L51="",M51=""),"",IF(OR(D51="",F51="",H51="",I51="",L51="",M51="",$L$9&lt;&gt;"OK"),"Check all fields completed correctly",IF(AND(D51="",OR(F51&lt;&gt;"",H51&lt;&gt;"",I51&lt;&gt;"",L51&lt;&gt;"")),"Check all fields completed correctly","OK"))))</f>
        <v/>
      </c>
      <c r="W51" s="522" t="str">
        <f>IF(I51="","",IF(VLOOKUP(I51,'Eligible Technologies'!$D$7:$G$76,4,FALSE)&lt;$F$9,VLOOKUP(I51,'Eligible Technologies'!$D$7:$G$76,4,FALSE),$F$9))</f>
        <v/>
      </c>
      <c r="X51" s="523" t="str">
        <f t="shared" si="14"/>
        <v/>
      </c>
      <c r="Y51" s="523">
        <f t="shared" si="10"/>
        <v>0</v>
      </c>
      <c r="Z51" s="523" t="str">
        <f>'Extra look-up'!F45</f>
        <v/>
      </c>
      <c r="AA51" s="523" t="str">
        <f ca="1">'Extra look-up'!H45</f>
        <v>OK</v>
      </c>
      <c r="AB51" s="523">
        <f t="shared" si="12"/>
        <v>1</v>
      </c>
      <c r="AC51" s="539" t="e">
        <f t="shared" si="13"/>
        <v>#VALUE!</v>
      </c>
      <c r="AD51" s="542">
        <f t="shared" si="11"/>
        <v>0.1953</v>
      </c>
      <c r="AE51" s="536"/>
      <c r="AF51" s="536"/>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row>
    <row r="52" spans="1:70" s="25" customFormat="1" ht="34" hidden="1" customHeight="1" outlineLevel="1" x14ac:dyDescent="0.3">
      <c r="A52" s="168">
        <v>41</v>
      </c>
      <c r="B52" s="115"/>
      <c r="C52" s="124"/>
      <c r="D52" s="116"/>
      <c r="E52" s="117"/>
      <c r="F52" s="118"/>
      <c r="G52" s="143" t="str">
        <f t="shared" si="15"/>
        <v/>
      </c>
      <c r="H52" s="327"/>
      <c r="I52" s="603"/>
      <c r="J52" s="604"/>
      <c r="K52" s="119"/>
      <c r="L52" s="120"/>
      <c r="M52" s="146" t="str">
        <f t="shared" si="5"/>
        <v/>
      </c>
      <c r="N52" s="147">
        <f t="shared" si="6"/>
        <v>0</v>
      </c>
      <c r="O52" s="121"/>
      <c r="P52" s="155" t="str">
        <f t="shared" si="16"/>
        <v/>
      </c>
      <c r="Q52" s="156" t="str">
        <f t="shared" si="1"/>
        <v/>
      </c>
      <c r="R52" s="547" t="str">
        <f t="shared" si="17"/>
        <v/>
      </c>
      <c r="S52" s="157" t="str">
        <f t="shared" si="18"/>
        <v/>
      </c>
      <c r="T52" s="157" t="str">
        <f t="shared" si="8"/>
        <v/>
      </c>
      <c r="U52" s="158" t="str">
        <f t="shared" si="9"/>
        <v/>
      </c>
      <c r="V52" s="558" t="str">
        <f>IF('Extra look-up'!$H78="Work Type","Check Work Type",IF(AND(D52="",F52="",H52="",I52="",L52="",M52=""),"",IF(OR(D52="",F52="",H52="",I52="",L52="",M52="",$L$9&lt;&gt;"OK"),"Check all fields completed correctly",IF(AND(D52="",OR(F52&lt;&gt;"",H52&lt;&gt;"",I52&lt;&gt;"",L52&lt;&gt;"")),"Check all fields completed correctly","OK"))))</f>
        <v/>
      </c>
      <c r="W52" s="522" t="str">
        <f>IF(I52="","",IF(VLOOKUP(I52,'Eligible Technologies'!$D$7:$G$76,4,FALSE)&lt;$F$9,VLOOKUP(I52,'Eligible Technologies'!$D$7:$G$76,4,FALSE),$F$9))</f>
        <v/>
      </c>
      <c r="X52" s="523" t="str">
        <f t="shared" si="14"/>
        <v/>
      </c>
      <c r="Y52" s="523">
        <f t="shared" si="10"/>
        <v>0</v>
      </c>
      <c r="Z52" s="523" t="str">
        <f>'Extra look-up'!F46</f>
        <v/>
      </c>
      <c r="AA52" s="523" t="str">
        <f ca="1">'Extra look-up'!H46</f>
        <v>OK</v>
      </c>
      <c r="AB52" s="523">
        <f t="shared" si="12"/>
        <v>1</v>
      </c>
      <c r="AC52" s="539" t="e">
        <f t="shared" si="13"/>
        <v>#VALUE!</v>
      </c>
      <c r="AD52" s="542">
        <f t="shared" si="11"/>
        <v>0.1953</v>
      </c>
      <c r="AE52" s="536"/>
      <c r="AF52" s="536"/>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row>
    <row r="53" spans="1:70" s="25" customFormat="1" ht="34" hidden="1" customHeight="1" outlineLevel="1" x14ac:dyDescent="0.3">
      <c r="A53" s="168">
        <v>42</v>
      </c>
      <c r="B53" s="115"/>
      <c r="C53" s="124"/>
      <c r="D53" s="116"/>
      <c r="E53" s="117"/>
      <c r="F53" s="118"/>
      <c r="G53" s="143" t="str">
        <f t="shared" si="15"/>
        <v/>
      </c>
      <c r="H53" s="327"/>
      <c r="I53" s="603"/>
      <c r="J53" s="604"/>
      <c r="K53" s="119"/>
      <c r="L53" s="120"/>
      <c r="M53" s="146" t="str">
        <f t="shared" si="5"/>
        <v/>
      </c>
      <c r="N53" s="147">
        <f t="shared" si="6"/>
        <v>0</v>
      </c>
      <c r="O53" s="121"/>
      <c r="P53" s="155" t="str">
        <f t="shared" si="16"/>
        <v/>
      </c>
      <c r="Q53" s="156" t="str">
        <f t="shared" si="1"/>
        <v/>
      </c>
      <c r="R53" s="547" t="str">
        <f t="shared" si="17"/>
        <v/>
      </c>
      <c r="S53" s="157" t="str">
        <f t="shared" si="18"/>
        <v/>
      </c>
      <c r="T53" s="157" t="str">
        <f t="shared" si="8"/>
        <v/>
      </c>
      <c r="U53" s="158" t="str">
        <f t="shared" si="9"/>
        <v/>
      </c>
      <c r="V53" s="558" t="str">
        <f>IF('Extra look-up'!$H79="Work Type","Check Work Type",IF(AND(D53="",F53="",H53="",I53="",L53="",M53=""),"",IF(OR(D53="",F53="",H53="",I53="",L53="",M53="",$L$9&lt;&gt;"OK"),"Check all fields completed correctly",IF(AND(D53="",OR(F53&lt;&gt;"",H53&lt;&gt;"",I53&lt;&gt;"",L53&lt;&gt;"")),"Check all fields completed correctly","OK"))))</f>
        <v/>
      </c>
      <c r="W53" s="522" t="str">
        <f>IF(I53="","",IF(VLOOKUP(I53,'Eligible Technologies'!$D$7:$G$76,4,FALSE)&lt;$F$9,VLOOKUP(I53,'Eligible Technologies'!$D$7:$G$76,4,FALSE),$F$9))</f>
        <v/>
      </c>
      <c r="X53" s="523" t="str">
        <f t="shared" si="14"/>
        <v/>
      </c>
      <c r="Y53" s="523">
        <f t="shared" si="10"/>
        <v>0</v>
      </c>
      <c r="Z53" s="523" t="str">
        <f>'Extra look-up'!F47</f>
        <v/>
      </c>
      <c r="AA53" s="523" t="str">
        <f ca="1">'Extra look-up'!H47</f>
        <v>OK</v>
      </c>
      <c r="AB53" s="523">
        <f t="shared" si="12"/>
        <v>1</v>
      </c>
      <c r="AC53" s="539" t="e">
        <f t="shared" si="13"/>
        <v>#VALUE!</v>
      </c>
      <c r="AD53" s="542">
        <f t="shared" si="11"/>
        <v>0.1953</v>
      </c>
      <c r="AE53" s="536"/>
      <c r="AF53" s="536"/>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row>
    <row r="54" spans="1:70" s="25" customFormat="1" ht="34" hidden="1" customHeight="1" outlineLevel="1" x14ac:dyDescent="0.3">
      <c r="A54" s="168">
        <v>43</v>
      </c>
      <c r="B54" s="115"/>
      <c r="C54" s="124"/>
      <c r="D54" s="116"/>
      <c r="E54" s="117"/>
      <c r="F54" s="118"/>
      <c r="G54" s="143" t="str">
        <f t="shared" si="15"/>
        <v/>
      </c>
      <c r="H54" s="327"/>
      <c r="I54" s="603"/>
      <c r="J54" s="604"/>
      <c r="K54" s="119"/>
      <c r="L54" s="120"/>
      <c r="M54" s="146" t="str">
        <f t="shared" si="5"/>
        <v/>
      </c>
      <c r="N54" s="147">
        <f t="shared" si="6"/>
        <v>0</v>
      </c>
      <c r="O54" s="121"/>
      <c r="P54" s="155" t="str">
        <f t="shared" si="16"/>
        <v/>
      </c>
      <c r="Q54" s="156" t="str">
        <f t="shared" si="1"/>
        <v/>
      </c>
      <c r="R54" s="547" t="str">
        <f t="shared" si="17"/>
        <v/>
      </c>
      <c r="S54" s="157" t="str">
        <f t="shared" si="18"/>
        <v/>
      </c>
      <c r="T54" s="157" t="str">
        <f t="shared" si="8"/>
        <v/>
      </c>
      <c r="U54" s="158" t="str">
        <f t="shared" si="9"/>
        <v/>
      </c>
      <c r="V54" s="558" t="str">
        <f>IF('Extra look-up'!$H80="Work Type","Check Work Type",IF(AND(D54="",F54="",H54="",I54="",L54="",M54=""),"",IF(OR(D54="",F54="",H54="",I54="",L54="",M54="",$L$9&lt;&gt;"OK"),"Check all fields completed correctly",IF(AND(D54="",OR(F54&lt;&gt;"",H54&lt;&gt;"",I54&lt;&gt;"",L54&lt;&gt;"")),"Check all fields completed correctly","OK"))))</f>
        <v/>
      </c>
      <c r="W54" s="522" t="str">
        <f>IF(I54="","",IF(VLOOKUP(I54,'Eligible Technologies'!$D$7:$G$76,4,FALSE)&lt;$F$9,VLOOKUP(I54,'Eligible Technologies'!$D$7:$G$76,4,FALSE),$F$9))</f>
        <v/>
      </c>
      <c r="X54" s="523" t="str">
        <f t="shared" si="14"/>
        <v/>
      </c>
      <c r="Y54" s="523">
        <f t="shared" si="10"/>
        <v>0</v>
      </c>
      <c r="Z54" s="523" t="str">
        <f>'Extra look-up'!F48</f>
        <v/>
      </c>
      <c r="AA54" s="523" t="str">
        <f ca="1">'Extra look-up'!H48</f>
        <v>OK</v>
      </c>
      <c r="AB54" s="523">
        <f t="shared" si="12"/>
        <v>1</v>
      </c>
      <c r="AC54" s="539" t="e">
        <f t="shared" si="13"/>
        <v>#VALUE!</v>
      </c>
      <c r="AD54" s="542">
        <f t="shared" si="11"/>
        <v>0.1953</v>
      </c>
      <c r="AE54" s="536"/>
      <c r="AF54" s="536"/>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row>
    <row r="55" spans="1:70" s="25" customFormat="1" ht="34" hidden="1" customHeight="1" outlineLevel="1" x14ac:dyDescent="0.3">
      <c r="A55" s="168">
        <v>44</v>
      </c>
      <c r="B55" s="115"/>
      <c r="C55" s="124"/>
      <c r="D55" s="116"/>
      <c r="E55" s="117"/>
      <c r="F55" s="118"/>
      <c r="G55" s="143" t="str">
        <f t="shared" si="15"/>
        <v/>
      </c>
      <c r="H55" s="327"/>
      <c r="I55" s="603"/>
      <c r="J55" s="604"/>
      <c r="K55" s="119"/>
      <c r="L55" s="120"/>
      <c r="M55" s="146" t="str">
        <f t="shared" si="5"/>
        <v/>
      </c>
      <c r="N55" s="147">
        <f t="shared" si="6"/>
        <v>0</v>
      </c>
      <c r="O55" s="121"/>
      <c r="P55" s="155" t="str">
        <f t="shared" si="16"/>
        <v/>
      </c>
      <c r="Q55" s="156" t="str">
        <f t="shared" si="1"/>
        <v/>
      </c>
      <c r="R55" s="547" t="str">
        <f t="shared" si="17"/>
        <v/>
      </c>
      <c r="S55" s="157" t="str">
        <f t="shared" si="18"/>
        <v/>
      </c>
      <c r="T55" s="157" t="str">
        <f t="shared" si="8"/>
        <v/>
      </c>
      <c r="U55" s="158" t="str">
        <f t="shared" si="9"/>
        <v/>
      </c>
      <c r="V55" s="558" t="str">
        <f>IF('Extra look-up'!$H81="Work Type","Check Work Type",IF(AND(D55="",F55="",H55="",I55="",L55="",M55=""),"",IF(OR(D55="",F55="",H55="",I55="",L55="",M55="",$L$9&lt;&gt;"OK"),"Check all fields completed correctly",IF(AND(D55="",OR(F55&lt;&gt;"",H55&lt;&gt;"",I55&lt;&gt;"",L55&lt;&gt;"")),"Check all fields completed correctly","OK"))))</f>
        <v/>
      </c>
      <c r="W55" s="522" t="str">
        <f>IF(I55="","",IF(VLOOKUP(I55,'Eligible Technologies'!$D$7:$G$76,4,FALSE)&lt;$F$9,VLOOKUP(I55,'Eligible Technologies'!$D$7:$G$76,4,FALSE),$F$9))</f>
        <v/>
      </c>
      <c r="X55" s="523" t="str">
        <f t="shared" si="14"/>
        <v/>
      </c>
      <c r="Y55" s="523">
        <f t="shared" si="10"/>
        <v>0</v>
      </c>
      <c r="Z55" s="523" t="str">
        <f>'Extra look-up'!F49</f>
        <v/>
      </c>
      <c r="AA55" s="523" t="str">
        <f ca="1">'Extra look-up'!H49</f>
        <v>OK</v>
      </c>
      <c r="AB55" s="523">
        <f t="shared" si="12"/>
        <v>1</v>
      </c>
      <c r="AC55" s="539" t="e">
        <f t="shared" si="13"/>
        <v>#VALUE!</v>
      </c>
      <c r="AD55" s="542">
        <f t="shared" si="11"/>
        <v>0.1953</v>
      </c>
      <c r="AE55" s="536"/>
      <c r="AF55" s="536"/>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row>
    <row r="56" spans="1:70" s="25" customFormat="1" ht="34" hidden="1" customHeight="1" outlineLevel="1" x14ac:dyDescent="0.3">
      <c r="A56" s="168">
        <v>45</v>
      </c>
      <c r="B56" s="115"/>
      <c r="C56" s="124"/>
      <c r="D56" s="116"/>
      <c r="E56" s="117"/>
      <c r="F56" s="118"/>
      <c r="G56" s="143" t="str">
        <f t="shared" si="15"/>
        <v/>
      </c>
      <c r="H56" s="327"/>
      <c r="I56" s="603"/>
      <c r="J56" s="604"/>
      <c r="K56" s="119"/>
      <c r="L56" s="120"/>
      <c r="M56" s="146" t="str">
        <f t="shared" si="5"/>
        <v/>
      </c>
      <c r="N56" s="147">
        <f t="shared" si="6"/>
        <v>0</v>
      </c>
      <c r="O56" s="121"/>
      <c r="P56" s="155" t="str">
        <f t="shared" si="16"/>
        <v/>
      </c>
      <c r="Q56" s="156" t="str">
        <f t="shared" si="1"/>
        <v/>
      </c>
      <c r="R56" s="547" t="str">
        <f t="shared" si="17"/>
        <v/>
      </c>
      <c r="S56" s="157" t="str">
        <f t="shared" si="18"/>
        <v/>
      </c>
      <c r="T56" s="157" t="str">
        <f t="shared" si="8"/>
        <v/>
      </c>
      <c r="U56" s="158" t="str">
        <f t="shared" si="9"/>
        <v/>
      </c>
      <c r="V56" s="558" t="str">
        <f>IF('Extra look-up'!$H82="Work Type","Check Work Type",IF(AND(D56="",F56="",H56="",I56="",L56="",M56=""),"",IF(OR(D56="",F56="",H56="",I56="",L56="",M56="",$L$9&lt;&gt;"OK"),"Check all fields completed correctly",IF(AND(D56="",OR(F56&lt;&gt;"",H56&lt;&gt;"",I56&lt;&gt;"",L56&lt;&gt;"")),"Check all fields completed correctly","OK"))))</f>
        <v/>
      </c>
      <c r="W56" s="522" t="str">
        <f>IF(I56="","",IF(VLOOKUP(I56,'Eligible Technologies'!$D$7:$G$76,4,FALSE)&lt;$F$9,VLOOKUP(I56,'Eligible Technologies'!$D$7:$G$76,4,FALSE),$F$9))</f>
        <v/>
      </c>
      <c r="X56" s="523" t="str">
        <f t="shared" si="14"/>
        <v/>
      </c>
      <c r="Y56" s="523">
        <f t="shared" si="10"/>
        <v>0</v>
      </c>
      <c r="Z56" s="523" t="str">
        <f>'Extra look-up'!F50</f>
        <v/>
      </c>
      <c r="AA56" s="523" t="str">
        <f ca="1">'Extra look-up'!H50</f>
        <v>OK</v>
      </c>
      <c r="AB56" s="523">
        <f t="shared" si="12"/>
        <v>1</v>
      </c>
      <c r="AC56" s="539" t="e">
        <f t="shared" si="13"/>
        <v>#VALUE!</v>
      </c>
      <c r="AD56" s="542">
        <f t="shared" si="11"/>
        <v>0.1953</v>
      </c>
      <c r="AE56" s="536"/>
      <c r="AF56" s="536"/>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row>
    <row r="57" spans="1:70" s="25" customFormat="1" ht="34" hidden="1" customHeight="1" outlineLevel="1" x14ac:dyDescent="0.3">
      <c r="A57" s="168">
        <v>46</v>
      </c>
      <c r="B57" s="115"/>
      <c r="C57" s="124"/>
      <c r="D57" s="116"/>
      <c r="E57" s="117"/>
      <c r="F57" s="118"/>
      <c r="G57" s="143" t="str">
        <f t="shared" si="15"/>
        <v/>
      </c>
      <c r="H57" s="327"/>
      <c r="I57" s="603"/>
      <c r="J57" s="604"/>
      <c r="K57" s="119"/>
      <c r="L57" s="120"/>
      <c r="M57" s="146" t="str">
        <f t="shared" si="5"/>
        <v/>
      </c>
      <c r="N57" s="147">
        <f t="shared" si="6"/>
        <v>0</v>
      </c>
      <c r="O57" s="121"/>
      <c r="P57" s="155" t="str">
        <f t="shared" si="16"/>
        <v/>
      </c>
      <c r="Q57" s="156" t="str">
        <f t="shared" si="1"/>
        <v/>
      </c>
      <c r="R57" s="547" t="str">
        <f t="shared" si="17"/>
        <v/>
      </c>
      <c r="S57" s="157" t="str">
        <f t="shared" si="18"/>
        <v/>
      </c>
      <c r="T57" s="157" t="str">
        <f t="shared" si="8"/>
        <v/>
      </c>
      <c r="U57" s="158" t="str">
        <f t="shared" si="9"/>
        <v/>
      </c>
      <c r="V57" s="558" t="str">
        <f>IF('Extra look-up'!$H83="Work Type","Check Work Type",IF(AND(D57="",F57="",H57="",I57="",L57="",M57=""),"",IF(OR(D57="",F57="",H57="",I57="",L57="",M57="",$L$9&lt;&gt;"OK"),"Check all fields completed correctly",IF(AND(D57="",OR(F57&lt;&gt;"",H57&lt;&gt;"",I57&lt;&gt;"",L57&lt;&gt;"")),"Check all fields completed correctly","OK"))))</f>
        <v/>
      </c>
      <c r="W57" s="522" t="str">
        <f>IF(I57="","",IF(VLOOKUP(I57,'Eligible Technologies'!$D$7:$G$76,4,FALSE)&lt;$F$9,VLOOKUP(I57,'Eligible Technologies'!$D$7:$G$76,4,FALSE),$F$9))</f>
        <v/>
      </c>
      <c r="X57" s="523" t="str">
        <f t="shared" si="14"/>
        <v/>
      </c>
      <c r="Y57" s="523">
        <f t="shared" si="10"/>
        <v>0</v>
      </c>
      <c r="Z57" s="523" t="str">
        <f>'Extra look-up'!F51</f>
        <v/>
      </c>
      <c r="AA57" s="523" t="str">
        <f ca="1">'Extra look-up'!H51</f>
        <v>OK</v>
      </c>
      <c r="AB57" s="523">
        <f t="shared" si="12"/>
        <v>1</v>
      </c>
      <c r="AC57" s="539" t="e">
        <f t="shared" si="13"/>
        <v>#VALUE!</v>
      </c>
      <c r="AD57" s="542">
        <f t="shared" si="11"/>
        <v>0.1953</v>
      </c>
      <c r="AE57" s="536"/>
      <c r="AF57" s="536"/>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row>
    <row r="58" spans="1:70" s="25" customFormat="1" ht="34" hidden="1" customHeight="1" outlineLevel="1" x14ac:dyDescent="0.3">
      <c r="A58" s="168">
        <v>47</v>
      </c>
      <c r="B58" s="115"/>
      <c r="C58" s="124"/>
      <c r="D58" s="116"/>
      <c r="E58" s="117"/>
      <c r="F58" s="118"/>
      <c r="G58" s="143" t="str">
        <f t="shared" si="15"/>
        <v/>
      </c>
      <c r="H58" s="327"/>
      <c r="I58" s="603"/>
      <c r="J58" s="604"/>
      <c r="K58" s="119"/>
      <c r="L58" s="120"/>
      <c r="M58" s="146" t="str">
        <f t="shared" si="5"/>
        <v/>
      </c>
      <c r="N58" s="147">
        <f t="shared" si="6"/>
        <v>0</v>
      </c>
      <c r="O58" s="121"/>
      <c r="P58" s="155" t="str">
        <f t="shared" si="16"/>
        <v/>
      </c>
      <c r="Q58" s="156" t="str">
        <f t="shared" si="1"/>
        <v/>
      </c>
      <c r="R58" s="547" t="str">
        <f t="shared" si="17"/>
        <v/>
      </c>
      <c r="S58" s="157" t="str">
        <f t="shared" si="18"/>
        <v/>
      </c>
      <c r="T58" s="157" t="str">
        <f t="shared" si="8"/>
        <v/>
      </c>
      <c r="U58" s="158" t="str">
        <f t="shared" si="9"/>
        <v/>
      </c>
      <c r="V58" s="558" t="str">
        <f>IF('Extra look-up'!$H84="Work Type","Check Work Type",IF(AND(D58="",F58="",H58="",I58="",L58="",M58=""),"",IF(OR(D58="",F58="",H58="",I58="",L58="",M58="",$L$9&lt;&gt;"OK"),"Check all fields completed correctly",IF(AND(D58="",OR(F58&lt;&gt;"",H58&lt;&gt;"",I58&lt;&gt;"",L58&lt;&gt;"")),"Check all fields completed correctly","OK"))))</f>
        <v/>
      </c>
      <c r="W58" s="522" t="str">
        <f>IF(I58="","",IF(VLOOKUP(I58,'Eligible Technologies'!$D$7:$G$76,4,FALSE)&lt;$F$9,VLOOKUP(I58,'Eligible Technologies'!$D$7:$G$76,4,FALSE),$F$9))</f>
        <v/>
      </c>
      <c r="X58" s="523" t="str">
        <f t="shared" si="14"/>
        <v/>
      </c>
      <c r="Y58" s="523">
        <f t="shared" si="10"/>
        <v>0</v>
      </c>
      <c r="Z58" s="523" t="str">
        <f>'Extra look-up'!F52</f>
        <v/>
      </c>
      <c r="AA58" s="523" t="str">
        <f ca="1">'Extra look-up'!H52</f>
        <v>OK</v>
      </c>
      <c r="AB58" s="523">
        <f t="shared" si="12"/>
        <v>1</v>
      </c>
      <c r="AC58" s="539" t="e">
        <f t="shared" si="13"/>
        <v>#VALUE!</v>
      </c>
      <c r="AD58" s="542">
        <f t="shared" si="11"/>
        <v>0.1953</v>
      </c>
      <c r="AE58" s="536"/>
      <c r="AF58" s="536"/>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row>
    <row r="59" spans="1:70" s="25" customFormat="1" ht="34" hidden="1" customHeight="1" outlineLevel="1" x14ac:dyDescent="0.3">
      <c r="A59" s="168">
        <v>48</v>
      </c>
      <c r="B59" s="115"/>
      <c r="C59" s="124"/>
      <c r="D59" s="116"/>
      <c r="E59" s="117"/>
      <c r="F59" s="118"/>
      <c r="G59" s="143" t="str">
        <f t="shared" si="15"/>
        <v/>
      </c>
      <c r="H59" s="327"/>
      <c r="I59" s="603"/>
      <c r="J59" s="604"/>
      <c r="K59" s="119"/>
      <c r="L59" s="120"/>
      <c r="M59" s="146" t="str">
        <f t="shared" si="5"/>
        <v/>
      </c>
      <c r="N59" s="147">
        <f t="shared" si="6"/>
        <v>0</v>
      </c>
      <c r="O59" s="121"/>
      <c r="P59" s="155" t="str">
        <f t="shared" si="16"/>
        <v/>
      </c>
      <c r="Q59" s="156" t="str">
        <f t="shared" si="1"/>
        <v/>
      </c>
      <c r="R59" s="547" t="str">
        <f t="shared" si="17"/>
        <v/>
      </c>
      <c r="S59" s="157" t="str">
        <f t="shared" si="18"/>
        <v/>
      </c>
      <c r="T59" s="157" t="str">
        <f t="shared" si="8"/>
        <v/>
      </c>
      <c r="U59" s="158" t="str">
        <f t="shared" si="9"/>
        <v/>
      </c>
      <c r="V59" s="558" t="str">
        <f>IF('Extra look-up'!$H85="Work Type","Check Work Type",IF(AND(D59="",F59="",H59="",I59="",L59="",M59=""),"",IF(OR(D59="",F59="",H59="",I59="",L59="",M59="",$L$9&lt;&gt;"OK"),"Check all fields completed correctly",IF(AND(D59="",OR(F59&lt;&gt;"",H59&lt;&gt;"",I59&lt;&gt;"",L59&lt;&gt;"")),"Check all fields completed correctly","OK"))))</f>
        <v/>
      </c>
      <c r="W59" s="522" t="str">
        <f>IF(I59="","",IF(VLOOKUP(I59,'Eligible Technologies'!$D$7:$G$76,4,FALSE)&lt;$F$9,VLOOKUP(I59,'Eligible Technologies'!$D$7:$G$76,4,FALSE),$F$9))</f>
        <v/>
      </c>
      <c r="X59" s="523" t="str">
        <f t="shared" si="14"/>
        <v/>
      </c>
      <c r="Y59" s="523">
        <f t="shared" si="10"/>
        <v>0</v>
      </c>
      <c r="Z59" s="523" t="str">
        <f>'Extra look-up'!F53</f>
        <v/>
      </c>
      <c r="AA59" s="523" t="str">
        <f ca="1">'Extra look-up'!H53</f>
        <v>OK</v>
      </c>
      <c r="AB59" s="523">
        <f t="shared" si="12"/>
        <v>1</v>
      </c>
      <c r="AC59" s="539" t="e">
        <f t="shared" si="13"/>
        <v>#VALUE!</v>
      </c>
      <c r="AD59" s="542">
        <f t="shared" si="11"/>
        <v>0.1953</v>
      </c>
      <c r="AE59" s="536"/>
      <c r="AF59" s="536"/>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row>
    <row r="60" spans="1:70" s="25" customFormat="1" ht="34" hidden="1" customHeight="1" outlineLevel="1" x14ac:dyDescent="0.3">
      <c r="A60" s="168">
        <v>49</v>
      </c>
      <c r="B60" s="115"/>
      <c r="C60" s="124"/>
      <c r="D60" s="116"/>
      <c r="E60" s="117"/>
      <c r="F60" s="118"/>
      <c r="G60" s="143" t="str">
        <f t="shared" si="15"/>
        <v/>
      </c>
      <c r="H60" s="327"/>
      <c r="I60" s="603"/>
      <c r="J60" s="604"/>
      <c r="K60" s="119"/>
      <c r="L60" s="120"/>
      <c r="M60" s="146" t="str">
        <f t="shared" si="5"/>
        <v/>
      </c>
      <c r="N60" s="147">
        <f t="shared" si="6"/>
        <v>0</v>
      </c>
      <c r="O60" s="121"/>
      <c r="P60" s="155" t="str">
        <f t="shared" si="16"/>
        <v/>
      </c>
      <c r="Q60" s="156" t="str">
        <f t="shared" si="1"/>
        <v/>
      </c>
      <c r="R60" s="547" t="str">
        <f t="shared" si="17"/>
        <v/>
      </c>
      <c r="S60" s="157" t="str">
        <f t="shared" si="18"/>
        <v/>
      </c>
      <c r="T60" s="157" t="str">
        <f t="shared" si="8"/>
        <v/>
      </c>
      <c r="U60" s="158" t="str">
        <f t="shared" si="9"/>
        <v/>
      </c>
      <c r="V60" s="558" t="str">
        <f>IF('Extra look-up'!$H86="Work Type","Check Work Type",IF(AND(D60="",F60="",H60="",I60="",L60="",M60=""),"",IF(OR(D60="",F60="",H60="",I60="",L60="",M60="",$L$9&lt;&gt;"OK"),"Check all fields completed correctly",IF(AND(D60="",OR(F60&lt;&gt;"",H60&lt;&gt;"",I60&lt;&gt;"",L60&lt;&gt;"")),"Check all fields completed correctly","OK"))))</f>
        <v/>
      </c>
      <c r="W60" s="522" t="str">
        <f>IF(I60="","",IF(VLOOKUP(I60,'Eligible Technologies'!$D$7:$G$76,4,FALSE)&lt;$F$9,VLOOKUP(I60,'Eligible Technologies'!$D$7:$G$76,4,FALSE),$F$9))</f>
        <v/>
      </c>
      <c r="X60" s="523" t="str">
        <f t="shared" si="14"/>
        <v/>
      </c>
      <c r="Y60" s="523">
        <f t="shared" si="10"/>
        <v>0</v>
      </c>
      <c r="Z60" s="523" t="str">
        <f>'Extra look-up'!F54</f>
        <v/>
      </c>
      <c r="AA60" s="523" t="str">
        <f ca="1">'Extra look-up'!H54</f>
        <v>OK</v>
      </c>
      <c r="AB60" s="523">
        <f t="shared" si="12"/>
        <v>1</v>
      </c>
      <c r="AC60" s="539" t="e">
        <f t="shared" si="13"/>
        <v>#VALUE!</v>
      </c>
      <c r="AD60" s="542">
        <f t="shared" si="11"/>
        <v>0.1953</v>
      </c>
      <c r="AE60" s="536"/>
      <c r="AF60" s="536"/>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row>
    <row r="61" spans="1:70" s="25" customFormat="1" ht="34" hidden="1" customHeight="1" outlineLevel="1" thickBot="1" x14ac:dyDescent="0.35">
      <c r="A61" s="168">
        <v>50</v>
      </c>
      <c r="B61" s="115"/>
      <c r="C61" s="122"/>
      <c r="D61" s="116"/>
      <c r="E61" s="117"/>
      <c r="F61" s="118"/>
      <c r="G61" s="143" t="str">
        <f t="shared" si="15"/>
        <v/>
      </c>
      <c r="H61" s="327" t="s">
        <v>119</v>
      </c>
      <c r="I61" s="603" t="s">
        <v>120</v>
      </c>
      <c r="J61" s="604"/>
      <c r="K61" s="119"/>
      <c r="L61" s="120"/>
      <c r="M61" s="146" t="str">
        <f t="shared" si="5"/>
        <v/>
      </c>
      <c r="N61" s="147">
        <f t="shared" si="6"/>
        <v>0</v>
      </c>
      <c r="O61" s="121"/>
      <c r="P61" s="155" t="str">
        <f t="shared" si="16"/>
        <v/>
      </c>
      <c r="Q61" s="156" t="str">
        <f t="shared" si="1"/>
        <v/>
      </c>
      <c r="R61" s="547" t="str">
        <f t="shared" si="17"/>
        <v/>
      </c>
      <c r="S61" s="157" t="str">
        <f t="shared" si="18"/>
        <v/>
      </c>
      <c r="T61" s="157" t="str">
        <f t="shared" si="8"/>
        <v/>
      </c>
      <c r="U61" s="158" t="str">
        <f t="shared" si="9"/>
        <v/>
      </c>
      <c r="V61" s="559" t="str">
        <f>IF('Extra look-up'!$H87="Work Type","Check Work Type",IF(AND(D61="",F61="",H61="",I61="",L61="",M61=""),"",IF(OR(D61="",F61="",H61="",I61="",L61="",M61="",$L$9&lt;&gt;"OK"),"Check all fields completed correctly",IF(AND(D61="",OR(F61&lt;&gt;"",H61&lt;&gt;"",I61&lt;&gt;"",L61&lt;&gt;"")),"Check all fields completed correctly","OK"))))</f>
        <v>Check all fields completed correctly</v>
      </c>
      <c r="W61" s="524">
        <f>IF(I61="","",IF(VLOOKUP(I61,'Eligible Technologies'!$D$7:$G$76,4,FALSE)&lt;$F$9,VLOOKUP(I61,'Eligible Technologies'!$D$7:$G$76,4,FALSE),$F$9))</f>
        <v>0</v>
      </c>
      <c r="X61" s="525" t="str">
        <f t="shared" si="14"/>
        <v/>
      </c>
      <c r="Y61" s="525">
        <f t="shared" si="10"/>
        <v>1</v>
      </c>
      <c r="Z61" s="525" t="str">
        <f>'Extra look-up'!F55</f>
        <v>Lab_upgrades</v>
      </c>
      <c r="AA61" s="525" t="str">
        <f ca="1">'Extra look-up'!H55</f>
        <v>OK</v>
      </c>
      <c r="AB61" s="525">
        <f t="shared" si="12"/>
        <v>51</v>
      </c>
      <c r="AC61" s="540">
        <f t="shared" si="13"/>
        <v>100</v>
      </c>
      <c r="AD61" s="542">
        <f t="shared" si="11"/>
        <v>0.1953</v>
      </c>
      <c r="AE61" s="536"/>
      <c r="AF61" s="536"/>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row>
    <row r="62" spans="1:70" s="25" customFormat="1" ht="15" customHeight="1" collapsed="1" thickBot="1" x14ac:dyDescent="0.35">
      <c r="A62" s="277"/>
      <c r="B62" s="278"/>
      <c r="C62" s="278"/>
      <c r="D62" s="278"/>
      <c r="E62" s="278"/>
      <c r="F62" s="278"/>
      <c r="G62" s="278"/>
      <c r="H62" s="278"/>
      <c r="I62" s="278"/>
      <c r="J62" s="278"/>
      <c r="K62" s="278"/>
      <c r="L62" s="278"/>
      <c r="M62" s="278"/>
      <c r="N62" s="278"/>
      <c r="O62" s="278"/>
      <c r="P62" s="278"/>
      <c r="Q62" s="278"/>
      <c r="R62" s="278"/>
      <c r="S62" s="278"/>
      <c r="T62" s="278"/>
      <c r="U62" s="278"/>
      <c r="V62" s="279"/>
      <c r="W62" s="6"/>
      <c r="X62" s="24"/>
      <c r="Y62" s="529">
        <f ca="1">SUM(Y12:Y61)</f>
        <v>1</v>
      </c>
      <c r="Z62" s="24"/>
      <c r="AA62" s="24"/>
      <c r="AB62" s="529">
        <f ca="1">SUM(AB12:AB61)</f>
        <v>100</v>
      </c>
      <c r="AC62" s="24"/>
      <c r="AD62" s="24"/>
      <c r="AE62" s="24"/>
      <c r="AF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row>
    <row r="63" spans="1:70" s="25" customFormat="1" ht="15" customHeight="1" thickBot="1" x14ac:dyDescent="0.35">
      <c r="A63" s="169"/>
      <c r="B63" s="345"/>
      <c r="C63" s="345"/>
      <c r="D63" s="345"/>
      <c r="E63" s="345"/>
      <c r="F63" s="345"/>
      <c r="G63" s="345"/>
      <c r="H63" s="345"/>
      <c r="I63" s="345"/>
      <c r="J63" s="345"/>
      <c r="K63" s="345"/>
      <c r="L63" s="345"/>
      <c r="M63" s="345"/>
      <c r="N63" s="345"/>
      <c r="O63" s="345"/>
      <c r="P63" s="345"/>
      <c r="Q63" s="345"/>
      <c r="R63" s="345"/>
      <c r="S63" s="345"/>
      <c r="T63" s="345"/>
      <c r="U63" s="345"/>
      <c r="V63" s="362"/>
      <c r="W63" s="6"/>
      <c r="X63" s="24"/>
      <c r="Y63" s="24"/>
      <c r="Z63" s="24"/>
      <c r="AA63" s="24"/>
      <c r="AB63" s="24"/>
      <c r="AC63" s="24"/>
      <c r="AD63" s="24"/>
      <c r="AE63" s="24"/>
      <c r="AF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row>
    <row r="64" spans="1:70" s="25" customFormat="1" ht="60.75" customHeight="1" thickBot="1" x14ac:dyDescent="0.35">
      <c r="A64" s="166"/>
      <c r="B64" s="345"/>
      <c r="C64" s="345"/>
      <c r="D64" s="345"/>
      <c r="E64" s="345"/>
      <c r="F64" s="345"/>
      <c r="G64" s="345"/>
      <c r="H64" s="346"/>
      <c r="I64" s="345"/>
      <c r="J64" s="345"/>
      <c r="K64" s="345"/>
      <c r="L64" s="345"/>
      <c r="M64" s="345"/>
      <c r="N64" s="289" t="s">
        <v>243</v>
      </c>
      <c r="O64" s="289" t="s">
        <v>244</v>
      </c>
      <c r="P64" s="290" t="s">
        <v>245</v>
      </c>
      <c r="Q64" s="134" t="s">
        <v>181</v>
      </c>
      <c r="R64" s="134" t="s">
        <v>246</v>
      </c>
      <c r="S64" s="134" t="s">
        <v>247</v>
      </c>
      <c r="T64" s="134" t="s">
        <v>248</v>
      </c>
      <c r="U64" s="142" t="s">
        <v>249</v>
      </c>
      <c r="V64" s="291" t="s">
        <v>250</v>
      </c>
      <c r="W64" s="6"/>
      <c r="X64" s="24"/>
      <c r="Y64" s="24"/>
      <c r="Z64" s="24"/>
      <c r="AA64" s="24"/>
      <c r="AB64" s="24"/>
      <c r="AC64" s="24"/>
      <c r="AD64" s="24"/>
      <c r="AE64" s="24"/>
      <c r="AF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row>
    <row r="65" spans="1:70" s="25" customFormat="1" ht="30.75" customHeight="1" x14ac:dyDescent="0.3">
      <c r="A65" s="166"/>
      <c r="B65" s="347"/>
      <c r="C65" s="348"/>
      <c r="D65" s="349"/>
      <c r="E65" s="347"/>
      <c r="F65" s="347"/>
      <c r="G65" s="347"/>
      <c r="H65" s="347"/>
      <c r="I65" s="347"/>
      <c r="J65" s="347"/>
      <c r="K65" s="350"/>
      <c r="L65" s="350"/>
      <c r="M65" s="350"/>
      <c r="N65" s="280"/>
      <c r="O65" s="281" t="str">
        <f>IF(OR(L9&lt;&gt;"OK",$D$4=""),"",SUM(O12:O61))</f>
        <v/>
      </c>
      <c r="P65" s="282" t="str">
        <f>IF(OR(L9&lt;&gt;"OK",$D$4=""),"",SUM(P12:P61))</f>
        <v/>
      </c>
      <c r="Q65" s="283" t="str">
        <f>IF(OR(P65&lt;=0,P65=""),"",N65/P65)</f>
        <v/>
      </c>
      <c r="R65" s="284" t="str">
        <f>IF(Q65="","",SUM(R12:R61))</f>
        <v/>
      </c>
      <c r="S65" s="285" t="str">
        <f>IF(R65="","",SUM(S12:S61))</f>
        <v/>
      </c>
      <c r="T65" s="286" t="str">
        <f>IF(S65="","",SUM(T12:T61))</f>
        <v/>
      </c>
      <c r="U65" s="287" t="str">
        <f>IF(ISERROR(N65/T65),"",N65/T65)</f>
        <v/>
      </c>
      <c r="V65" s="288" t="str">
        <f>IF($D$4="","Please Select Programme",IF(L9&lt;&gt;"OK","Check Project Details",IF(Y62=0,"Enter Work Type Details",IF(N65=0,"Enter Funding Requested",IF(AB62&gt;=51,"Check Work Type Details",'Extra look-up'!H84)))))</f>
        <v>Please Select Programme</v>
      </c>
      <c r="W65" s="6"/>
      <c r="X65" s="24"/>
      <c r="Y65" s="24"/>
      <c r="Z65" s="24"/>
      <c r="AA65" s="24"/>
      <c r="AB65" s="24"/>
      <c r="AC65" s="24"/>
      <c r="AD65" s="24"/>
      <c r="AE65" s="24"/>
      <c r="AF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row>
    <row r="66" spans="1:70" s="6" customFormat="1" ht="15" customHeight="1" thickBot="1" x14ac:dyDescent="0.35">
      <c r="A66" s="165"/>
      <c r="B66" s="351"/>
      <c r="C66" s="352"/>
      <c r="D66" s="353"/>
      <c r="E66" s="351"/>
      <c r="F66" s="351"/>
      <c r="G66" s="351"/>
      <c r="H66" s="351"/>
      <c r="I66" s="351"/>
      <c r="J66" s="351"/>
      <c r="K66" s="354"/>
      <c r="L66" s="355"/>
      <c r="M66" s="159"/>
      <c r="N66" s="159"/>
      <c r="O66" s="160"/>
      <c r="P66" s="161"/>
      <c r="Q66" s="162"/>
      <c r="R66" s="163"/>
      <c r="S66" s="162"/>
      <c r="T66" s="164"/>
      <c r="U66" s="360"/>
      <c r="V66" s="361"/>
      <c r="X66" s="24"/>
      <c r="Y66" s="24"/>
      <c r="Z66" s="24"/>
      <c r="AA66" s="24"/>
      <c r="AB66" s="24"/>
      <c r="AC66" s="24"/>
      <c r="AD66" s="24"/>
      <c r="AE66" s="24"/>
      <c r="AF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row>
    <row r="67" spans="1:70" s="6" customFormat="1" ht="36.75" customHeight="1" x14ac:dyDescent="0.3">
      <c r="A67" s="356"/>
      <c r="B67" s="614"/>
      <c r="C67" s="615"/>
      <c r="D67" s="615"/>
      <c r="E67" s="615"/>
      <c r="F67" s="615"/>
      <c r="G67" s="615"/>
      <c r="H67" s="615"/>
      <c r="I67" s="615"/>
      <c r="J67" s="615"/>
      <c r="K67" s="615"/>
      <c r="L67" s="615"/>
      <c r="M67" s="615"/>
      <c r="N67" s="615"/>
      <c r="O67" s="615"/>
      <c r="P67" s="615"/>
      <c r="Q67" s="615"/>
      <c r="R67" s="615"/>
      <c r="S67" s="615"/>
      <c r="T67" s="615"/>
      <c r="U67" s="615"/>
      <c r="V67" s="616"/>
      <c r="X67" s="24"/>
      <c r="Y67" s="24"/>
      <c r="Z67" s="24"/>
      <c r="AA67" s="24"/>
      <c r="AB67" s="24"/>
      <c r="AC67" s="24"/>
      <c r="AD67" s="24"/>
      <c r="AE67" s="24"/>
      <c r="AF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row>
    <row r="68" spans="1:70" s="6" customFormat="1" ht="21" customHeight="1" x14ac:dyDescent="0.3">
      <c r="A68" s="356"/>
      <c r="B68" s="595" t="s">
        <v>251</v>
      </c>
      <c r="C68" s="596"/>
      <c r="D68" s="596"/>
      <c r="E68" s="596"/>
      <c r="F68" s="596"/>
      <c r="G68" s="596"/>
      <c r="H68" s="596"/>
      <c r="I68" s="596"/>
      <c r="J68" s="596"/>
      <c r="K68" s="596"/>
      <c r="L68" s="596"/>
      <c r="M68" s="596"/>
      <c r="N68" s="596"/>
      <c r="O68" s="596"/>
      <c r="P68" s="596"/>
      <c r="Q68" s="596"/>
      <c r="R68" s="596"/>
      <c r="S68" s="596"/>
      <c r="T68" s="596"/>
      <c r="U68" s="596"/>
      <c r="V68" s="597"/>
      <c r="X68" s="24"/>
      <c r="Y68" s="24"/>
      <c r="Z68" s="24"/>
      <c r="AA68" s="24"/>
      <c r="AB68" s="24"/>
      <c r="AC68" s="24"/>
      <c r="AD68" s="24"/>
      <c r="AE68" s="24"/>
      <c r="AF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row>
    <row r="69" spans="1:70" ht="97.5" customHeight="1" thickBot="1" x14ac:dyDescent="0.35">
      <c r="A69" s="356"/>
      <c r="B69" s="617" t="s">
        <v>252</v>
      </c>
      <c r="C69" s="618"/>
      <c r="D69" s="618"/>
      <c r="E69" s="618"/>
      <c r="F69" s="618"/>
      <c r="G69" s="618"/>
      <c r="H69" s="618"/>
      <c r="I69" s="618"/>
      <c r="J69" s="618"/>
      <c r="K69" s="618"/>
      <c r="L69" s="618"/>
      <c r="M69" s="618"/>
      <c r="N69" s="618"/>
      <c r="O69" s="618"/>
      <c r="P69" s="618"/>
      <c r="Q69" s="618"/>
      <c r="R69" s="618"/>
      <c r="S69" s="618"/>
      <c r="T69" s="618"/>
      <c r="U69" s="618"/>
      <c r="V69" s="619"/>
      <c r="W69" s="11"/>
    </row>
    <row r="70" spans="1:70" ht="14" thickBot="1" x14ac:dyDescent="0.35">
      <c r="A70" s="357"/>
      <c r="B70" s="358"/>
      <c r="C70" s="358"/>
      <c r="D70" s="358"/>
      <c r="E70" s="358"/>
      <c r="F70" s="358"/>
      <c r="G70" s="358"/>
      <c r="H70" s="358"/>
      <c r="I70" s="358"/>
      <c r="J70" s="358"/>
      <c r="K70" s="358"/>
      <c r="L70" s="358"/>
      <c r="M70" s="358"/>
      <c r="N70" s="358"/>
      <c r="O70" s="358"/>
      <c r="P70" s="358"/>
      <c r="Q70" s="358"/>
      <c r="R70" s="358"/>
      <c r="S70" s="358"/>
      <c r="T70" s="358"/>
      <c r="U70" s="358"/>
      <c r="V70" s="359"/>
      <c r="W70" s="11"/>
    </row>
    <row r="71" spans="1:70" ht="15" customHeight="1" thickBot="1" x14ac:dyDescent="0.35">
      <c r="A71" s="592"/>
      <c r="B71" s="593"/>
      <c r="C71" s="593"/>
      <c r="D71" s="593"/>
      <c r="E71" s="593"/>
      <c r="F71" s="593"/>
      <c r="G71" s="593"/>
      <c r="H71" s="593"/>
      <c r="I71" s="593"/>
      <c r="J71" s="593"/>
      <c r="K71" s="593"/>
      <c r="L71" s="593"/>
      <c r="M71" s="593"/>
      <c r="N71" s="593"/>
      <c r="O71" s="593"/>
      <c r="P71" s="593"/>
      <c r="Q71" s="593"/>
      <c r="R71" s="593"/>
      <c r="S71" s="593"/>
      <c r="T71" s="593"/>
      <c r="U71" s="593"/>
      <c r="V71" s="594"/>
      <c r="W71" s="11"/>
    </row>
    <row r="72" spans="1:70" ht="13.5" x14ac:dyDescent="0.3">
      <c r="A72" s="125"/>
      <c r="B72" s="126"/>
      <c r="C72" s="126"/>
      <c r="D72" s="127"/>
      <c r="E72" s="128"/>
      <c r="F72" s="128"/>
      <c r="G72" s="128"/>
      <c r="H72" s="129"/>
      <c r="I72" s="129"/>
      <c r="J72" s="129"/>
      <c r="K72" s="130"/>
      <c r="L72" s="130"/>
      <c r="M72" s="131"/>
      <c r="N72" s="131"/>
      <c r="O72" s="110"/>
      <c r="P72" s="110"/>
      <c r="Q72" s="110"/>
      <c r="R72" s="125"/>
      <c r="S72" s="110"/>
      <c r="T72" s="110"/>
      <c r="U72" s="110"/>
      <c r="V72" s="110"/>
      <c r="W72" s="11"/>
    </row>
    <row r="73" spans="1:70" ht="30.75" customHeight="1" x14ac:dyDescent="0.3">
      <c r="A73" s="125"/>
      <c r="B73" s="126"/>
      <c r="C73" s="126"/>
      <c r="D73" s="127"/>
      <c r="E73" s="128"/>
      <c r="F73" s="128"/>
      <c r="G73" s="128"/>
      <c r="H73" s="129"/>
      <c r="I73" s="129"/>
      <c r="J73" s="129"/>
      <c r="K73" s="130"/>
      <c r="L73" s="130"/>
      <c r="M73" s="131"/>
      <c r="N73" s="131"/>
      <c r="O73" s="110"/>
      <c r="P73" s="110"/>
      <c r="Q73" s="110"/>
      <c r="R73" s="125"/>
      <c r="S73" s="110"/>
      <c r="T73" s="110"/>
      <c r="U73" s="110"/>
      <c r="V73" s="110"/>
      <c r="W73" s="11"/>
    </row>
    <row r="74" spans="1:70" ht="13.5" x14ac:dyDescent="0.3">
      <c r="A74" s="125"/>
      <c r="B74" s="126"/>
      <c r="C74" s="126"/>
      <c r="D74" s="127"/>
      <c r="E74" s="128"/>
      <c r="F74" s="128"/>
      <c r="G74" s="128"/>
      <c r="H74" s="129"/>
      <c r="I74" s="129"/>
      <c r="J74" s="129"/>
      <c r="K74" s="130"/>
      <c r="L74" s="130"/>
      <c r="M74" s="131"/>
      <c r="N74" s="131"/>
      <c r="O74" s="110"/>
      <c r="P74" s="110"/>
      <c r="Q74" s="110"/>
      <c r="R74" s="125"/>
      <c r="S74" s="110"/>
      <c r="T74" s="110"/>
      <c r="U74" s="110"/>
      <c r="V74" s="110"/>
      <c r="W74" s="11"/>
    </row>
    <row r="75" spans="1:70" ht="13.5" x14ac:dyDescent="0.3">
      <c r="A75" s="125"/>
      <c r="B75" s="126"/>
      <c r="C75" s="126"/>
      <c r="D75" s="127"/>
      <c r="E75" s="128"/>
      <c r="F75" s="128"/>
      <c r="G75" s="128"/>
      <c r="H75" s="129"/>
      <c r="I75" s="129"/>
      <c r="J75" s="129"/>
      <c r="K75" s="130"/>
      <c r="L75" s="130"/>
      <c r="M75" s="131"/>
      <c r="N75" s="131"/>
      <c r="O75" s="110"/>
      <c r="P75" s="110"/>
      <c r="Q75" s="110"/>
      <c r="R75" s="125"/>
      <c r="S75" s="110"/>
      <c r="T75" s="110"/>
      <c r="U75" s="110"/>
      <c r="V75" s="110"/>
      <c r="W75" s="11"/>
    </row>
    <row r="76" spans="1:70" ht="13.5" x14ac:dyDescent="0.3">
      <c r="A76" s="125"/>
      <c r="B76" s="126"/>
      <c r="C76" s="126"/>
      <c r="D76" s="127"/>
      <c r="E76" s="128"/>
      <c r="F76" s="128"/>
      <c r="G76" s="128"/>
      <c r="H76" s="129"/>
      <c r="I76" s="129"/>
      <c r="J76" s="129"/>
      <c r="K76" s="130"/>
      <c r="L76" s="130"/>
      <c r="M76" s="131"/>
      <c r="N76" s="131"/>
      <c r="O76" s="110"/>
      <c r="P76" s="110"/>
      <c r="Q76" s="110"/>
      <c r="R76" s="125"/>
      <c r="S76" s="110"/>
      <c r="T76" s="110"/>
      <c r="U76" s="110"/>
      <c r="V76" s="110"/>
      <c r="W76" s="11"/>
    </row>
    <row r="77" spans="1:70" x14ac:dyDescent="0.3">
      <c r="A77" s="26"/>
      <c r="B77" s="27"/>
      <c r="C77" s="27"/>
      <c r="D77" s="28"/>
      <c r="E77" s="29"/>
      <c r="F77" s="29"/>
      <c r="G77" s="29"/>
      <c r="H77" s="30"/>
      <c r="I77" s="30"/>
      <c r="J77" s="30"/>
      <c r="K77" s="31"/>
      <c r="L77" s="31"/>
      <c r="M77" s="32"/>
      <c r="N77" s="32"/>
      <c r="O77" s="11"/>
      <c r="P77" s="11"/>
      <c r="Q77" s="11"/>
      <c r="R77" s="26"/>
      <c r="S77" s="11"/>
      <c r="T77" s="11"/>
      <c r="U77" s="11"/>
      <c r="V77" s="11"/>
      <c r="W77" s="11"/>
    </row>
    <row r="78" spans="1:70" x14ac:dyDescent="0.3">
      <c r="A78" s="26"/>
      <c r="B78" s="27"/>
      <c r="C78" s="27"/>
      <c r="D78" s="28"/>
      <c r="E78" s="29"/>
      <c r="F78" s="29"/>
      <c r="G78" s="29"/>
      <c r="H78" s="30"/>
      <c r="I78" s="30"/>
      <c r="J78" s="30"/>
      <c r="K78" s="31"/>
      <c r="L78" s="31"/>
      <c r="M78" s="32"/>
      <c r="N78" s="32"/>
      <c r="O78" s="11"/>
      <c r="P78" s="11"/>
      <c r="Q78" s="11"/>
      <c r="R78" s="26"/>
      <c r="S78" s="11"/>
      <c r="T78" s="11"/>
      <c r="U78" s="11"/>
      <c r="V78" s="11"/>
      <c r="W78" s="11"/>
    </row>
    <row r="79" spans="1:70" x14ac:dyDescent="0.3">
      <c r="A79" s="26"/>
      <c r="B79" s="27"/>
      <c r="C79" s="27"/>
      <c r="D79" s="28"/>
      <c r="E79" s="29"/>
      <c r="F79" s="29"/>
      <c r="G79" s="29"/>
      <c r="H79" s="30"/>
      <c r="I79" s="30"/>
      <c r="J79" s="30"/>
      <c r="K79" s="31"/>
      <c r="L79" s="31"/>
      <c r="M79" s="32"/>
      <c r="N79" s="32"/>
      <c r="O79" s="11"/>
      <c r="P79" s="11"/>
      <c r="Q79" s="11"/>
      <c r="R79" s="26"/>
      <c r="S79" s="11"/>
      <c r="T79" s="11"/>
      <c r="U79" s="11"/>
      <c r="V79" s="11"/>
      <c r="W79" s="11"/>
    </row>
    <row r="80" spans="1:70" x14ac:dyDescent="0.3">
      <c r="A80" s="26"/>
      <c r="B80" s="27"/>
      <c r="C80" s="27"/>
      <c r="D80" s="28"/>
      <c r="E80" s="29"/>
      <c r="F80" s="29"/>
      <c r="G80" s="29"/>
      <c r="H80" s="30"/>
      <c r="I80" s="30"/>
      <c r="J80" s="30"/>
      <c r="K80" s="31"/>
      <c r="L80" s="31"/>
      <c r="M80" s="32"/>
      <c r="N80" s="32"/>
      <c r="O80" s="11"/>
      <c r="P80" s="11"/>
      <c r="Q80" s="11"/>
      <c r="R80" s="26"/>
      <c r="S80" s="11"/>
      <c r="T80" s="11"/>
      <c r="U80" s="11"/>
      <c r="V80" s="11"/>
      <c r="W80" s="11"/>
    </row>
    <row r="81" spans="1:23" x14ac:dyDescent="0.3">
      <c r="A81" s="26"/>
      <c r="B81" s="27"/>
      <c r="C81" s="27"/>
      <c r="D81" s="28"/>
      <c r="E81" s="29"/>
      <c r="F81" s="29"/>
      <c r="G81" s="29"/>
      <c r="H81" s="30"/>
      <c r="I81" s="30"/>
      <c r="J81" s="30"/>
      <c r="K81" s="31"/>
      <c r="L81" s="31"/>
      <c r="M81" s="32"/>
      <c r="N81" s="32"/>
      <c r="O81" s="11"/>
      <c r="P81" s="11"/>
      <c r="Q81" s="11"/>
      <c r="R81" s="26"/>
      <c r="S81" s="11"/>
      <c r="T81" s="11"/>
      <c r="U81" s="11"/>
      <c r="V81" s="11"/>
      <c r="W81" s="11"/>
    </row>
    <row r="82" spans="1:23" x14ac:dyDescent="0.3">
      <c r="A82" s="26"/>
      <c r="B82" s="27"/>
      <c r="C82" s="27"/>
      <c r="D82" s="28"/>
      <c r="E82" s="29"/>
      <c r="F82" s="29"/>
      <c r="G82" s="29"/>
      <c r="H82" s="30"/>
      <c r="I82" s="30"/>
      <c r="J82" s="30"/>
      <c r="K82" s="31"/>
      <c r="L82" s="31"/>
      <c r="M82" s="32"/>
      <c r="N82" s="32"/>
      <c r="O82" s="11"/>
      <c r="P82" s="11"/>
      <c r="Q82" s="11"/>
      <c r="R82" s="26"/>
      <c r="S82" s="11"/>
      <c r="T82" s="11"/>
      <c r="U82" s="11"/>
      <c r="V82" s="11"/>
      <c r="W82" s="11"/>
    </row>
    <row r="83" spans="1:23" x14ac:dyDescent="0.3">
      <c r="A83" s="26"/>
      <c r="B83" s="27"/>
      <c r="C83" s="27"/>
      <c r="D83" s="28"/>
      <c r="E83" s="29"/>
      <c r="F83" s="29"/>
      <c r="G83" s="29"/>
      <c r="H83" s="30"/>
      <c r="I83" s="30"/>
      <c r="J83" s="30"/>
      <c r="K83" s="31"/>
      <c r="L83" s="31"/>
      <c r="M83" s="32"/>
      <c r="N83" s="32"/>
      <c r="O83" s="11"/>
      <c r="P83" s="11"/>
      <c r="Q83" s="11"/>
      <c r="R83" s="26"/>
      <c r="S83" s="11"/>
      <c r="T83" s="11"/>
      <c r="U83" s="11"/>
      <c r="V83" s="11"/>
      <c r="W83" s="11"/>
    </row>
    <row r="84" spans="1:23" x14ac:dyDescent="0.3">
      <c r="A84" s="26"/>
      <c r="B84" s="27"/>
      <c r="C84" s="27"/>
      <c r="D84" s="28"/>
      <c r="E84" s="29"/>
      <c r="F84" s="29"/>
      <c r="G84" s="29"/>
      <c r="H84" s="30"/>
      <c r="I84" s="30"/>
      <c r="J84" s="30"/>
      <c r="K84" s="31"/>
      <c r="L84" s="31"/>
      <c r="M84" s="32"/>
      <c r="N84" s="32"/>
      <c r="O84" s="11"/>
      <c r="P84" s="11"/>
      <c r="Q84" s="11"/>
      <c r="R84" s="26"/>
      <c r="S84" s="11"/>
      <c r="T84" s="11"/>
      <c r="U84" s="11"/>
      <c r="V84" s="11"/>
      <c r="W84" s="11"/>
    </row>
    <row r="85" spans="1:23" x14ac:dyDescent="0.3">
      <c r="A85" s="26"/>
      <c r="B85" s="27"/>
      <c r="C85" s="27"/>
      <c r="D85" s="28"/>
      <c r="E85" s="29"/>
      <c r="F85" s="29"/>
      <c r="G85" s="29"/>
      <c r="H85" s="30"/>
      <c r="I85" s="30"/>
      <c r="J85" s="30"/>
      <c r="K85" s="31"/>
      <c r="L85" s="31"/>
      <c r="M85" s="32"/>
      <c r="N85" s="32"/>
      <c r="O85" s="11"/>
      <c r="P85" s="11"/>
      <c r="Q85" s="11"/>
      <c r="R85" s="26"/>
      <c r="S85" s="11"/>
      <c r="T85" s="11"/>
      <c r="U85" s="11"/>
      <c r="V85" s="11"/>
      <c r="W85" s="11"/>
    </row>
    <row r="86" spans="1:23" x14ac:dyDescent="0.3">
      <c r="A86" s="26"/>
      <c r="B86" s="27"/>
      <c r="C86" s="27"/>
      <c r="D86" s="28"/>
      <c r="E86" s="29"/>
      <c r="F86" s="29"/>
      <c r="G86" s="29"/>
      <c r="H86" s="30"/>
      <c r="I86" s="30"/>
      <c r="J86" s="30"/>
      <c r="K86" s="31"/>
      <c r="L86" s="31"/>
      <c r="M86" s="32"/>
      <c r="N86" s="32"/>
      <c r="O86" s="11"/>
      <c r="P86" s="11"/>
      <c r="Q86" s="11"/>
      <c r="R86" s="26"/>
      <c r="S86" s="11"/>
      <c r="T86" s="11"/>
      <c r="U86" s="11"/>
      <c r="V86" s="11"/>
      <c r="W86" s="11"/>
    </row>
    <row r="87" spans="1:23" x14ac:dyDescent="0.3">
      <c r="A87" s="26"/>
      <c r="B87" s="27"/>
      <c r="C87" s="27"/>
      <c r="D87" s="28"/>
      <c r="E87" s="29"/>
      <c r="F87" s="29"/>
      <c r="G87" s="29"/>
      <c r="H87" s="30"/>
      <c r="I87" s="30"/>
      <c r="J87" s="30"/>
      <c r="K87" s="31"/>
      <c r="L87" s="31"/>
      <c r="M87" s="32"/>
      <c r="N87" s="32"/>
      <c r="O87" s="11"/>
      <c r="P87" s="11"/>
      <c r="Q87" s="11"/>
      <c r="R87" s="26"/>
      <c r="S87" s="11"/>
      <c r="T87" s="11"/>
      <c r="U87" s="11"/>
      <c r="V87" s="11"/>
      <c r="W87" s="11"/>
    </row>
    <row r="88" spans="1:23" x14ac:dyDescent="0.3">
      <c r="W88" s="11"/>
    </row>
    <row r="89" spans="1:23" x14ac:dyDescent="0.3">
      <c r="W89" s="11"/>
    </row>
    <row r="90" spans="1:23" x14ac:dyDescent="0.3">
      <c r="W90" s="11"/>
    </row>
    <row r="99" spans="33:43" x14ac:dyDescent="0.3">
      <c r="AH99" s="24" t="s">
        <v>253</v>
      </c>
    </row>
    <row r="100" spans="33:43" x14ac:dyDescent="0.3">
      <c r="AG100" s="519" t="s">
        <v>254</v>
      </c>
      <c r="AH100" s="530" t="s">
        <v>49</v>
      </c>
      <c r="AI100" s="519" t="s">
        <v>53</v>
      </c>
      <c r="AJ100" s="519" t="s">
        <v>255</v>
      </c>
      <c r="AK100" s="519" t="s">
        <v>256</v>
      </c>
      <c r="AL100" s="519" t="s">
        <v>257</v>
      </c>
      <c r="AM100" s="519" t="s">
        <v>69</v>
      </c>
      <c r="AN100" s="519" t="s">
        <v>72</v>
      </c>
      <c r="AO100" s="530" t="s">
        <v>258</v>
      </c>
      <c r="AP100" s="519" t="s">
        <v>76</v>
      </c>
      <c r="AQ100" s="519" t="s">
        <v>80</v>
      </c>
    </row>
    <row r="101" spans="33:43" x14ac:dyDescent="0.3">
      <c r="AG101" s="519">
        <v>2025</v>
      </c>
      <c r="AH101" s="531">
        <f t="shared" ref="AH101:AH138" si="19">SUM(0.177+0.0183)</f>
        <v>0.1953</v>
      </c>
      <c r="AI101" s="519">
        <v>0.18296000000000001</v>
      </c>
      <c r="AJ101" s="519">
        <v>0.25650000000000001</v>
      </c>
      <c r="AK101" s="519">
        <v>0.26812999999999998</v>
      </c>
      <c r="AL101" s="519">
        <v>0.24676999999999999</v>
      </c>
      <c r="AM101" s="519">
        <v>0.34721000000000002</v>
      </c>
      <c r="AN101" s="519">
        <v>0.2145</v>
      </c>
      <c r="AO101" s="519">
        <f t="shared" ref="AO101:AO138" si="20">$B$9</f>
        <v>0</v>
      </c>
      <c r="AP101" s="519">
        <v>1.15E-2</v>
      </c>
      <c r="AQ101" s="519">
        <v>1.15E-2</v>
      </c>
    </row>
    <row r="102" spans="33:43" x14ac:dyDescent="0.3">
      <c r="AG102" s="519">
        <v>2026</v>
      </c>
      <c r="AH102" s="531">
        <f t="shared" si="19"/>
        <v>0.1953</v>
      </c>
      <c r="AI102" s="519">
        <v>0.18296000000000001</v>
      </c>
      <c r="AJ102" s="519">
        <v>0.25650000000000001</v>
      </c>
      <c r="AK102" s="519">
        <v>0.26812999999999998</v>
      </c>
      <c r="AL102" s="519">
        <v>0.24676999999999999</v>
      </c>
      <c r="AM102" s="519">
        <v>0.34721000000000002</v>
      </c>
      <c r="AN102" s="519">
        <v>0.2145</v>
      </c>
      <c r="AO102" s="519">
        <f t="shared" si="20"/>
        <v>0</v>
      </c>
      <c r="AP102" s="519">
        <v>1.15E-2</v>
      </c>
      <c r="AQ102" s="519">
        <v>1.15E-2</v>
      </c>
    </row>
    <row r="103" spans="33:43" x14ac:dyDescent="0.3">
      <c r="AG103" s="519">
        <v>2027</v>
      </c>
      <c r="AH103" s="531">
        <f t="shared" si="19"/>
        <v>0.1953</v>
      </c>
      <c r="AI103" s="519">
        <v>0.18296000000000001</v>
      </c>
      <c r="AJ103" s="519">
        <v>0.25650000000000001</v>
      </c>
      <c r="AK103" s="519">
        <v>0.26812999999999998</v>
      </c>
      <c r="AL103" s="519">
        <v>0.24676999999999999</v>
      </c>
      <c r="AM103" s="519">
        <v>0.34721000000000002</v>
      </c>
      <c r="AN103" s="519">
        <v>0.2145</v>
      </c>
      <c r="AO103" s="519">
        <f t="shared" si="20"/>
        <v>0</v>
      </c>
      <c r="AP103" s="519">
        <v>1.15E-2</v>
      </c>
      <c r="AQ103" s="519">
        <v>1.15E-2</v>
      </c>
    </row>
    <row r="104" spans="33:43" x14ac:dyDescent="0.3">
      <c r="AG104" s="519">
        <v>2028</v>
      </c>
      <c r="AH104" s="531">
        <f t="shared" si="19"/>
        <v>0.1953</v>
      </c>
      <c r="AI104" s="519">
        <v>0.18296000000000001</v>
      </c>
      <c r="AJ104" s="519">
        <v>0.25650000000000001</v>
      </c>
      <c r="AK104" s="519">
        <v>0.26812999999999998</v>
      </c>
      <c r="AL104" s="519">
        <v>0.24676999999999999</v>
      </c>
      <c r="AM104" s="519">
        <v>0.34721000000000002</v>
      </c>
      <c r="AN104" s="519">
        <v>0.2145</v>
      </c>
      <c r="AO104" s="519">
        <f t="shared" si="20"/>
        <v>0</v>
      </c>
      <c r="AP104" s="519">
        <v>1.15E-2</v>
      </c>
      <c r="AQ104" s="519">
        <v>1.15E-2</v>
      </c>
    </row>
    <row r="105" spans="33:43" x14ac:dyDescent="0.3">
      <c r="AG105" s="519">
        <v>2029</v>
      </c>
      <c r="AH105" s="531">
        <f t="shared" si="19"/>
        <v>0.1953</v>
      </c>
      <c r="AI105" s="519">
        <v>0.18296000000000001</v>
      </c>
      <c r="AJ105" s="519">
        <v>0.25650000000000001</v>
      </c>
      <c r="AK105" s="519">
        <v>0.26812999999999998</v>
      </c>
      <c r="AL105" s="519">
        <v>0.24676999999999999</v>
      </c>
      <c r="AM105" s="519">
        <v>0.34721000000000002</v>
      </c>
      <c r="AN105" s="519">
        <v>0.2145</v>
      </c>
      <c r="AO105" s="519">
        <f t="shared" si="20"/>
        <v>0</v>
      </c>
      <c r="AP105" s="519">
        <v>1.15E-2</v>
      </c>
      <c r="AQ105" s="519">
        <v>1.15E-2</v>
      </c>
    </row>
    <row r="106" spans="33:43" x14ac:dyDescent="0.3">
      <c r="AG106" s="519">
        <v>2030</v>
      </c>
      <c r="AH106" s="531">
        <f t="shared" si="19"/>
        <v>0.1953</v>
      </c>
      <c r="AI106" s="519">
        <v>0.18296000000000001</v>
      </c>
      <c r="AJ106" s="519">
        <v>0.25650000000000001</v>
      </c>
      <c r="AK106" s="519">
        <v>0.26812999999999998</v>
      </c>
      <c r="AL106" s="519">
        <v>0.24676999999999999</v>
      </c>
      <c r="AM106" s="519">
        <v>0.34721000000000002</v>
      </c>
      <c r="AN106" s="519">
        <v>0.2145</v>
      </c>
      <c r="AO106" s="519">
        <f t="shared" si="20"/>
        <v>0</v>
      </c>
      <c r="AP106" s="519">
        <v>1.15E-2</v>
      </c>
      <c r="AQ106" s="519">
        <v>1.15E-2</v>
      </c>
    </row>
    <row r="107" spans="33:43" x14ac:dyDescent="0.3">
      <c r="AG107" s="519">
        <v>2031</v>
      </c>
      <c r="AH107" s="531">
        <f t="shared" si="19"/>
        <v>0.1953</v>
      </c>
      <c r="AI107" s="519">
        <v>0.18296000000000001</v>
      </c>
      <c r="AJ107" s="519">
        <v>0.25650000000000001</v>
      </c>
      <c r="AK107" s="519">
        <v>0.26812999999999998</v>
      </c>
      <c r="AL107" s="519">
        <v>0.24676999999999999</v>
      </c>
      <c r="AM107" s="519">
        <v>0.34721000000000002</v>
      </c>
      <c r="AN107" s="519">
        <v>0.2145</v>
      </c>
      <c r="AO107" s="519">
        <f t="shared" si="20"/>
        <v>0</v>
      </c>
      <c r="AP107" s="519">
        <v>1.15E-2</v>
      </c>
      <c r="AQ107" s="519">
        <v>1.15E-2</v>
      </c>
    </row>
    <row r="108" spans="33:43" x14ac:dyDescent="0.3">
      <c r="AG108" s="519">
        <v>2032</v>
      </c>
      <c r="AH108" s="531">
        <f t="shared" si="19"/>
        <v>0.1953</v>
      </c>
      <c r="AI108" s="519">
        <v>0.18296000000000001</v>
      </c>
      <c r="AJ108" s="519">
        <v>0.25650000000000001</v>
      </c>
      <c r="AK108" s="519">
        <v>0.26812999999999998</v>
      </c>
      <c r="AL108" s="519">
        <v>0.24676999999999999</v>
      </c>
      <c r="AM108" s="519">
        <v>0.34721000000000002</v>
      </c>
      <c r="AN108" s="519">
        <v>0.2145</v>
      </c>
      <c r="AO108" s="519">
        <f t="shared" si="20"/>
        <v>0</v>
      </c>
      <c r="AP108" s="519">
        <v>1.15E-2</v>
      </c>
      <c r="AQ108" s="519">
        <v>1.15E-2</v>
      </c>
    </row>
    <row r="109" spans="33:43" x14ac:dyDescent="0.3">
      <c r="AG109" s="519">
        <v>2033</v>
      </c>
      <c r="AH109" s="531">
        <f t="shared" si="19"/>
        <v>0.1953</v>
      </c>
      <c r="AI109" s="519">
        <v>0.18296000000000001</v>
      </c>
      <c r="AJ109" s="519">
        <v>0.25650000000000001</v>
      </c>
      <c r="AK109" s="519">
        <v>0.26812999999999998</v>
      </c>
      <c r="AL109" s="519">
        <v>0.24676999999999999</v>
      </c>
      <c r="AM109" s="519">
        <v>0.34721000000000002</v>
      </c>
      <c r="AN109" s="519">
        <v>0.2145</v>
      </c>
      <c r="AO109" s="519">
        <f t="shared" si="20"/>
        <v>0</v>
      </c>
      <c r="AP109" s="519">
        <v>1.15E-2</v>
      </c>
      <c r="AQ109" s="519">
        <v>1.15E-2</v>
      </c>
    </row>
    <row r="110" spans="33:43" x14ac:dyDescent="0.3">
      <c r="AG110" s="519">
        <v>2034</v>
      </c>
      <c r="AH110" s="531">
        <f t="shared" si="19"/>
        <v>0.1953</v>
      </c>
      <c r="AI110" s="519">
        <v>0.18296000000000001</v>
      </c>
      <c r="AJ110" s="519">
        <v>0.25650000000000001</v>
      </c>
      <c r="AK110" s="519">
        <v>0.26812999999999998</v>
      </c>
      <c r="AL110" s="519">
        <v>0.24676999999999999</v>
      </c>
      <c r="AM110" s="519">
        <v>0.34721000000000002</v>
      </c>
      <c r="AN110" s="519">
        <v>0.2145</v>
      </c>
      <c r="AO110" s="519">
        <f t="shared" si="20"/>
        <v>0</v>
      </c>
      <c r="AP110" s="519">
        <v>1.15E-2</v>
      </c>
      <c r="AQ110" s="519">
        <v>1.15E-2</v>
      </c>
    </row>
    <row r="111" spans="33:43" x14ac:dyDescent="0.3">
      <c r="AG111" s="519">
        <v>2035</v>
      </c>
      <c r="AH111" s="531">
        <f t="shared" si="19"/>
        <v>0.1953</v>
      </c>
      <c r="AI111" s="519">
        <v>0.18296000000000001</v>
      </c>
      <c r="AJ111" s="519">
        <v>0.25650000000000001</v>
      </c>
      <c r="AK111" s="519">
        <v>0.26812999999999998</v>
      </c>
      <c r="AL111" s="519">
        <v>0.24676999999999999</v>
      </c>
      <c r="AM111" s="519">
        <v>0.34721000000000002</v>
      </c>
      <c r="AN111" s="519">
        <v>0.2145</v>
      </c>
      <c r="AO111" s="519">
        <f t="shared" si="20"/>
        <v>0</v>
      </c>
      <c r="AP111" s="519">
        <v>1.15E-2</v>
      </c>
      <c r="AQ111" s="519">
        <v>1.15E-2</v>
      </c>
    </row>
    <row r="112" spans="33:43" x14ac:dyDescent="0.3">
      <c r="AG112" s="519">
        <v>2036</v>
      </c>
      <c r="AH112" s="531">
        <f t="shared" si="19"/>
        <v>0.1953</v>
      </c>
      <c r="AI112" s="519">
        <v>0.18296000000000001</v>
      </c>
      <c r="AJ112" s="519">
        <v>0.25650000000000001</v>
      </c>
      <c r="AK112" s="519">
        <v>0.26812999999999998</v>
      </c>
      <c r="AL112" s="519">
        <v>0.24676999999999999</v>
      </c>
      <c r="AM112" s="519">
        <v>0.34721000000000002</v>
      </c>
      <c r="AN112" s="519">
        <v>0.2145</v>
      </c>
      <c r="AO112" s="519">
        <f t="shared" si="20"/>
        <v>0</v>
      </c>
      <c r="AP112" s="519">
        <v>1.15E-2</v>
      </c>
      <c r="AQ112" s="519">
        <v>1.15E-2</v>
      </c>
    </row>
    <row r="113" spans="33:43" x14ac:dyDescent="0.3">
      <c r="AG113" s="519">
        <v>2037</v>
      </c>
      <c r="AH113" s="531">
        <f t="shared" si="19"/>
        <v>0.1953</v>
      </c>
      <c r="AI113" s="519">
        <v>0.18296000000000001</v>
      </c>
      <c r="AJ113" s="519">
        <v>0.25650000000000001</v>
      </c>
      <c r="AK113" s="519">
        <v>0.26812999999999998</v>
      </c>
      <c r="AL113" s="519">
        <v>0.24676999999999999</v>
      </c>
      <c r="AM113" s="519">
        <v>0.34721000000000002</v>
      </c>
      <c r="AN113" s="519">
        <v>0.2145</v>
      </c>
      <c r="AO113" s="519">
        <f t="shared" si="20"/>
        <v>0</v>
      </c>
      <c r="AP113" s="519">
        <v>1.15E-2</v>
      </c>
      <c r="AQ113" s="519">
        <v>1.15E-2</v>
      </c>
    </row>
    <row r="114" spans="33:43" x14ac:dyDescent="0.3">
      <c r="AG114" s="519">
        <v>2038</v>
      </c>
      <c r="AH114" s="531">
        <f t="shared" si="19"/>
        <v>0.1953</v>
      </c>
      <c r="AI114" s="519">
        <v>0.18296000000000001</v>
      </c>
      <c r="AJ114" s="519">
        <v>0.25650000000000001</v>
      </c>
      <c r="AK114" s="519">
        <v>0.26812999999999998</v>
      </c>
      <c r="AL114" s="519">
        <v>0.24676999999999999</v>
      </c>
      <c r="AM114" s="519">
        <v>0.34721000000000002</v>
      </c>
      <c r="AN114" s="519">
        <v>0.2145</v>
      </c>
      <c r="AO114" s="519">
        <f t="shared" si="20"/>
        <v>0</v>
      </c>
      <c r="AP114" s="519">
        <v>1.15E-2</v>
      </c>
      <c r="AQ114" s="519">
        <v>1.15E-2</v>
      </c>
    </row>
    <row r="115" spans="33:43" x14ac:dyDescent="0.3">
      <c r="AG115" s="519">
        <v>2039</v>
      </c>
      <c r="AH115" s="531">
        <f t="shared" si="19"/>
        <v>0.1953</v>
      </c>
      <c r="AI115" s="519">
        <v>0.18296000000000001</v>
      </c>
      <c r="AJ115" s="519">
        <v>0.25650000000000001</v>
      </c>
      <c r="AK115" s="519">
        <v>0.26812999999999998</v>
      </c>
      <c r="AL115" s="519">
        <v>0.24676999999999999</v>
      </c>
      <c r="AM115" s="519">
        <v>0.34721000000000002</v>
      </c>
      <c r="AN115" s="519">
        <v>0.2145</v>
      </c>
      <c r="AO115" s="519">
        <f t="shared" si="20"/>
        <v>0</v>
      </c>
      <c r="AP115" s="519">
        <v>1.15E-2</v>
      </c>
      <c r="AQ115" s="519">
        <v>1.15E-2</v>
      </c>
    </row>
    <row r="116" spans="33:43" x14ac:dyDescent="0.3">
      <c r="AG116" s="519">
        <v>2040</v>
      </c>
      <c r="AH116" s="531">
        <f t="shared" si="19"/>
        <v>0.1953</v>
      </c>
      <c r="AI116" s="519">
        <v>0.18296000000000001</v>
      </c>
      <c r="AJ116" s="519">
        <v>0.25650000000000001</v>
      </c>
      <c r="AK116" s="519">
        <v>0.26812999999999998</v>
      </c>
      <c r="AL116" s="519">
        <v>0.24676999999999999</v>
      </c>
      <c r="AM116" s="519">
        <v>0.34721000000000002</v>
      </c>
      <c r="AN116" s="519">
        <v>0.2145</v>
      </c>
      <c r="AO116" s="519">
        <f t="shared" si="20"/>
        <v>0</v>
      </c>
      <c r="AP116" s="519">
        <v>1.15E-2</v>
      </c>
      <c r="AQ116" s="519">
        <v>1.15E-2</v>
      </c>
    </row>
    <row r="117" spans="33:43" x14ac:dyDescent="0.3">
      <c r="AG117" s="519">
        <v>2041</v>
      </c>
      <c r="AH117" s="531">
        <f t="shared" si="19"/>
        <v>0.1953</v>
      </c>
      <c r="AI117" s="519">
        <v>0.18296000000000001</v>
      </c>
      <c r="AJ117" s="519">
        <v>0.25650000000000001</v>
      </c>
      <c r="AK117" s="519">
        <v>0.26812999999999998</v>
      </c>
      <c r="AL117" s="519">
        <v>0.24676999999999999</v>
      </c>
      <c r="AM117" s="519">
        <v>0.34721000000000002</v>
      </c>
      <c r="AN117" s="519">
        <v>0.2145</v>
      </c>
      <c r="AO117" s="519">
        <f t="shared" si="20"/>
        <v>0</v>
      </c>
      <c r="AP117" s="519">
        <v>1.15E-2</v>
      </c>
      <c r="AQ117" s="519">
        <v>1.15E-2</v>
      </c>
    </row>
    <row r="118" spans="33:43" x14ac:dyDescent="0.3">
      <c r="AG118" s="519">
        <v>2042</v>
      </c>
      <c r="AH118" s="531">
        <f t="shared" si="19"/>
        <v>0.1953</v>
      </c>
      <c r="AI118" s="519">
        <v>0.18296000000000001</v>
      </c>
      <c r="AJ118" s="519">
        <v>0.25650000000000001</v>
      </c>
      <c r="AK118" s="519">
        <v>0.26812999999999998</v>
      </c>
      <c r="AL118" s="519">
        <v>0.24676999999999999</v>
      </c>
      <c r="AM118" s="519">
        <v>0.34721000000000002</v>
      </c>
      <c r="AN118" s="519">
        <v>0.2145</v>
      </c>
      <c r="AO118" s="519">
        <f t="shared" si="20"/>
        <v>0</v>
      </c>
      <c r="AP118" s="519">
        <v>1.15E-2</v>
      </c>
      <c r="AQ118" s="519">
        <v>1.15E-2</v>
      </c>
    </row>
    <row r="119" spans="33:43" x14ac:dyDescent="0.3">
      <c r="AG119" s="519">
        <v>2043</v>
      </c>
      <c r="AH119" s="531">
        <f t="shared" si="19"/>
        <v>0.1953</v>
      </c>
      <c r="AI119" s="519">
        <v>0.18296000000000001</v>
      </c>
      <c r="AJ119" s="519">
        <v>0.25650000000000001</v>
      </c>
      <c r="AK119" s="519">
        <v>0.26812999999999998</v>
      </c>
      <c r="AL119" s="519">
        <v>0.24676999999999999</v>
      </c>
      <c r="AM119" s="519">
        <v>0.34721000000000002</v>
      </c>
      <c r="AN119" s="519">
        <v>0.2145</v>
      </c>
      <c r="AO119" s="519">
        <f t="shared" si="20"/>
        <v>0</v>
      </c>
      <c r="AP119" s="519">
        <v>1.15E-2</v>
      </c>
      <c r="AQ119" s="519">
        <v>1.15E-2</v>
      </c>
    </row>
    <row r="120" spans="33:43" x14ac:dyDescent="0.3">
      <c r="AG120" s="519">
        <v>2044</v>
      </c>
      <c r="AH120" s="531">
        <f t="shared" si="19"/>
        <v>0.1953</v>
      </c>
      <c r="AI120" s="519">
        <v>0.18296000000000001</v>
      </c>
      <c r="AJ120" s="519">
        <v>0.25650000000000001</v>
      </c>
      <c r="AK120" s="519">
        <v>0.26812999999999998</v>
      </c>
      <c r="AL120" s="519">
        <v>0.24676999999999999</v>
      </c>
      <c r="AM120" s="519">
        <v>0.34721000000000002</v>
      </c>
      <c r="AN120" s="519">
        <v>0.2145</v>
      </c>
      <c r="AO120" s="519">
        <f t="shared" si="20"/>
        <v>0</v>
      </c>
      <c r="AP120" s="519">
        <v>1.15E-2</v>
      </c>
      <c r="AQ120" s="519">
        <v>1.15E-2</v>
      </c>
    </row>
    <row r="121" spans="33:43" x14ac:dyDescent="0.3">
      <c r="AG121" s="519">
        <v>2045</v>
      </c>
      <c r="AH121" s="531">
        <f t="shared" si="19"/>
        <v>0.1953</v>
      </c>
      <c r="AI121" s="519">
        <v>0.18296000000000001</v>
      </c>
      <c r="AJ121" s="519">
        <v>0.25650000000000001</v>
      </c>
      <c r="AK121" s="519">
        <v>0.26812999999999998</v>
      </c>
      <c r="AL121" s="519">
        <v>0.24676999999999999</v>
      </c>
      <c r="AM121" s="519">
        <v>0.34721000000000002</v>
      </c>
      <c r="AN121" s="519">
        <v>0.2145</v>
      </c>
      <c r="AO121" s="519">
        <f t="shared" si="20"/>
        <v>0</v>
      </c>
      <c r="AP121" s="519">
        <v>1.15E-2</v>
      </c>
      <c r="AQ121" s="519">
        <v>1.15E-2</v>
      </c>
    </row>
    <row r="122" spans="33:43" x14ac:dyDescent="0.3">
      <c r="AG122" s="519">
        <v>2046</v>
      </c>
      <c r="AH122" s="531">
        <f t="shared" si="19"/>
        <v>0.1953</v>
      </c>
      <c r="AI122" s="519">
        <v>0.18296000000000001</v>
      </c>
      <c r="AJ122" s="519">
        <v>0.25650000000000001</v>
      </c>
      <c r="AK122" s="519">
        <v>0.26812999999999998</v>
      </c>
      <c r="AL122" s="519">
        <v>0.24676999999999999</v>
      </c>
      <c r="AM122" s="519">
        <v>0.34721000000000002</v>
      </c>
      <c r="AN122" s="519">
        <v>0.2145</v>
      </c>
      <c r="AO122" s="519">
        <f t="shared" si="20"/>
        <v>0</v>
      </c>
      <c r="AP122" s="519">
        <v>1.15E-2</v>
      </c>
      <c r="AQ122" s="519">
        <v>1.15E-2</v>
      </c>
    </row>
    <row r="123" spans="33:43" x14ac:dyDescent="0.3">
      <c r="AG123" s="519">
        <v>2047</v>
      </c>
      <c r="AH123" s="531">
        <f t="shared" si="19"/>
        <v>0.1953</v>
      </c>
      <c r="AI123" s="519">
        <v>0.18296000000000001</v>
      </c>
      <c r="AJ123" s="519">
        <v>0.25650000000000001</v>
      </c>
      <c r="AK123" s="519">
        <v>0.26812999999999998</v>
      </c>
      <c r="AL123" s="519">
        <v>0.24676999999999999</v>
      </c>
      <c r="AM123" s="519">
        <v>0.34721000000000002</v>
      </c>
      <c r="AN123" s="519">
        <v>0.2145</v>
      </c>
      <c r="AO123" s="519">
        <f t="shared" si="20"/>
        <v>0</v>
      </c>
      <c r="AP123" s="519">
        <v>1.15E-2</v>
      </c>
      <c r="AQ123" s="519">
        <v>1.15E-2</v>
      </c>
    </row>
    <row r="124" spans="33:43" x14ac:dyDescent="0.3">
      <c r="AG124" s="519">
        <v>2048</v>
      </c>
      <c r="AH124" s="531">
        <f t="shared" si="19"/>
        <v>0.1953</v>
      </c>
      <c r="AI124" s="519">
        <v>0.18296000000000001</v>
      </c>
      <c r="AJ124" s="519">
        <v>0.25650000000000001</v>
      </c>
      <c r="AK124" s="519">
        <v>0.26812999999999998</v>
      </c>
      <c r="AL124" s="519">
        <v>0.24676999999999999</v>
      </c>
      <c r="AM124" s="519">
        <v>0.34721000000000002</v>
      </c>
      <c r="AN124" s="519">
        <v>0.2145</v>
      </c>
      <c r="AO124" s="519">
        <f t="shared" si="20"/>
        <v>0</v>
      </c>
      <c r="AP124" s="519">
        <v>1.15E-2</v>
      </c>
      <c r="AQ124" s="519">
        <v>1.15E-2</v>
      </c>
    </row>
    <row r="125" spans="33:43" x14ac:dyDescent="0.3">
      <c r="AG125" s="519">
        <v>2049</v>
      </c>
      <c r="AH125" s="531">
        <f t="shared" si="19"/>
        <v>0.1953</v>
      </c>
      <c r="AI125" s="519">
        <v>0.18296000000000001</v>
      </c>
      <c r="AJ125" s="519">
        <v>0.25650000000000001</v>
      </c>
      <c r="AK125" s="519">
        <v>0.26812999999999998</v>
      </c>
      <c r="AL125" s="519">
        <v>0.24676999999999999</v>
      </c>
      <c r="AM125" s="519">
        <v>0.34721000000000002</v>
      </c>
      <c r="AN125" s="519">
        <v>0.2145</v>
      </c>
      <c r="AO125" s="519">
        <f t="shared" si="20"/>
        <v>0</v>
      </c>
      <c r="AP125" s="519">
        <v>1.15E-2</v>
      </c>
      <c r="AQ125" s="519">
        <v>1.15E-2</v>
      </c>
    </row>
    <row r="126" spans="33:43" x14ac:dyDescent="0.3">
      <c r="AG126" s="519">
        <v>2050</v>
      </c>
      <c r="AH126" s="531">
        <f t="shared" si="19"/>
        <v>0.1953</v>
      </c>
      <c r="AI126" s="519">
        <v>0.18296000000000001</v>
      </c>
      <c r="AJ126" s="519">
        <v>0.25650000000000001</v>
      </c>
      <c r="AK126" s="519">
        <v>0.26812999999999998</v>
      </c>
      <c r="AL126" s="519">
        <v>0.24676999999999999</v>
      </c>
      <c r="AM126" s="519">
        <v>0.34721000000000002</v>
      </c>
      <c r="AN126" s="519">
        <v>0.2145</v>
      </c>
      <c r="AO126" s="519">
        <f t="shared" si="20"/>
        <v>0</v>
      </c>
      <c r="AP126" s="519">
        <v>1.15E-2</v>
      </c>
      <c r="AQ126" s="519">
        <v>1.15E-2</v>
      </c>
    </row>
    <row r="127" spans="33:43" x14ac:dyDescent="0.3">
      <c r="AG127" s="519">
        <v>2051</v>
      </c>
      <c r="AH127" s="531">
        <f t="shared" si="19"/>
        <v>0.1953</v>
      </c>
      <c r="AI127" s="519">
        <v>0.18296000000000001</v>
      </c>
      <c r="AJ127" s="519">
        <v>0.25650000000000001</v>
      </c>
      <c r="AK127" s="519">
        <v>0.26812999999999998</v>
      </c>
      <c r="AL127" s="519">
        <v>0.24676999999999999</v>
      </c>
      <c r="AM127" s="519">
        <v>0.34721000000000002</v>
      </c>
      <c r="AN127" s="519">
        <v>0.2145</v>
      </c>
      <c r="AO127" s="519">
        <f t="shared" si="20"/>
        <v>0</v>
      </c>
      <c r="AP127" s="519">
        <v>1.15E-2</v>
      </c>
      <c r="AQ127" s="519">
        <v>1.15E-2</v>
      </c>
    </row>
    <row r="128" spans="33:43" x14ac:dyDescent="0.3">
      <c r="AG128" s="519">
        <v>2052</v>
      </c>
      <c r="AH128" s="531">
        <f t="shared" si="19"/>
        <v>0.1953</v>
      </c>
      <c r="AI128" s="519">
        <v>0.18296000000000001</v>
      </c>
      <c r="AJ128" s="519">
        <v>0.25650000000000001</v>
      </c>
      <c r="AK128" s="519">
        <v>0.26812999999999998</v>
      </c>
      <c r="AL128" s="519">
        <v>0.24676999999999999</v>
      </c>
      <c r="AM128" s="519">
        <v>0.34721000000000002</v>
      </c>
      <c r="AN128" s="519">
        <v>0.2145</v>
      </c>
      <c r="AO128" s="519">
        <f t="shared" si="20"/>
        <v>0</v>
      </c>
      <c r="AP128" s="519">
        <v>1.15E-2</v>
      </c>
      <c r="AQ128" s="519">
        <v>1.15E-2</v>
      </c>
    </row>
    <row r="129" spans="33:43" x14ac:dyDescent="0.3">
      <c r="AG129" s="519">
        <v>2053</v>
      </c>
      <c r="AH129" s="531">
        <f t="shared" si="19"/>
        <v>0.1953</v>
      </c>
      <c r="AI129" s="519">
        <v>0.18296000000000001</v>
      </c>
      <c r="AJ129" s="519">
        <v>0.25650000000000001</v>
      </c>
      <c r="AK129" s="519">
        <v>0.26812999999999998</v>
      </c>
      <c r="AL129" s="519">
        <v>0.24676999999999999</v>
      </c>
      <c r="AM129" s="519">
        <v>0.34721000000000002</v>
      </c>
      <c r="AN129" s="519">
        <v>0.2145</v>
      </c>
      <c r="AO129" s="519">
        <f t="shared" si="20"/>
        <v>0</v>
      </c>
      <c r="AP129" s="519">
        <v>1.15E-2</v>
      </c>
      <c r="AQ129" s="519">
        <v>1.15E-2</v>
      </c>
    </row>
    <row r="130" spans="33:43" x14ac:dyDescent="0.3">
      <c r="AG130" s="519">
        <v>2054</v>
      </c>
      <c r="AH130" s="531">
        <f t="shared" si="19"/>
        <v>0.1953</v>
      </c>
      <c r="AI130" s="519">
        <v>0.18296000000000001</v>
      </c>
      <c r="AJ130" s="519">
        <v>0.25650000000000001</v>
      </c>
      <c r="AK130" s="519">
        <v>0.26812999999999998</v>
      </c>
      <c r="AL130" s="519">
        <v>0.24676999999999999</v>
      </c>
      <c r="AM130" s="519">
        <v>0.34721000000000002</v>
      </c>
      <c r="AN130" s="519">
        <v>0.2145</v>
      </c>
      <c r="AO130" s="519">
        <f t="shared" si="20"/>
        <v>0</v>
      </c>
      <c r="AP130" s="519">
        <v>1.15E-2</v>
      </c>
      <c r="AQ130" s="519">
        <v>1.15E-2</v>
      </c>
    </row>
    <row r="131" spans="33:43" x14ac:dyDescent="0.3">
      <c r="AG131" s="519">
        <v>2055</v>
      </c>
      <c r="AH131" s="531">
        <f t="shared" si="19"/>
        <v>0.1953</v>
      </c>
      <c r="AI131" s="519">
        <v>0.18296000000000001</v>
      </c>
      <c r="AJ131" s="519">
        <v>0.25650000000000001</v>
      </c>
      <c r="AK131" s="519">
        <v>0.26812999999999998</v>
      </c>
      <c r="AL131" s="519">
        <v>0.24676999999999999</v>
      </c>
      <c r="AM131" s="519">
        <v>0.34721000000000002</v>
      </c>
      <c r="AN131" s="519">
        <v>0.2145</v>
      </c>
      <c r="AO131" s="519">
        <f t="shared" si="20"/>
        <v>0</v>
      </c>
      <c r="AP131" s="519">
        <v>1.15E-2</v>
      </c>
      <c r="AQ131" s="519">
        <v>1.15E-2</v>
      </c>
    </row>
    <row r="132" spans="33:43" x14ac:dyDescent="0.3">
      <c r="AG132" s="519">
        <v>2056</v>
      </c>
      <c r="AH132" s="531">
        <f t="shared" si="19"/>
        <v>0.1953</v>
      </c>
      <c r="AI132" s="519">
        <v>0.18296000000000001</v>
      </c>
      <c r="AJ132" s="519">
        <v>0.25650000000000001</v>
      </c>
      <c r="AK132" s="519">
        <v>0.26812999999999998</v>
      </c>
      <c r="AL132" s="519">
        <v>0.24676999999999999</v>
      </c>
      <c r="AM132" s="519">
        <v>0.34721000000000002</v>
      </c>
      <c r="AN132" s="519">
        <v>0.2145</v>
      </c>
      <c r="AO132" s="519">
        <f t="shared" si="20"/>
        <v>0</v>
      </c>
      <c r="AP132" s="519">
        <v>1.15E-2</v>
      </c>
      <c r="AQ132" s="519">
        <v>1.15E-2</v>
      </c>
    </row>
    <row r="133" spans="33:43" x14ac:dyDescent="0.3">
      <c r="AG133" s="519">
        <v>2057</v>
      </c>
      <c r="AH133" s="531">
        <f t="shared" si="19"/>
        <v>0.1953</v>
      </c>
      <c r="AI133" s="519">
        <v>0.18296000000000001</v>
      </c>
      <c r="AJ133" s="519">
        <v>0.25650000000000001</v>
      </c>
      <c r="AK133" s="519">
        <v>0.26812999999999998</v>
      </c>
      <c r="AL133" s="519">
        <v>0.24676999999999999</v>
      </c>
      <c r="AM133" s="519">
        <v>0.34721000000000002</v>
      </c>
      <c r="AN133" s="519">
        <v>0.2145</v>
      </c>
      <c r="AO133" s="519">
        <f t="shared" si="20"/>
        <v>0</v>
      </c>
      <c r="AP133" s="519">
        <v>1.15E-2</v>
      </c>
      <c r="AQ133" s="519">
        <v>1.15E-2</v>
      </c>
    </row>
    <row r="134" spans="33:43" x14ac:dyDescent="0.3">
      <c r="AG134" s="519">
        <v>2058</v>
      </c>
      <c r="AH134" s="531">
        <f t="shared" si="19"/>
        <v>0.1953</v>
      </c>
      <c r="AI134" s="519">
        <v>0.18296000000000001</v>
      </c>
      <c r="AJ134" s="519">
        <v>0.25650000000000001</v>
      </c>
      <c r="AK134" s="519">
        <v>0.26812999999999998</v>
      </c>
      <c r="AL134" s="519">
        <v>0.24676999999999999</v>
      </c>
      <c r="AM134" s="519">
        <v>0.34721000000000002</v>
      </c>
      <c r="AN134" s="519">
        <v>0.2145</v>
      </c>
      <c r="AO134" s="519">
        <f t="shared" si="20"/>
        <v>0</v>
      </c>
      <c r="AP134" s="519">
        <v>1.15E-2</v>
      </c>
      <c r="AQ134" s="519">
        <v>1.15E-2</v>
      </c>
    </row>
    <row r="135" spans="33:43" x14ac:dyDescent="0.3">
      <c r="AG135" s="519">
        <v>2059</v>
      </c>
      <c r="AH135" s="531">
        <f t="shared" si="19"/>
        <v>0.1953</v>
      </c>
      <c r="AI135" s="519">
        <v>0.18296000000000001</v>
      </c>
      <c r="AJ135" s="519">
        <v>0.25650000000000001</v>
      </c>
      <c r="AK135" s="519">
        <v>0.26812999999999998</v>
      </c>
      <c r="AL135" s="519">
        <v>0.24676999999999999</v>
      </c>
      <c r="AM135" s="519">
        <v>0.34721000000000002</v>
      </c>
      <c r="AN135" s="519">
        <v>0.2145</v>
      </c>
      <c r="AO135" s="519">
        <f t="shared" si="20"/>
        <v>0</v>
      </c>
      <c r="AP135" s="519">
        <v>1.15E-2</v>
      </c>
      <c r="AQ135" s="519">
        <v>1.15E-2</v>
      </c>
    </row>
    <row r="136" spans="33:43" x14ac:dyDescent="0.3">
      <c r="AG136" s="519">
        <v>2060</v>
      </c>
      <c r="AH136" s="531">
        <f t="shared" si="19"/>
        <v>0.1953</v>
      </c>
      <c r="AI136" s="519">
        <v>0.18296000000000001</v>
      </c>
      <c r="AJ136" s="519">
        <v>0.25650000000000001</v>
      </c>
      <c r="AK136" s="519">
        <v>0.26812999999999998</v>
      </c>
      <c r="AL136" s="519">
        <v>0.24676999999999999</v>
      </c>
      <c r="AM136" s="519">
        <v>0.34721000000000002</v>
      </c>
      <c r="AN136" s="519">
        <v>0.2145</v>
      </c>
      <c r="AO136" s="519">
        <f t="shared" si="20"/>
        <v>0</v>
      </c>
      <c r="AP136" s="519">
        <v>1.15E-2</v>
      </c>
      <c r="AQ136" s="519">
        <v>1.15E-2</v>
      </c>
    </row>
    <row r="137" spans="33:43" x14ac:dyDescent="0.3">
      <c r="AG137" s="519">
        <v>2061</v>
      </c>
      <c r="AH137" s="531">
        <f t="shared" si="19"/>
        <v>0.1953</v>
      </c>
      <c r="AI137" s="519">
        <v>0.18296000000000001</v>
      </c>
      <c r="AJ137" s="519">
        <v>0.25650000000000001</v>
      </c>
      <c r="AK137" s="519">
        <v>0.26812999999999998</v>
      </c>
      <c r="AL137" s="519">
        <v>0.24676999999999999</v>
      </c>
      <c r="AM137" s="519">
        <v>0.34721000000000002</v>
      </c>
      <c r="AN137" s="519">
        <v>0.2145</v>
      </c>
      <c r="AO137" s="519">
        <f t="shared" si="20"/>
        <v>0</v>
      </c>
      <c r="AP137" s="519">
        <v>1.15E-2</v>
      </c>
      <c r="AQ137" s="519">
        <v>1.15E-2</v>
      </c>
    </row>
    <row r="138" spans="33:43" x14ac:dyDescent="0.3">
      <c r="AG138" s="519">
        <v>2062</v>
      </c>
      <c r="AH138" s="531">
        <f t="shared" si="19"/>
        <v>0.1953</v>
      </c>
      <c r="AI138" s="519">
        <v>0.18296000000000001</v>
      </c>
      <c r="AJ138" s="519">
        <v>0.25650000000000001</v>
      </c>
      <c r="AK138" s="519">
        <v>0.26812999999999998</v>
      </c>
      <c r="AL138" s="519">
        <v>0.24676999999999999</v>
      </c>
      <c r="AM138" s="519">
        <v>0.34721000000000002</v>
      </c>
      <c r="AN138" s="519">
        <v>0.2145</v>
      </c>
      <c r="AO138" s="519">
        <f t="shared" si="20"/>
        <v>0</v>
      </c>
      <c r="AP138" s="519">
        <v>1.15E-2</v>
      </c>
      <c r="AQ138" s="519">
        <v>1.15E-2</v>
      </c>
    </row>
  </sheetData>
  <sheetProtection algorithmName="SHA-512" hashValue="8J+9U3whDMs9/ve+GdR4cZ/Ankr3ctm1ufogGsu5pSZ7EVm3Mq/5akrQsiV8ntC5ilvvaKvx4S6pM9ELF06nPg==" saltValue="rQJADgn/uNAkaMUlK+xjcA==" spinCount="100000" sheet="1" formatRows="0"/>
  <dataConsolidate link="1"/>
  <mergeCells count="67">
    <mergeCell ref="I53:J53"/>
    <mergeCell ref="I54:J54"/>
    <mergeCell ref="I60:J60"/>
    <mergeCell ref="I55:J55"/>
    <mergeCell ref="I56:J56"/>
    <mergeCell ref="I57:J57"/>
    <mergeCell ref="I58:J58"/>
    <mergeCell ref="I59:J59"/>
    <mergeCell ref="I48:J48"/>
    <mergeCell ref="I49:J49"/>
    <mergeCell ref="I50:J50"/>
    <mergeCell ref="I51:J51"/>
    <mergeCell ref="I52:J52"/>
    <mergeCell ref="I43:J43"/>
    <mergeCell ref="I44:J44"/>
    <mergeCell ref="I45:J45"/>
    <mergeCell ref="I46:J46"/>
    <mergeCell ref="I47:J47"/>
    <mergeCell ref="I38:J38"/>
    <mergeCell ref="I39:J39"/>
    <mergeCell ref="I40:J40"/>
    <mergeCell ref="I41:J41"/>
    <mergeCell ref="I42:J42"/>
    <mergeCell ref="B4:C4"/>
    <mergeCell ref="I11:J11"/>
    <mergeCell ref="I35:J35"/>
    <mergeCell ref="I36:J36"/>
    <mergeCell ref="I37:J37"/>
    <mergeCell ref="N6:O7"/>
    <mergeCell ref="D4:G4"/>
    <mergeCell ref="H6:I6"/>
    <mergeCell ref="I21:J21"/>
    <mergeCell ref="I22:J22"/>
    <mergeCell ref="I14:J14"/>
    <mergeCell ref="G9:K9"/>
    <mergeCell ref="B69:V69"/>
    <mergeCell ref="I12:J12"/>
    <mergeCell ref="I18:J18"/>
    <mergeCell ref="I16:J16"/>
    <mergeCell ref="I25:J25"/>
    <mergeCell ref="I26:J26"/>
    <mergeCell ref="I27:J27"/>
    <mergeCell ref="I28:J28"/>
    <mergeCell ref="I29:J29"/>
    <mergeCell ref="I30:J30"/>
    <mergeCell ref="I31:J31"/>
    <mergeCell ref="I32:J32"/>
    <mergeCell ref="I33:J33"/>
    <mergeCell ref="I34:J34"/>
    <mergeCell ref="I23:J23"/>
    <mergeCell ref="I24:J24"/>
    <mergeCell ref="A71:V71"/>
    <mergeCell ref="B68:V68"/>
    <mergeCell ref="G8:K8"/>
    <mergeCell ref="D3:G3"/>
    <mergeCell ref="I13:J13"/>
    <mergeCell ref="B3:C3"/>
    <mergeCell ref="B10:V10"/>
    <mergeCell ref="U3:V7"/>
    <mergeCell ref="L9:M9"/>
    <mergeCell ref="L8:M8"/>
    <mergeCell ref="I61:J61"/>
    <mergeCell ref="I19:J19"/>
    <mergeCell ref="I20:J20"/>
    <mergeCell ref="I17:J17"/>
    <mergeCell ref="I15:J15"/>
    <mergeCell ref="B67:V67"/>
  </mergeCells>
  <conditionalFormatting sqref="I12:I61">
    <cfRule type="expression" dxfId="68" priority="2" stopIfTrue="1">
      <formula>$V12="Check Work Type"</formula>
    </cfRule>
  </conditionalFormatting>
  <conditionalFormatting sqref="K12:L61">
    <cfRule type="expression" dxfId="67" priority="90" stopIfTrue="1">
      <formula>$V12="Check Work Type"</formula>
    </cfRule>
  </conditionalFormatting>
  <conditionalFormatting sqref="L9">
    <cfRule type="containsText" dxfId="66" priority="38" operator="containsText" text="Complete Salix Funding Requested">
      <formula>NOT(ISERROR(SEARCH("Complete Salix Funding Requested",L9)))</formula>
    </cfRule>
    <cfRule type="cellIs" dxfId="65" priority="39" operator="equal">
      <formula>"Enter site life"</formula>
    </cfRule>
    <cfRule type="cellIs" dxfId="64" priority="40" operator="equal">
      <formula>"Enter Total Project Cost"</formula>
    </cfRule>
    <cfRule type="cellIs" dxfId="63" priority="41" operator="equal">
      <formula>"Enter % of cost"</formula>
    </cfRule>
  </conditionalFormatting>
  <conditionalFormatting sqref="L9:M9">
    <cfRule type="containsText" dxfId="62" priority="36" operator="containsText" text="Funding Exceeds Total Value">
      <formula>NOT(ISERROR(SEARCH("Funding Exceeds Total Value",L9)))</formula>
    </cfRule>
    <cfRule type="containsText" dxfId="61" priority="37" operator="containsText" text="Complete Total Value of Projects">
      <formula>NOT(ISERROR(SEARCH("Complete Total Value of Projects",L9)))</formula>
    </cfRule>
  </conditionalFormatting>
  <conditionalFormatting sqref="M11 P11">
    <cfRule type="expression" dxfId="60" priority="374" stopIfTrue="1">
      <formula>#REF!="M"</formula>
    </cfRule>
  </conditionalFormatting>
  <conditionalFormatting sqref="Q3">
    <cfRule type="expression" dxfId="59" priority="52">
      <formula>$D$4="Recycling Fund"</formula>
    </cfRule>
  </conditionalFormatting>
  <conditionalFormatting sqref="V12:V61">
    <cfRule type="beginsWith" dxfId="56" priority="120" operator="beginsWith" text="Check">
      <formula>LEFT(V12,LEN("Check"))="Check"</formula>
    </cfRule>
    <cfRule type="beginsWith" dxfId="55" priority="305" operator="beginsWith" text="Enter">
      <formula>LEFT(V12,LEN("Enter"))="Enter"</formula>
    </cfRule>
  </conditionalFormatting>
  <conditionalFormatting sqref="V65">
    <cfRule type="expression" dxfId="54" priority="1">
      <formula>N65&gt;O65</formula>
    </cfRule>
    <cfRule type="beginsWith" dxfId="53" priority="109" operator="beginsWith" text="Complete">
      <formula>LEFT(V65,LEN("Complete"))="Complete"</formula>
    </cfRule>
    <cfRule type="beginsWith" dxfId="52" priority="110" operator="beginsWith" text="Check">
      <formula>LEFT(V65,LEN("Check"))="Check"</formula>
    </cfRule>
    <cfRule type="containsText" dxfId="51" priority="121" operator="containsText" text="Client additional only">
      <formula>NOT(ISERROR(SEARCH("Client additional only",V65)))</formula>
    </cfRule>
    <cfRule type="containsText" dxfId="50" priority="122" operator="containsText" text="Non-Compliant">
      <formula>NOT(ISERROR(SEARCH("Non-Compliant",V65)))</formula>
    </cfRule>
    <cfRule type="containsText" dxfId="49" priority="123" operator="containsText" text="Compliant with client additional">
      <formula>NOT(ISERROR(SEARCH("Compliant with client additional",V65)))</formula>
    </cfRule>
  </conditionalFormatting>
  <dataValidations xWindow="453" yWindow="461" count="15">
    <dataValidation type="list" allowBlank="1" showInputMessage="1" showErrorMessage="1" sqref="B66 D12:D61" xr:uid="{A445855C-A293-4AA5-89E3-C0EF8FA8C203}">
      <formula1>Energy_Types</formula1>
    </dataValidation>
    <dataValidation type="date" allowBlank="1" showInputMessage="1" showErrorMessage="1" sqref="C9" xr:uid="{5B9DBFE7-8CAC-4DBF-A421-78CD883E7BAF}">
      <formula1>45292</formula1>
      <formula2>46752</formula2>
    </dataValidation>
    <dataValidation type="decimal" allowBlank="1" showInputMessage="1" showErrorMessage="1" errorTitle="Please review" error="Please enter site life as a number only" sqref="F9" xr:uid="{FA5D2FAB-A92E-469D-BA24-6B37B9FA97CE}">
      <formula1>0.1</formula1>
      <formula2>100000</formula2>
    </dataValidation>
    <dataValidation type="decimal" allowBlank="1" showInputMessage="1" showErrorMessage="1" errorTitle="Invalid Value" error="Please enter a value between 1% and 100%" sqref="N9" xr:uid="{C89300F3-28E8-4D6B-9416-EDF58E59FBD9}">
      <formula1>0</formula1>
      <formula2>1</formula2>
    </dataValidation>
    <dataValidation type="date" allowBlank="1" showInputMessage="1" showErrorMessage="1" promptTitle="GUIDANCE NOTE" prompt="Please enter a realistic date for project completion. Projects must be completed within 9 months of the commitment date." sqref="D9" xr:uid="{E0577A49-2BC8-41E5-9F0C-C098F35B8E7F}">
      <formula1>45292</formula1>
      <formula2>46752</formula2>
    </dataValidation>
    <dataValidation allowBlank="1" showInputMessage="1" showErrorMessage="1" errorTitle="Please review" error="Please enter site life as a number only" sqref="G9:K9" xr:uid="{F3416746-9C76-4B7D-8518-44025D645667}"/>
    <dataValidation type="list" allowBlank="1" showInputMessage="1" showErrorMessage="1" sqref="H12:H61" xr:uid="{E3D42309-2BB1-42F4-9E33-DE0DAC4DE315}">
      <formula1>Project_type</formula1>
    </dataValidation>
    <dataValidation type="decimal" operator="lessThan" allowBlank="1" showInputMessage="1" showErrorMessage="1" errorTitle="Invalid Entry" error="Please enter your energy price in the box." sqref="E12:E61" xr:uid="{54DF54DD-1546-4CB0-8392-5D1EAB8B4C60}">
      <formula1>999</formula1>
    </dataValidation>
    <dataValidation type="decimal" operator="greaterThanOrEqual" allowBlank="1" showInputMessage="1" showErrorMessage="1" error="Please enter a numerical value in kWh." promptTitle="GUIDANCE NOTE" prompt="Enter energy currently consumed by the existing plant/equipment concerned." sqref="K12:K61" xr:uid="{91BF7573-4FF7-4923-A310-1705F23D77C6}">
      <formula1>0</formula1>
    </dataValidation>
    <dataValidation type="decimal" operator="greaterThanOrEqual" allowBlank="1" showInputMessage="1" showErrorMessage="1" error="Please enter a numerical value in kWh." promptTitle="GUIDANCE NOTE" prompt="Enter estimated post-project energy consumption for the plant/equipment concerned." sqref="L12:L61" xr:uid="{1D4CCDC2-9966-4D7B-9969-E9B2CBBAE35F}">
      <formula1>0</formula1>
    </dataValidation>
    <dataValidation type="decimal" operator="lessThan" allowBlank="1" showInputMessage="1" showErrorMessage="1" errorTitle="Invalid Entry" error="Please enter your energy price in the box." promptTitle="GUIDANCE NOTE:" prompt="To calculate forecast energy cost see 'Guidance Notes' tab" sqref="F12:F61" xr:uid="{B8F7C740-9D81-4928-9AC7-38F3B108A6A4}">
      <formula1>999</formula1>
    </dataValidation>
    <dataValidation type="decimal" allowBlank="1" showInputMessage="1" showErrorMessage="1" errorTitle="Invalid Entry" error="Please enter value as a number" promptTitle="GUIDANCE NOTE" prompt="Please enter the total cost of this measure." sqref="O12:O61" xr:uid="{A340F93B-3F03-4DCE-B733-8953B3E6813B}">
      <formula1>0</formula1>
      <formula2>9999999999999990000</formula2>
    </dataValidation>
    <dataValidation type="decimal" operator="lessThan" allowBlank="1" showInputMessage="1" errorTitle="Invalid Entry" error="Please enter your energy price in the box." sqref="G12:G61" xr:uid="{B6989F90-F684-4C22-AE14-50B816DFF9C3}">
      <formula1>999</formula1>
    </dataValidation>
    <dataValidation type="list" allowBlank="1" showInputMessage="1" showErrorMessage="1" sqref="I12:I61" xr:uid="{3B5BEB2D-0C00-421C-9BFB-C326C3D234CE}">
      <formula1>INDIRECT($Z12)</formula1>
    </dataValidation>
    <dataValidation allowBlank="1" showInputMessage="1" showErrorMessage="1" promptTitle="RF Applicants" prompt="RF applications should enter the current p/kWh in this section." sqref="F11" xr:uid="{D385C64C-4155-4249-AFC5-C1B8839BED80}"/>
  </dataValidations>
  <pageMargins left="0.23622047244094491" right="0.23622047244094491" top="0.35433070866141736" bottom="0.35433070866141736" header="0.31496062992125984" footer="0.31496062992125984"/>
  <pageSetup paperSize="9" scale="40" fitToHeight="0" orientation="landscape" horizontalDpi="525" verticalDpi="525" r:id="rId1"/>
  <drawing r:id="rId2"/>
  <extLst>
    <ext xmlns:x14="http://schemas.microsoft.com/office/spreadsheetml/2009/9/main" uri="{78C0D931-6437-407d-A8EE-F0AAD7539E65}">
      <x14:conditionalFormattings>
        <x14:conditionalFormatting xmlns:xm="http://schemas.microsoft.com/office/excel/2006/main">
          <x14:cfRule type="cellIs" priority="380" stopIfTrue="1" operator="greaterThan" id="{367CE04A-04FE-4261-B258-F8C50D58E349}">
            <xm:f>'Extra look-up'!$F$80</xm:f>
            <x14:dxf>
              <font>
                <color rgb="FFFF0000"/>
              </font>
              <fill>
                <patternFill>
                  <bgColor theme="5" tint="0.79998168889431442"/>
                </patternFill>
              </fill>
            </x14:dxf>
          </x14:cfRule>
          <xm:sqref>Q65</xm:sqref>
        </x14:conditionalFormatting>
        <x14:conditionalFormatting xmlns:xm="http://schemas.microsoft.com/office/excel/2006/main">
          <x14:cfRule type="cellIs" priority="385" stopIfTrue="1" operator="greaterThan" id="{AEB13788-B7CD-44E4-8F7A-C9D6A802DD28}">
            <xm:f>'Extra look-up'!$G$80</xm:f>
            <x14:dxf>
              <font>
                <color rgb="FFFF0000"/>
              </font>
              <fill>
                <patternFill>
                  <fgColor theme="0"/>
                  <bgColor theme="5" tint="0.79998168889431442"/>
                </patternFill>
              </fill>
            </x14:dxf>
          </x14:cfRule>
          <xm:sqref>U65</xm:sqref>
        </x14:conditionalFormatting>
      </x14:conditionalFormattings>
    </ext>
    <ext xmlns:x14="http://schemas.microsoft.com/office/spreadsheetml/2009/9/main" uri="{CCE6A557-97BC-4b89-ADB6-D9C93CAAB3DF}">
      <x14:dataValidations xmlns:xm="http://schemas.microsoft.com/office/excel/2006/main" xWindow="453" yWindow="461" count="1">
        <x14:dataValidation type="list" allowBlank="1" showInputMessage="1" showErrorMessage="1" xr:uid="{ADEA02F4-F232-40EA-BBA9-0D6C26D2B81E}">
          <x14:formula1>
            <xm:f>'Extra look-up'!$D$89:$D$94</xm:f>
          </x14:formula1>
          <xm:sqref>D4:G4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562C7-FD81-4BAE-B22B-AC27136CFB35}">
  <sheetPr codeName="Sheet11">
    <tabColor rgb="FF382573"/>
    <pageSetUpPr fitToPage="1"/>
  </sheetPr>
  <dimension ref="B1:R102"/>
  <sheetViews>
    <sheetView showGridLines="0" zoomScale="80" zoomScaleNormal="80" workbookViewId="0">
      <selection activeCell="B28" sqref="B28:H28"/>
    </sheetView>
  </sheetViews>
  <sheetFormatPr defaultColWidth="9.1796875" defaultRowHeight="15.5" x14ac:dyDescent="0.25"/>
  <cols>
    <col min="1" max="1" width="3.54296875" style="36" customWidth="1"/>
    <col min="2" max="2" width="41" style="37" customWidth="1"/>
    <col min="3" max="3" width="34.453125" style="36" bestFit="1" customWidth="1"/>
    <col min="4" max="8" width="20.54296875" style="36" customWidth="1"/>
    <col min="9" max="17" width="9.1796875" style="36" hidden="1" customWidth="1"/>
    <col min="18" max="28" width="9.1796875" style="36" customWidth="1"/>
    <col min="29" max="16384" width="9.1796875" style="36"/>
  </cols>
  <sheetData>
    <row r="1" spans="2:18" ht="16" thickBot="1" x14ac:dyDescent="0.3"/>
    <row r="2" spans="2:18" x14ac:dyDescent="0.3">
      <c r="B2" s="196"/>
      <c r="C2" s="197"/>
      <c r="D2" s="197"/>
      <c r="E2" s="197"/>
      <c r="F2" s="197"/>
      <c r="G2" s="197"/>
      <c r="H2" s="198"/>
    </row>
    <row r="3" spans="2:18" ht="19.5" x14ac:dyDescent="0.35">
      <c r="B3" s="199" t="s">
        <v>259</v>
      </c>
      <c r="C3" s="176"/>
      <c r="D3" s="176"/>
      <c r="E3" s="176"/>
      <c r="F3" s="176"/>
      <c r="G3" s="176"/>
      <c r="H3" s="200"/>
    </row>
    <row r="4" spans="2:18" ht="19.5" x14ac:dyDescent="0.35">
      <c r="B4" s="199"/>
      <c r="C4" s="176"/>
      <c r="D4" s="176"/>
      <c r="E4" s="176"/>
      <c r="F4" s="176"/>
      <c r="G4" s="176"/>
      <c r="H4" s="200"/>
    </row>
    <row r="5" spans="2:18" x14ac:dyDescent="0.25">
      <c r="B5" s="201" t="s">
        <v>260</v>
      </c>
      <c r="C5" s="191"/>
      <c r="D5" s="191"/>
      <c r="E5" s="191"/>
      <c r="F5" s="191"/>
      <c r="G5" s="191"/>
      <c r="H5" s="202"/>
    </row>
    <row r="6" spans="2:18" ht="16" customHeight="1" x14ac:dyDescent="0.25">
      <c r="B6" s="676"/>
      <c r="C6" s="677"/>
      <c r="D6" s="677"/>
      <c r="E6" s="677"/>
      <c r="F6" s="677"/>
      <c r="G6" s="677"/>
      <c r="H6" s="678"/>
    </row>
    <row r="7" spans="2:18" ht="23" x14ac:dyDescent="0.25">
      <c r="B7" s="203" t="s">
        <v>261</v>
      </c>
      <c r="C7" s="204"/>
      <c r="D7" s="204"/>
      <c r="E7" s="204"/>
      <c r="F7" s="204"/>
      <c r="G7" s="204"/>
      <c r="H7" s="205"/>
    </row>
    <row r="8" spans="2:18" x14ac:dyDescent="0.25">
      <c r="B8" s="206"/>
      <c r="C8" s="191"/>
      <c r="D8" s="191"/>
      <c r="E8" s="191"/>
      <c r="F8" s="191"/>
      <c r="G8" s="191"/>
      <c r="H8" s="202"/>
    </row>
    <row r="9" spans="2:18" ht="19.5" x14ac:dyDescent="0.25">
      <c r="B9" s="295" t="s">
        <v>262</v>
      </c>
      <c r="C9" s="679"/>
      <c r="D9" s="680"/>
      <c r="E9" s="680"/>
      <c r="F9" s="680"/>
      <c r="G9" s="680"/>
      <c r="H9" s="681"/>
    </row>
    <row r="10" spans="2:18" x14ac:dyDescent="0.25">
      <c r="B10" s="203"/>
      <c r="C10" s="191"/>
      <c r="D10" s="191"/>
      <c r="E10" s="191"/>
      <c r="F10" s="191"/>
      <c r="G10" s="191"/>
      <c r="H10" s="202"/>
      <c r="J10" s="37"/>
      <c r="K10" s="37"/>
      <c r="L10" s="37"/>
      <c r="M10" s="37"/>
      <c r="N10" s="37"/>
      <c r="O10" s="37"/>
      <c r="P10" s="37"/>
      <c r="Q10" s="37"/>
      <c r="R10" s="37"/>
    </row>
    <row r="11" spans="2:18" ht="19.5" x14ac:dyDescent="0.25">
      <c r="B11" s="295" t="s">
        <v>263</v>
      </c>
      <c r="C11" s="682" t="str">
        <f>IF('Project Compliance Tool'!D3="","",'Project Compliance Tool'!D3)</f>
        <v/>
      </c>
      <c r="D11" s="683"/>
      <c r="E11" s="683"/>
      <c r="F11" s="683"/>
      <c r="G11" s="683"/>
      <c r="H11" s="684"/>
    </row>
    <row r="12" spans="2:18" x14ac:dyDescent="0.25">
      <c r="B12" s="203"/>
      <c r="C12" s="191"/>
      <c r="D12" s="191"/>
      <c r="E12" s="191"/>
      <c r="F12" s="191"/>
      <c r="G12" s="191"/>
      <c r="H12" s="202"/>
    </row>
    <row r="13" spans="2:18" ht="19.5" x14ac:dyDescent="0.35">
      <c r="B13" s="295" t="s">
        <v>264</v>
      </c>
      <c r="C13" s="171"/>
      <c r="D13" s="191"/>
      <c r="E13" s="208"/>
      <c r="F13" s="191"/>
      <c r="G13" s="191"/>
      <c r="H13" s="202"/>
    </row>
    <row r="14" spans="2:18" x14ac:dyDescent="0.25">
      <c r="B14" s="203"/>
      <c r="C14" s="191"/>
      <c r="D14" s="191"/>
      <c r="E14" s="191"/>
      <c r="F14" s="688"/>
      <c r="G14" s="688"/>
      <c r="H14" s="202"/>
    </row>
    <row r="15" spans="2:18" x14ac:dyDescent="0.25">
      <c r="B15" s="203" t="s">
        <v>265</v>
      </c>
      <c r="C15" s="191"/>
      <c r="D15" s="191"/>
      <c r="E15" s="177"/>
      <c r="F15" s="689" t="s">
        <v>266</v>
      </c>
      <c r="G15" s="689"/>
      <c r="H15" s="202"/>
    </row>
    <row r="16" spans="2:18" ht="15.75" customHeight="1" x14ac:dyDescent="0.25">
      <c r="B16" s="207" t="s">
        <v>267</v>
      </c>
      <c r="C16" s="685"/>
      <c r="D16" s="685"/>
      <c r="E16" s="178"/>
      <c r="F16" s="674" t="s">
        <v>268</v>
      </c>
      <c r="G16" s="675"/>
      <c r="H16" s="209"/>
    </row>
    <row r="17" spans="2:18" x14ac:dyDescent="0.25">
      <c r="B17" s="207" t="s">
        <v>269</v>
      </c>
      <c r="C17" s="685"/>
      <c r="D17" s="685"/>
      <c r="E17" s="191"/>
      <c r="F17" s="333"/>
      <c r="G17" s="180"/>
      <c r="H17" s="210"/>
    </row>
    <row r="18" spans="2:18" ht="15.75" customHeight="1" x14ac:dyDescent="0.25">
      <c r="B18" s="207" t="s">
        <v>270</v>
      </c>
      <c r="C18" s="696"/>
      <c r="D18" s="696"/>
      <c r="E18" s="191"/>
      <c r="F18" s="674" t="s">
        <v>271</v>
      </c>
      <c r="G18" s="675"/>
      <c r="H18" s="209"/>
    </row>
    <row r="19" spans="2:18" x14ac:dyDescent="0.25">
      <c r="B19" s="207" t="s">
        <v>272</v>
      </c>
      <c r="C19" s="685"/>
      <c r="D19" s="685"/>
      <c r="E19" s="191"/>
      <c r="F19" s="333"/>
      <c r="G19" s="181"/>
      <c r="H19" s="211"/>
    </row>
    <row r="20" spans="2:18" ht="15.75" customHeight="1" x14ac:dyDescent="0.25">
      <c r="B20" s="207" t="s">
        <v>273</v>
      </c>
      <c r="C20" s="673"/>
      <c r="D20" s="673"/>
      <c r="E20" s="178"/>
      <c r="F20" s="674" t="s">
        <v>274</v>
      </c>
      <c r="G20" s="675"/>
      <c r="H20" s="209"/>
    </row>
    <row r="21" spans="2:18" x14ac:dyDescent="0.25">
      <c r="B21" s="207" t="s">
        <v>275</v>
      </c>
      <c r="C21" s="685"/>
      <c r="D21" s="685"/>
      <c r="E21" s="191"/>
      <c r="F21" s="332"/>
      <c r="G21" s="181"/>
      <c r="H21" s="211"/>
      <c r="I21" s="38"/>
      <c r="J21" s="38"/>
    </row>
    <row r="22" spans="2:18" ht="15.75" customHeight="1" x14ac:dyDescent="0.25">
      <c r="B22" s="207" t="s">
        <v>276</v>
      </c>
      <c r="C22" s="673"/>
      <c r="D22" s="673"/>
      <c r="E22" s="178"/>
      <c r="F22" s="674" t="s">
        <v>277</v>
      </c>
      <c r="G22" s="675"/>
      <c r="H22" s="209"/>
    </row>
    <row r="23" spans="2:18" x14ac:dyDescent="0.25">
      <c r="B23" s="207" t="s">
        <v>278</v>
      </c>
      <c r="C23" s="732"/>
      <c r="D23" s="733"/>
      <c r="E23" s="212"/>
      <c r="F23" s="332"/>
      <c r="G23" s="335"/>
      <c r="H23" s="341"/>
    </row>
    <row r="24" spans="2:18" ht="15.75" customHeight="1" x14ac:dyDescent="0.25">
      <c r="B24" s="207"/>
      <c r="C24" s="213"/>
      <c r="D24" s="213"/>
      <c r="E24" s="179"/>
      <c r="F24" s="674" t="s">
        <v>279</v>
      </c>
      <c r="G24" s="675"/>
      <c r="H24" s="209"/>
    </row>
    <row r="25" spans="2:18" ht="15.75" customHeight="1" x14ac:dyDescent="0.25">
      <c r="B25" s="203"/>
      <c r="C25" s="213"/>
      <c r="D25" s="213"/>
      <c r="E25" s="179"/>
      <c r="F25" s="333"/>
      <c r="G25" s="333"/>
      <c r="H25" s="342"/>
    </row>
    <row r="26" spans="2:18" ht="15.75" customHeight="1" x14ac:dyDescent="0.25">
      <c r="B26" s="203"/>
      <c r="C26" s="213"/>
      <c r="D26" s="213"/>
      <c r="E26" s="179"/>
      <c r="F26" s="674" t="s">
        <v>280</v>
      </c>
      <c r="G26" s="675"/>
      <c r="H26" s="214">
        <f>H16+H18+H20+H22+H24</f>
        <v>0</v>
      </c>
    </row>
    <row r="27" spans="2:18" ht="15.75" customHeight="1" x14ac:dyDescent="0.25">
      <c r="B27" s="203" t="s">
        <v>281</v>
      </c>
      <c r="C27" s="213"/>
      <c r="D27" s="213"/>
      <c r="E27" s="179"/>
      <c r="F27" s="333"/>
      <c r="G27" s="333"/>
      <c r="H27" s="330"/>
    </row>
    <row r="28" spans="2:18" ht="15.75" customHeight="1" x14ac:dyDescent="0.25">
      <c r="B28" s="691" t="s">
        <v>282</v>
      </c>
      <c r="C28" s="692"/>
      <c r="D28" s="692"/>
      <c r="E28" s="692"/>
      <c r="F28" s="692"/>
      <c r="G28" s="692"/>
      <c r="H28" s="719"/>
      <c r="I28" s="329"/>
    </row>
    <row r="29" spans="2:18" ht="15.75" customHeight="1" x14ac:dyDescent="0.25">
      <c r="B29" s="693" t="s">
        <v>283</v>
      </c>
      <c r="C29" s="694"/>
      <c r="D29" s="694"/>
      <c r="E29" s="694"/>
      <c r="F29" s="694"/>
      <c r="G29" s="694"/>
      <c r="H29" s="695"/>
    </row>
    <row r="30" spans="2:18" ht="14.25" customHeight="1" x14ac:dyDescent="0.25">
      <c r="B30" s="693"/>
      <c r="C30" s="694"/>
      <c r="D30" s="694"/>
      <c r="E30" s="694"/>
      <c r="F30" s="694"/>
      <c r="G30" s="694"/>
      <c r="H30" s="695"/>
    </row>
    <row r="31" spans="2:18" ht="115.5" customHeight="1" x14ac:dyDescent="0.25">
      <c r="B31" s="716"/>
      <c r="C31" s="717"/>
      <c r="D31" s="717"/>
      <c r="E31" s="717"/>
      <c r="F31" s="717"/>
      <c r="G31" s="717"/>
      <c r="H31" s="718"/>
    </row>
    <row r="32" spans="2:18" ht="7.5" customHeight="1" x14ac:dyDescent="0.25">
      <c r="B32" s="203"/>
      <c r="C32" s="213"/>
      <c r="D32" s="213"/>
      <c r="E32" s="179"/>
      <c r="F32" s="333"/>
      <c r="G32" s="333"/>
      <c r="H32" s="336"/>
      <c r="R32" s="329"/>
    </row>
    <row r="33" spans="2:18" x14ac:dyDescent="0.25">
      <c r="B33" s="203" t="s">
        <v>284</v>
      </c>
      <c r="C33" s="213"/>
      <c r="D33" s="213"/>
      <c r="E33" s="212"/>
      <c r="F33" s="674"/>
      <c r="G33" s="674"/>
      <c r="H33" s="336"/>
      <c r="R33" s="329"/>
    </row>
    <row r="34" spans="2:18" x14ac:dyDescent="0.25">
      <c r="B34" s="691" t="s">
        <v>285</v>
      </c>
      <c r="C34" s="692"/>
      <c r="D34" s="692"/>
      <c r="E34" s="215"/>
      <c r="F34" s="690"/>
      <c r="G34" s="690"/>
      <c r="H34" s="218"/>
      <c r="R34" s="329"/>
    </row>
    <row r="35" spans="2:18" ht="15.75" customHeight="1" x14ac:dyDescent="0.25">
      <c r="B35" s="693" t="s">
        <v>286</v>
      </c>
      <c r="C35" s="694"/>
      <c r="D35" s="694"/>
      <c r="E35" s="694"/>
      <c r="F35" s="694"/>
      <c r="G35" s="694"/>
      <c r="H35" s="695"/>
    </row>
    <row r="36" spans="2:18" ht="15.75" customHeight="1" x14ac:dyDescent="0.25">
      <c r="B36" s="693"/>
      <c r="C36" s="694"/>
      <c r="D36" s="694"/>
      <c r="E36" s="694"/>
      <c r="F36" s="694"/>
      <c r="G36" s="694"/>
      <c r="H36" s="695"/>
    </row>
    <row r="37" spans="2:18" ht="15.75" customHeight="1" x14ac:dyDescent="0.25">
      <c r="B37" s="693"/>
      <c r="C37" s="694"/>
      <c r="D37" s="694"/>
      <c r="E37" s="694"/>
      <c r="F37" s="694"/>
      <c r="G37" s="694"/>
      <c r="H37" s="695"/>
    </row>
    <row r="38" spans="2:18" ht="10" customHeight="1" x14ac:dyDescent="0.25">
      <c r="B38" s="666"/>
      <c r="C38" s="667"/>
      <c r="D38" s="667"/>
      <c r="E38" s="667"/>
      <c r="F38" s="667"/>
      <c r="G38" s="667"/>
      <c r="H38" s="668"/>
    </row>
    <row r="39" spans="2:18" ht="115.5" customHeight="1" x14ac:dyDescent="0.25">
      <c r="B39" s="663"/>
      <c r="C39" s="664"/>
      <c r="D39" s="664"/>
      <c r="E39" s="664"/>
      <c r="F39" s="664"/>
      <c r="G39" s="664"/>
      <c r="H39" s="665"/>
    </row>
    <row r="40" spans="2:18" ht="23.5" customHeight="1" x14ac:dyDescent="0.3">
      <c r="B40" s="548" t="s">
        <v>287</v>
      </c>
      <c r="C40" s="337"/>
      <c r="D40" s="337"/>
      <c r="E40" s="337"/>
      <c r="F40" s="337"/>
      <c r="G40" s="337"/>
      <c r="H40" s="338"/>
    </row>
    <row r="41" spans="2:18" ht="24.65" customHeight="1" x14ac:dyDescent="0.25">
      <c r="B41" s="669" t="s">
        <v>288</v>
      </c>
      <c r="C41" s="670"/>
      <c r="D41" s="670"/>
      <c r="E41" s="670"/>
      <c r="F41" s="670"/>
      <c r="G41" s="670"/>
      <c r="H41" s="338"/>
    </row>
    <row r="42" spans="2:18" ht="21.65" customHeight="1" x14ac:dyDescent="0.25">
      <c r="B42" s="671"/>
      <c r="C42" s="672"/>
      <c r="D42" s="672"/>
      <c r="E42" s="672"/>
      <c r="F42" s="672"/>
      <c r="G42" s="672"/>
      <c r="H42" s="338"/>
    </row>
    <row r="43" spans="2:18" ht="115.5" customHeight="1" x14ac:dyDescent="0.25">
      <c r="B43" s="663"/>
      <c r="C43" s="664"/>
      <c r="D43" s="664"/>
      <c r="E43" s="664"/>
      <c r="F43" s="664"/>
      <c r="G43" s="664"/>
      <c r="H43" s="665"/>
    </row>
    <row r="44" spans="2:18" ht="26.5" customHeight="1" x14ac:dyDescent="0.3">
      <c r="B44" s="548" t="s">
        <v>289</v>
      </c>
      <c r="C44" s="337"/>
      <c r="D44" s="337"/>
      <c r="E44" s="337"/>
      <c r="F44" s="337"/>
      <c r="G44" s="337"/>
      <c r="H44" s="338"/>
    </row>
    <row r="45" spans="2:18" ht="51.65" customHeight="1" x14ac:dyDescent="0.25">
      <c r="B45" s="671" t="s">
        <v>290</v>
      </c>
      <c r="C45" s="672"/>
      <c r="D45" s="672"/>
      <c r="E45" s="672"/>
      <c r="F45" s="672"/>
      <c r="G45" s="672"/>
      <c r="H45" s="338"/>
    </row>
    <row r="46" spans="2:18" ht="93" customHeight="1" x14ac:dyDescent="0.25">
      <c r="B46" s="663"/>
      <c r="C46" s="664"/>
      <c r="D46" s="664"/>
      <c r="E46" s="664"/>
      <c r="F46" s="664"/>
      <c r="G46" s="664"/>
      <c r="H46" s="665"/>
    </row>
    <row r="47" spans="2:18" ht="28" customHeight="1" x14ac:dyDescent="0.3">
      <c r="B47" s="548" t="s">
        <v>291</v>
      </c>
      <c r="C47" s="191"/>
      <c r="D47" s="191"/>
      <c r="E47" s="191"/>
      <c r="F47" s="191"/>
      <c r="G47" s="191"/>
      <c r="H47" s="202"/>
    </row>
    <row r="48" spans="2:18" ht="46.5" customHeight="1" x14ac:dyDescent="0.25">
      <c r="B48" s="666" t="s">
        <v>292</v>
      </c>
      <c r="C48" s="667"/>
      <c r="D48" s="667"/>
      <c r="E48" s="667"/>
      <c r="F48" s="667"/>
      <c r="G48" s="667"/>
      <c r="H48" s="668"/>
    </row>
    <row r="49" spans="2:17" ht="92.5" customHeight="1" x14ac:dyDescent="0.25">
      <c r="B49" s="663"/>
      <c r="C49" s="664"/>
      <c r="D49" s="664"/>
      <c r="E49" s="664"/>
      <c r="F49" s="664"/>
      <c r="G49" s="664"/>
      <c r="H49" s="665"/>
    </row>
    <row r="50" spans="2:17" ht="28" customHeight="1" x14ac:dyDescent="0.3">
      <c r="B50" s="548" t="s">
        <v>293</v>
      </c>
      <c r="C50" s="191"/>
      <c r="D50" s="191"/>
      <c r="E50" s="191"/>
      <c r="F50" s="191"/>
      <c r="G50" s="191"/>
      <c r="H50" s="202"/>
    </row>
    <row r="51" spans="2:17" ht="60.65" customHeight="1" x14ac:dyDescent="0.25">
      <c r="B51" s="666" t="s">
        <v>294</v>
      </c>
      <c r="C51" s="667"/>
      <c r="D51" s="667"/>
      <c r="E51" s="667"/>
      <c r="F51" s="667"/>
      <c r="G51" s="667"/>
      <c r="H51" s="668"/>
    </row>
    <row r="52" spans="2:17" ht="94" customHeight="1" x14ac:dyDescent="0.25">
      <c r="B52" s="663"/>
      <c r="C52" s="664"/>
      <c r="D52" s="664"/>
      <c r="E52" s="664"/>
      <c r="F52" s="664"/>
      <c r="G52" s="664"/>
      <c r="H52" s="665"/>
    </row>
    <row r="53" spans="2:17" ht="25.5" customHeight="1" x14ac:dyDescent="0.3">
      <c r="B53" s="686" t="s">
        <v>295</v>
      </c>
      <c r="C53" s="687"/>
      <c r="D53" s="216"/>
      <c r="E53" s="216"/>
      <c r="F53" s="216"/>
      <c r="G53" s="191"/>
      <c r="H53" s="202"/>
    </row>
    <row r="54" spans="2:17" ht="69" customHeight="1" x14ac:dyDescent="0.25">
      <c r="B54" s="729" t="s">
        <v>296</v>
      </c>
      <c r="C54" s="730"/>
      <c r="D54" s="730"/>
      <c r="E54" s="730"/>
      <c r="F54" s="730"/>
      <c r="G54" s="730"/>
      <c r="H54" s="731"/>
    </row>
    <row r="55" spans="2:17" ht="88" customHeight="1" x14ac:dyDescent="0.25">
      <c r="B55" s="713"/>
      <c r="C55" s="714"/>
      <c r="D55" s="714"/>
      <c r="E55" s="714"/>
      <c r="F55" s="714"/>
      <c r="G55" s="714"/>
      <c r="H55" s="715"/>
    </row>
    <row r="56" spans="2:17" s="551" customFormat="1" ht="25.5" customHeight="1" x14ac:dyDescent="0.35">
      <c r="B56" s="548" t="s">
        <v>297</v>
      </c>
      <c r="C56" s="549"/>
      <c r="D56" s="549"/>
      <c r="E56" s="549"/>
      <c r="F56" s="549"/>
      <c r="G56" s="549"/>
      <c r="H56" s="550"/>
    </row>
    <row r="57" spans="2:17" ht="31.5" customHeight="1" x14ac:dyDescent="0.25">
      <c r="B57" s="702" t="s">
        <v>298</v>
      </c>
      <c r="C57" s="703"/>
      <c r="D57" s="703"/>
      <c r="E57" s="703"/>
      <c r="F57" s="703"/>
      <c r="G57" s="703"/>
      <c r="H57" s="704"/>
    </row>
    <row r="58" spans="2:17" ht="85" customHeight="1" x14ac:dyDescent="0.25">
      <c r="B58" s="705"/>
      <c r="C58" s="706"/>
      <c r="D58" s="706"/>
      <c r="E58" s="706"/>
      <c r="F58" s="706"/>
      <c r="G58" s="706"/>
      <c r="H58" s="707"/>
    </row>
    <row r="59" spans="2:17" ht="28.5" customHeight="1" x14ac:dyDescent="0.3">
      <c r="B59" s="548" t="s">
        <v>299</v>
      </c>
      <c r="C59" s="191"/>
      <c r="D59" s="191"/>
      <c r="E59" s="191"/>
      <c r="F59" s="191"/>
      <c r="G59" s="191"/>
      <c r="H59" s="202"/>
    </row>
    <row r="60" spans="2:17" ht="92.5" customHeight="1" thickBot="1" x14ac:dyDescent="0.3">
      <c r="B60" s="693" t="s">
        <v>300</v>
      </c>
      <c r="C60" s="694"/>
      <c r="D60" s="694"/>
      <c r="E60" s="694"/>
      <c r="F60" s="694"/>
      <c r="G60" s="694"/>
      <c r="H60" s="695"/>
    </row>
    <row r="61" spans="2:17" ht="40" customHeight="1" thickBot="1" x14ac:dyDescent="0.3">
      <c r="B61" s="305" t="s">
        <v>301</v>
      </c>
      <c r="C61" s="182" t="s">
        <v>302</v>
      </c>
      <c r="D61" s="708" t="s">
        <v>303</v>
      </c>
      <c r="E61" s="708"/>
      <c r="F61" s="708"/>
      <c r="G61" s="708"/>
      <c r="H61" s="709"/>
      <c r="Q61" s="39" t="s">
        <v>304</v>
      </c>
    </row>
    <row r="62" spans="2:17" ht="40" customHeight="1" x14ac:dyDescent="0.25">
      <c r="B62" s="552"/>
      <c r="C62" s="553"/>
      <c r="D62" s="711"/>
      <c r="E62" s="711"/>
      <c r="F62" s="711"/>
      <c r="G62" s="711"/>
      <c r="H62" s="712"/>
      <c r="Q62" s="39" t="s">
        <v>305</v>
      </c>
    </row>
    <row r="63" spans="2:17" ht="40" customHeight="1" x14ac:dyDescent="0.25">
      <c r="B63" s="554"/>
      <c r="C63" s="172"/>
      <c r="D63" s="664"/>
      <c r="E63" s="664"/>
      <c r="F63" s="664"/>
      <c r="G63" s="664"/>
      <c r="H63" s="710"/>
      <c r="Q63" s="39" t="s">
        <v>306</v>
      </c>
    </row>
    <row r="64" spans="2:17" ht="40" customHeight="1" x14ac:dyDescent="0.25">
      <c r="B64" s="554"/>
      <c r="C64" s="172"/>
      <c r="D64" s="664"/>
      <c r="E64" s="664"/>
      <c r="F64" s="664"/>
      <c r="G64" s="664"/>
      <c r="H64" s="710"/>
    </row>
    <row r="65" spans="2:8" ht="40" customHeight="1" x14ac:dyDescent="0.25">
      <c r="B65" s="554"/>
      <c r="C65" s="172"/>
      <c r="D65" s="664"/>
      <c r="E65" s="664"/>
      <c r="F65" s="664"/>
      <c r="G65" s="664"/>
      <c r="H65" s="710"/>
    </row>
    <row r="66" spans="2:8" ht="40" customHeight="1" x14ac:dyDescent="0.25">
      <c r="B66" s="554"/>
      <c r="C66" s="172"/>
      <c r="D66" s="664"/>
      <c r="E66" s="664"/>
      <c r="F66" s="664"/>
      <c r="G66" s="664"/>
      <c r="H66" s="710"/>
    </row>
    <row r="67" spans="2:8" ht="40" customHeight="1" x14ac:dyDescent="0.25">
      <c r="B67" s="554"/>
      <c r="C67" s="172"/>
      <c r="D67" s="664"/>
      <c r="E67" s="664"/>
      <c r="F67" s="664"/>
      <c r="G67" s="664"/>
      <c r="H67" s="710"/>
    </row>
    <row r="68" spans="2:8" ht="40" customHeight="1" x14ac:dyDescent="0.25">
      <c r="B68" s="554"/>
      <c r="C68" s="172"/>
      <c r="D68" s="664"/>
      <c r="E68" s="664"/>
      <c r="F68" s="664"/>
      <c r="G68" s="664"/>
      <c r="H68" s="710"/>
    </row>
    <row r="69" spans="2:8" ht="39.65" customHeight="1" thickBot="1" x14ac:dyDescent="0.3">
      <c r="B69" s="555"/>
      <c r="C69" s="556"/>
      <c r="D69" s="700"/>
      <c r="E69" s="700"/>
      <c r="F69" s="700"/>
      <c r="G69" s="700"/>
      <c r="H69" s="701"/>
    </row>
    <row r="70" spans="2:8" ht="29.15" customHeight="1" x14ac:dyDescent="0.3">
      <c r="B70" s="548" t="s">
        <v>307</v>
      </c>
      <c r="C70" s="191"/>
      <c r="D70" s="191"/>
      <c r="E70" s="191"/>
      <c r="F70" s="191"/>
      <c r="G70" s="191"/>
      <c r="H70" s="202"/>
    </row>
    <row r="71" spans="2:8" ht="60.65" customHeight="1" x14ac:dyDescent="0.25">
      <c r="B71" s="693" t="s">
        <v>308</v>
      </c>
      <c r="C71" s="694"/>
      <c r="D71" s="694"/>
      <c r="E71" s="694"/>
      <c r="F71" s="694"/>
      <c r="G71" s="694"/>
      <c r="H71" s="695"/>
    </row>
    <row r="72" spans="2:8" ht="112.5" customHeight="1" x14ac:dyDescent="0.25">
      <c r="B72" s="705"/>
      <c r="C72" s="706"/>
      <c r="D72" s="706"/>
      <c r="E72" s="706"/>
      <c r="F72" s="706"/>
      <c r="G72" s="706"/>
      <c r="H72" s="707"/>
    </row>
    <row r="73" spans="2:8" x14ac:dyDescent="0.25">
      <c r="B73" s="203"/>
      <c r="C73" s="191"/>
      <c r="D73" s="191"/>
      <c r="E73" s="191"/>
      <c r="F73" s="191"/>
      <c r="G73" s="191"/>
      <c r="H73" s="202"/>
    </row>
    <row r="74" spans="2:8" ht="16" thickBot="1" x14ac:dyDescent="0.3">
      <c r="B74" s="203" t="s">
        <v>309</v>
      </c>
      <c r="C74" s="191"/>
      <c r="D74" s="191"/>
      <c r="E74" s="191"/>
      <c r="F74" s="191"/>
      <c r="G74" s="191"/>
      <c r="H74" s="202"/>
    </row>
    <row r="75" spans="2:8" ht="27.5" thickBot="1" x14ac:dyDescent="0.3">
      <c r="B75" s="305" t="s">
        <v>310</v>
      </c>
      <c r="C75" s="183" t="s">
        <v>311</v>
      </c>
      <c r="D75" s="184" t="s">
        <v>312</v>
      </c>
      <c r="E75" s="182" t="s">
        <v>313</v>
      </c>
      <c r="F75" s="183" t="s">
        <v>314</v>
      </c>
      <c r="G75" s="183" t="s">
        <v>315</v>
      </c>
      <c r="H75" s="202"/>
    </row>
    <row r="76" spans="2:8" x14ac:dyDescent="0.25">
      <c r="B76" s="722" t="s">
        <v>316</v>
      </c>
      <c r="C76" s="185" t="s">
        <v>317</v>
      </c>
      <c r="D76" s="173"/>
      <c r="E76" s="173"/>
      <c r="F76" s="174"/>
      <c r="G76" s="174"/>
      <c r="H76" s="202"/>
    </row>
    <row r="77" spans="2:8" x14ac:dyDescent="0.25">
      <c r="B77" s="723"/>
      <c r="C77" s="186" t="s">
        <v>318</v>
      </c>
      <c r="D77" s="175"/>
      <c r="E77" s="175"/>
      <c r="F77" s="174"/>
      <c r="G77" s="174"/>
      <c r="H77" s="202"/>
    </row>
    <row r="78" spans="2:8" x14ac:dyDescent="0.25">
      <c r="B78" s="723" t="s">
        <v>319</v>
      </c>
      <c r="C78" s="186" t="s">
        <v>320</v>
      </c>
      <c r="D78" s="173"/>
      <c r="E78" s="173"/>
      <c r="F78" s="174"/>
      <c r="G78" s="174"/>
      <c r="H78" s="202"/>
    </row>
    <row r="79" spans="2:8" x14ac:dyDescent="0.25">
      <c r="B79" s="723"/>
      <c r="C79" s="186" t="s">
        <v>321</v>
      </c>
      <c r="D79" s="175"/>
      <c r="E79" s="175"/>
      <c r="F79" s="174"/>
      <c r="G79" s="174"/>
      <c r="H79" s="202"/>
    </row>
    <row r="80" spans="2:8" x14ac:dyDescent="0.25">
      <c r="B80" s="723"/>
      <c r="C80" s="186" t="s">
        <v>322</v>
      </c>
      <c r="D80" s="173"/>
      <c r="E80" s="173"/>
      <c r="F80" s="174"/>
      <c r="G80" s="174"/>
      <c r="H80" s="202"/>
    </row>
    <row r="81" spans="2:8" x14ac:dyDescent="0.25">
      <c r="B81" s="723"/>
      <c r="C81" s="186" t="s">
        <v>323</v>
      </c>
      <c r="D81" s="175"/>
      <c r="E81" s="175"/>
      <c r="F81" s="174"/>
      <c r="G81" s="174"/>
      <c r="H81" s="202"/>
    </row>
    <row r="82" spans="2:8" ht="22.5" customHeight="1" x14ac:dyDescent="0.25">
      <c r="B82" s="334" t="s">
        <v>324</v>
      </c>
      <c r="C82" s="186" t="s">
        <v>325</v>
      </c>
      <c r="D82" s="173"/>
      <c r="E82" s="173"/>
      <c r="F82" s="174"/>
      <c r="G82" s="174"/>
      <c r="H82" s="202"/>
    </row>
    <row r="83" spans="2:8" x14ac:dyDescent="0.25">
      <c r="B83" s="306"/>
      <c r="C83" s="187"/>
      <c r="D83" s="188"/>
      <c r="E83" s="188"/>
      <c r="F83" s="189"/>
      <c r="G83" s="189"/>
      <c r="H83" s="202"/>
    </row>
    <row r="84" spans="2:8" x14ac:dyDescent="0.25">
      <c r="B84" s="308" t="s">
        <v>326</v>
      </c>
      <c r="C84" s="186" t="s">
        <v>327</v>
      </c>
      <c r="D84" s="173"/>
      <c r="E84" s="173"/>
      <c r="F84" s="174"/>
      <c r="G84" s="191"/>
      <c r="H84" s="202"/>
    </row>
    <row r="85" spans="2:8" x14ac:dyDescent="0.25">
      <c r="B85" s="308" t="s">
        <v>328</v>
      </c>
      <c r="C85" s="186" t="s">
        <v>329</v>
      </c>
      <c r="D85" s="175"/>
      <c r="E85" s="175"/>
      <c r="F85" s="174"/>
      <c r="G85" s="191"/>
      <c r="H85" s="202"/>
    </row>
    <row r="86" spans="2:8" x14ac:dyDescent="0.25">
      <c r="B86" s="309" t="s">
        <v>330</v>
      </c>
      <c r="C86" s="190" t="s">
        <v>331</v>
      </c>
      <c r="D86" s="193"/>
      <c r="E86" s="193"/>
      <c r="F86" s="194"/>
      <c r="G86" s="191"/>
      <c r="H86" s="202"/>
    </row>
    <row r="87" spans="2:8" x14ac:dyDescent="0.25">
      <c r="B87" s="724" t="s">
        <v>332</v>
      </c>
      <c r="C87" s="296" t="s">
        <v>333</v>
      </c>
      <c r="D87" s="302"/>
      <c r="E87" s="303"/>
      <c r="F87" s="304"/>
      <c r="G87" s="191"/>
      <c r="H87" s="202"/>
    </row>
    <row r="88" spans="2:8" x14ac:dyDescent="0.25">
      <c r="B88" s="724"/>
      <c r="C88" s="296" t="s">
        <v>334</v>
      </c>
      <c r="D88" s="297"/>
      <c r="E88" s="195"/>
      <c r="F88" s="298"/>
      <c r="G88" s="191"/>
      <c r="H88" s="202"/>
    </row>
    <row r="89" spans="2:8" x14ac:dyDescent="0.25">
      <c r="B89" s="724"/>
      <c r="C89" s="296" t="s">
        <v>335</v>
      </c>
      <c r="D89" s="297"/>
      <c r="E89" s="195"/>
      <c r="F89" s="298"/>
      <c r="G89" s="191"/>
      <c r="H89" s="202"/>
    </row>
    <row r="90" spans="2:8" x14ac:dyDescent="0.25">
      <c r="B90" s="724"/>
      <c r="C90" s="296" t="s">
        <v>336</v>
      </c>
      <c r="D90" s="297"/>
      <c r="E90" s="195"/>
      <c r="F90" s="298"/>
      <c r="G90" s="191"/>
      <c r="H90" s="202"/>
    </row>
    <row r="91" spans="2:8" ht="16" thickBot="1" x14ac:dyDescent="0.3">
      <c r="B91" s="725"/>
      <c r="C91" s="307" t="s">
        <v>337</v>
      </c>
      <c r="D91" s="299"/>
      <c r="E91" s="300"/>
      <c r="F91" s="301"/>
      <c r="G91" s="191"/>
      <c r="H91" s="202"/>
    </row>
    <row r="92" spans="2:8" ht="7.5" customHeight="1" x14ac:dyDescent="0.25">
      <c r="B92" s="203"/>
      <c r="C92" s="191"/>
      <c r="D92" s="191"/>
      <c r="E92" s="191"/>
      <c r="F92" s="192">
        <f>SUM(F76:F91)</f>
        <v>0</v>
      </c>
      <c r="G92" s="191"/>
      <c r="H92" s="202"/>
    </row>
    <row r="93" spans="2:8" ht="28" customHeight="1" x14ac:dyDescent="0.3">
      <c r="B93" s="548" t="s">
        <v>338</v>
      </c>
      <c r="C93" s="191"/>
      <c r="D93" s="191"/>
      <c r="E93" s="191"/>
      <c r="F93" s="192"/>
      <c r="G93" s="191"/>
      <c r="H93" s="202"/>
    </row>
    <row r="94" spans="2:8" ht="44.15" customHeight="1" x14ac:dyDescent="0.25">
      <c r="B94" s="693" t="s">
        <v>339</v>
      </c>
      <c r="C94" s="694"/>
      <c r="D94" s="694"/>
      <c r="E94" s="694"/>
      <c r="F94" s="694"/>
      <c r="G94" s="694"/>
      <c r="H94" s="202"/>
    </row>
    <row r="95" spans="2:8" ht="96" customHeight="1" x14ac:dyDescent="0.25">
      <c r="B95" s="705"/>
      <c r="C95" s="706"/>
      <c r="D95" s="706"/>
      <c r="E95" s="706"/>
      <c r="F95" s="706"/>
      <c r="G95" s="706"/>
      <c r="H95" s="707"/>
    </row>
    <row r="96" spans="2:8" x14ac:dyDescent="0.3">
      <c r="B96" s="217"/>
      <c r="C96" s="176"/>
      <c r="D96" s="176"/>
      <c r="E96" s="176"/>
      <c r="F96" s="176"/>
      <c r="G96" s="176"/>
      <c r="H96" s="200"/>
    </row>
    <row r="97" spans="2:8" ht="15.75" customHeight="1" x14ac:dyDescent="0.25">
      <c r="B97" s="203" t="s">
        <v>340</v>
      </c>
      <c r="C97" s="191"/>
      <c r="D97" s="191"/>
      <c r="E97" s="191"/>
      <c r="F97" s="191"/>
      <c r="G97" s="191"/>
      <c r="H97" s="202"/>
    </row>
    <row r="98" spans="2:8" ht="15.75" customHeight="1" x14ac:dyDescent="0.3">
      <c r="B98" s="726" t="s">
        <v>341</v>
      </c>
      <c r="C98" s="727"/>
      <c r="D98" s="727"/>
      <c r="E98" s="727"/>
      <c r="F98" s="727"/>
      <c r="G98" s="727"/>
      <c r="H98" s="728"/>
    </row>
    <row r="99" spans="2:8" ht="12.65" customHeight="1" x14ac:dyDescent="0.3">
      <c r="B99" s="373"/>
      <c r="C99" s="339"/>
      <c r="D99" s="339"/>
      <c r="E99" s="339"/>
      <c r="F99" s="339"/>
      <c r="G99" s="339"/>
      <c r="H99" s="340"/>
    </row>
    <row r="100" spans="2:8" ht="29.15" customHeight="1" x14ac:dyDescent="0.3">
      <c r="B100" s="697" t="s">
        <v>342</v>
      </c>
      <c r="C100" s="698"/>
      <c r="D100" s="698"/>
      <c r="E100" s="698"/>
      <c r="F100" s="698"/>
      <c r="G100" s="698"/>
      <c r="H100" s="699"/>
    </row>
    <row r="101" spans="2:8" ht="16" thickBot="1" x14ac:dyDescent="0.3">
      <c r="B101" s="206"/>
      <c r="C101" s="218"/>
      <c r="D101" s="219"/>
      <c r="E101" s="220"/>
      <c r="F101" s="218"/>
      <c r="G101" s="720" t="str">
        <f ca="1">"© Salix "&amp;YEAR(NOW())</f>
        <v>© Salix 2026</v>
      </c>
      <c r="H101" s="721"/>
    </row>
    <row r="102" spans="2:8" ht="16" thickBot="1" x14ac:dyDescent="0.35">
      <c r="B102" s="273"/>
      <c r="C102" s="274"/>
      <c r="D102" s="274"/>
      <c r="E102" s="274"/>
      <c r="F102" s="274"/>
      <c r="G102" s="274"/>
      <c r="H102" s="275"/>
    </row>
  </sheetData>
  <sheetProtection algorithmName="SHA-512" hashValue="aXSXIyABLpZK433+yFJqIFrWlCMtRp8WAlITJoLVKo86zMAOCBsfKWfIEb5xtBlWD571XcwXL7tYl+avVN7SFQ==" saltValue="C5bvrGz+cy6QMNwZHR2P2w==" spinCount="100000" sheet="1" objects="1" scenarios="1"/>
  <mergeCells count="60">
    <mergeCell ref="B55:H55"/>
    <mergeCell ref="B31:H31"/>
    <mergeCell ref="B28:H28"/>
    <mergeCell ref="F20:G20"/>
    <mergeCell ref="G101:H101"/>
    <mergeCell ref="B71:H71"/>
    <mergeCell ref="B72:H72"/>
    <mergeCell ref="B76:B77"/>
    <mergeCell ref="B78:B81"/>
    <mergeCell ref="B87:B91"/>
    <mergeCell ref="B98:H98"/>
    <mergeCell ref="B29:H30"/>
    <mergeCell ref="D67:H67"/>
    <mergeCell ref="B54:H54"/>
    <mergeCell ref="C22:D22"/>
    <mergeCell ref="C23:D23"/>
    <mergeCell ref="B100:H100"/>
    <mergeCell ref="D69:H69"/>
    <mergeCell ref="B57:H57"/>
    <mergeCell ref="B58:H58"/>
    <mergeCell ref="B60:H60"/>
    <mergeCell ref="D61:H61"/>
    <mergeCell ref="D63:H63"/>
    <mergeCell ref="D64:H64"/>
    <mergeCell ref="D65:H65"/>
    <mergeCell ref="D66:H66"/>
    <mergeCell ref="D62:H62"/>
    <mergeCell ref="D68:H68"/>
    <mergeCell ref="B94:G94"/>
    <mergeCell ref="B95:H95"/>
    <mergeCell ref="B53:C53"/>
    <mergeCell ref="F14:G14"/>
    <mergeCell ref="F15:G15"/>
    <mergeCell ref="F22:G22"/>
    <mergeCell ref="F24:G24"/>
    <mergeCell ref="F34:G34"/>
    <mergeCell ref="F33:G33"/>
    <mergeCell ref="B48:H48"/>
    <mergeCell ref="B34:D34"/>
    <mergeCell ref="B35:H38"/>
    <mergeCell ref="B39:H39"/>
    <mergeCell ref="C21:D21"/>
    <mergeCell ref="C18:D18"/>
    <mergeCell ref="F16:G16"/>
    <mergeCell ref="F18:G18"/>
    <mergeCell ref="C19:D19"/>
    <mergeCell ref="C20:D20"/>
    <mergeCell ref="F26:G26"/>
    <mergeCell ref="B6:H6"/>
    <mergeCell ref="C9:H9"/>
    <mergeCell ref="C11:H11"/>
    <mergeCell ref="C16:D16"/>
    <mergeCell ref="C17:D17"/>
    <mergeCell ref="B52:H52"/>
    <mergeCell ref="B51:H51"/>
    <mergeCell ref="B41:G42"/>
    <mergeCell ref="B43:H43"/>
    <mergeCell ref="B45:G45"/>
    <mergeCell ref="B46:H46"/>
    <mergeCell ref="B49:H49"/>
  </mergeCells>
  <conditionalFormatting sqref="C62:C69">
    <cfRule type="containsText" dxfId="48" priority="1" operator="containsText" text="High">
      <formula>NOT(ISERROR(SEARCH("High",C62)))</formula>
    </cfRule>
    <cfRule type="containsText" dxfId="47" priority="2" operator="containsText" text="Minor">
      <formula>NOT(ISERROR(SEARCH("Minor",C62)))</formula>
    </cfRule>
    <cfRule type="containsText" dxfId="46" priority="3" operator="containsText" text="Moderate">
      <formula>NOT(ISERROR(SEARCH("Moderate",C62)))</formula>
    </cfRule>
    <cfRule type="containsText" dxfId="45" priority="4" operator="containsText" text="Critical">
      <formula>NOT(ISERROR(SEARCH("Critical",C62)))</formula>
    </cfRule>
  </conditionalFormatting>
  <dataValidations count="3">
    <dataValidation type="list" allowBlank="1" showInputMessage="1" showErrorMessage="1" sqref="C62:C69" xr:uid="{47B7C9C9-0FCA-4842-B71D-D6A75A0D2E07}">
      <formula1>"Minor,Moderate,High,Critical"</formula1>
    </dataValidation>
    <dataValidation allowBlank="1" showInputMessage="1" showErrorMessage="1" prompt="Please attach evidence and further breakdown of these costs." sqref="H16" xr:uid="{466D7E5E-989A-445B-AD45-A958420C6C3E}"/>
    <dataValidation type="list" allowBlank="1" showInputMessage="1" showErrorMessage="1" sqref="G76:G82" xr:uid="{E80FED71-3ECA-481F-B5A6-48CD01F22738}">
      <formula1>"Yes,No,N/A"</formula1>
    </dataValidation>
  </dataValidations>
  <pageMargins left="0.7" right="0.7" top="0.75" bottom="0.75" header="0.3" footer="0.3"/>
  <pageSetup paperSize="8" scale="75" fitToHeight="0" orientation="portrait" horizontalDpi="4294967294" r:id="rId1"/>
  <colBreaks count="1" manualBreakCount="1">
    <brk id="8" min="1" max="48"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59BE8-609C-4C00-85D0-0BE2F1D57A95}">
  <sheetPr>
    <tabColor rgb="FF382573"/>
  </sheetPr>
  <dimension ref="B1:O97"/>
  <sheetViews>
    <sheetView showGridLines="0" zoomScale="90" zoomScaleNormal="90" workbookViewId="0">
      <selection activeCell="D18" sqref="D18:G18"/>
    </sheetView>
  </sheetViews>
  <sheetFormatPr defaultColWidth="9.1796875" defaultRowHeight="15.5" x14ac:dyDescent="0.25"/>
  <cols>
    <col min="1" max="1" width="3.453125" style="768" customWidth="1"/>
    <col min="2" max="2" width="34.81640625" style="767" customWidth="1"/>
    <col min="3" max="3" width="14.453125" style="768" customWidth="1"/>
    <col min="4" max="8" width="22.1796875" style="768" customWidth="1"/>
    <col min="9" max="9" width="40.36328125" style="768" customWidth="1"/>
    <col min="10" max="10" width="122.453125" style="769" customWidth="1"/>
    <col min="11" max="16384" width="9.1796875" style="768"/>
  </cols>
  <sheetData>
    <row r="1" spans="2:10" ht="16" thickBot="1" x14ac:dyDescent="0.3"/>
    <row r="2" spans="2:10" x14ac:dyDescent="0.25">
      <c r="B2" s="770"/>
      <c r="C2" s="771"/>
      <c r="D2" s="771"/>
      <c r="E2" s="771"/>
      <c r="F2" s="771"/>
      <c r="G2" s="771"/>
      <c r="H2" s="771"/>
      <c r="I2" s="772"/>
    </row>
    <row r="3" spans="2:10" x14ac:dyDescent="0.25">
      <c r="B3" s="773"/>
      <c r="I3" s="774"/>
    </row>
    <row r="4" spans="2:10" x14ac:dyDescent="0.25">
      <c r="B4" s="775"/>
      <c r="C4" s="776"/>
      <c r="D4" s="776"/>
      <c r="E4" s="776"/>
      <c r="F4" s="776"/>
      <c r="G4" s="776"/>
      <c r="H4" s="776"/>
      <c r="I4" s="777"/>
    </row>
    <row r="5" spans="2:10" ht="23.25" customHeight="1" x14ac:dyDescent="0.25">
      <c r="B5" s="778" t="s">
        <v>343</v>
      </c>
      <c r="C5" s="779"/>
      <c r="D5" s="779"/>
      <c r="E5" s="779"/>
      <c r="F5" s="779"/>
      <c r="G5" s="779"/>
      <c r="H5" s="779"/>
      <c r="I5" s="780"/>
    </row>
    <row r="6" spans="2:10" x14ac:dyDescent="0.25">
      <c r="B6" s="781" t="s">
        <v>344</v>
      </c>
      <c r="I6" s="774"/>
    </row>
    <row r="7" spans="2:10" x14ac:dyDescent="0.25">
      <c r="B7" s="782"/>
      <c r="I7" s="774"/>
      <c r="J7" s="783"/>
    </row>
    <row r="8" spans="2:10" ht="19.25" customHeight="1" x14ac:dyDescent="0.25">
      <c r="B8" s="784" t="s">
        <v>346</v>
      </c>
      <c r="C8" s="785" t="str">
        <f>IF('[16]Business Case'!D9="","",'[16]Business Case'!D9)</f>
        <v/>
      </c>
      <c r="D8" s="786"/>
      <c r="E8" s="786"/>
      <c r="F8" s="786"/>
      <c r="G8" s="786"/>
      <c r="H8" s="787"/>
      <c r="I8" s="788"/>
      <c r="J8" s="789"/>
    </row>
    <row r="9" spans="2:10" x14ac:dyDescent="0.25">
      <c r="B9" s="790"/>
      <c r="I9" s="774"/>
      <c r="J9" s="789"/>
    </row>
    <row r="10" spans="2:10" ht="19.5" customHeight="1" x14ac:dyDescent="0.25">
      <c r="B10" s="784" t="s">
        <v>348</v>
      </c>
      <c r="C10" s="785" t="str">
        <f>IF('[16]Project Compliance Tool'!D3="","",'[16]Project Compliance Tool'!D3)</f>
        <v/>
      </c>
      <c r="D10" s="786"/>
      <c r="E10" s="786"/>
      <c r="F10" s="786"/>
      <c r="G10" s="786"/>
      <c r="H10" s="787"/>
      <c r="I10" s="788"/>
      <c r="J10" s="789"/>
    </row>
    <row r="11" spans="2:10" ht="19.5" customHeight="1" x14ac:dyDescent="0.25">
      <c r="B11" s="791"/>
      <c r="C11" s="792"/>
      <c r="D11" s="792"/>
      <c r="E11" s="792"/>
      <c r="F11" s="792"/>
      <c r="G11" s="792"/>
      <c r="H11" s="792"/>
      <c r="I11" s="793"/>
      <c r="J11" s="794"/>
    </row>
    <row r="12" spans="2:10" ht="19.5" customHeight="1" x14ac:dyDescent="0.25">
      <c r="B12" s="781" t="s">
        <v>345</v>
      </c>
      <c r="C12" s="792"/>
      <c r="D12" s="792"/>
      <c r="E12" s="792"/>
      <c r="F12" s="792"/>
      <c r="G12" s="792"/>
      <c r="H12" s="792"/>
      <c r="I12" s="793"/>
      <c r="J12" s="794"/>
    </row>
    <row r="13" spans="2:10" ht="19.5" customHeight="1" x14ac:dyDescent="0.25">
      <c r="B13" s="795" t="s">
        <v>347</v>
      </c>
      <c r="C13" s="796"/>
      <c r="D13" s="796"/>
      <c r="E13" s="796"/>
      <c r="F13" s="796"/>
      <c r="G13" s="796"/>
      <c r="H13" s="796"/>
      <c r="I13" s="797"/>
      <c r="J13" s="794"/>
    </row>
    <row r="14" spans="2:10" ht="22" customHeight="1" x14ac:dyDescent="0.25">
      <c r="B14" s="795"/>
      <c r="C14" s="796"/>
      <c r="D14" s="796"/>
      <c r="E14" s="796"/>
      <c r="F14" s="796"/>
      <c r="G14" s="796"/>
      <c r="H14" s="796"/>
      <c r="I14" s="797"/>
      <c r="J14" s="798"/>
    </row>
    <row r="15" spans="2:10" ht="22" customHeight="1" x14ac:dyDescent="0.25">
      <c r="B15" s="799"/>
      <c r="C15" s="800"/>
      <c r="D15" s="800"/>
      <c r="E15" s="800"/>
      <c r="F15" s="800"/>
      <c r="G15" s="800"/>
      <c r="H15" s="800"/>
      <c r="I15" s="801"/>
      <c r="J15" s="798"/>
    </row>
    <row r="16" spans="2:10" x14ac:dyDescent="0.25">
      <c r="B16" s="781" t="s">
        <v>349</v>
      </c>
      <c r="D16" s="802" t="s">
        <v>350</v>
      </c>
      <c r="E16" s="802"/>
      <c r="F16" s="802"/>
      <c r="G16" s="802"/>
      <c r="H16" s="803"/>
      <c r="I16" s="804"/>
      <c r="J16" s="798"/>
    </row>
    <row r="17" spans="2:12" ht="13.5" customHeight="1" x14ac:dyDescent="0.25">
      <c r="B17" s="805" t="s">
        <v>563</v>
      </c>
      <c r="C17" s="806" t="s">
        <v>564</v>
      </c>
      <c r="D17" s="807" t="s">
        <v>565</v>
      </c>
      <c r="E17" s="808"/>
      <c r="F17" s="808"/>
      <c r="G17" s="809"/>
      <c r="H17" s="810" t="s">
        <v>566</v>
      </c>
      <c r="I17" s="811"/>
      <c r="J17" s="789"/>
    </row>
    <row r="18" spans="2:12" ht="69.5" customHeight="1" x14ac:dyDescent="0.25">
      <c r="B18" s="812" t="s">
        <v>351</v>
      </c>
      <c r="C18" s="467"/>
      <c r="D18" s="734"/>
      <c r="E18" s="735"/>
      <c r="F18" s="735"/>
      <c r="G18" s="735"/>
      <c r="H18" s="813" t="s">
        <v>588</v>
      </c>
      <c r="I18" s="814"/>
      <c r="J18" s="789"/>
      <c r="K18" s="815"/>
      <c r="L18" s="815"/>
    </row>
    <row r="19" spans="2:12" x14ac:dyDescent="0.25">
      <c r="B19" s="316"/>
      <c r="C19" s="317"/>
      <c r="D19" s="318"/>
      <c r="E19" s="318"/>
      <c r="F19" s="816"/>
      <c r="G19" s="816"/>
      <c r="H19" s="816"/>
      <c r="I19" s="817"/>
      <c r="J19" s="818"/>
      <c r="K19" s="815"/>
      <c r="L19" s="815"/>
    </row>
    <row r="20" spans="2:12" ht="36" customHeight="1" x14ac:dyDescent="0.25">
      <c r="B20" s="812" t="s">
        <v>352</v>
      </c>
      <c r="C20" s="467"/>
      <c r="D20" s="734"/>
      <c r="E20" s="735"/>
      <c r="F20" s="735"/>
      <c r="G20" s="819"/>
      <c r="H20" s="813" t="s">
        <v>567</v>
      </c>
      <c r="I20" s="814"/>
      <c r="J20" s="800"/>
      <c r="K20" s="815"/>
      <c r="L20" s="815"/>
    </row>
    <row r="21" spans="2:12" x14ac:dyDescent="0.25">
      <c r="B21" s="316"/>
      <c r="C21" s="317"/>
      <c r="D21" s="318"/>
      <c r="E21" s="318"/>
      <c r="F21" s="816"/>
      <c r="G21" s="816"/>
      <c r="H21" s="816"/>
      <c r="I21" s="817"/>
      <c r="J21" s="818"/>
      <c r="K21" s="815"/>
      <c r="L21" s="815"/>
    </row>
    <row r="22" spans="2:12" ht="50" customHeight="1" x14ac:dyDescent="0.25">
      <c r="B22" s="812" t="s">
        <v>353</v>
      </c>
      <c r="C22" s="467"/>
      <c r="D22" s="734"/>
      <c r="E22" s="735"/>
      <c r="F22" s="735"/>
      <c r="G22" s="819"/>
      <c r="H22" s="813" t="s">
        <v>568</v>
      </c>
      <c r="I22" s="814"/>
      <c r="J22" s="820"/>
      <c r="K22" s="815"/>
      <c r="L22" s="815"/>
    </row>
    <row r="23" spans="2:12" x14ac:dyDescent="0.25">
      <c r="B23" s="316"/>
      <c r="C23" s="317"/>
      <c r="D23" s="319"/>
      <c r="E23" s="319"/>
      <c r="F23" s="798"/>
      <c r="G23" s="798"/>
      <c r="H23" s="798"/>
      <c r="I23" s="821"/>
      <c r="J23" s="822"/>
      <c r="K23" s="815"/>
      <c r="L23" s="815"/>
    </row>
    <row r="24" spans="2:12" ht="71" customHeight="1" x14ac:dyDescent="0.25">
      <c r="B24" s="812" t="s">
        <v>354</v>
      </c>
      <c r="C24" s="467"/>
      <c r="D24" s="734"/>
      <c r="E24" s="735"/>
      <c r="F24" s="735"/>
      <c r="G24" s="819"/>
      <c r="H24" s="813" t="s">
        <v>569</v>
      </c>
      <c r="I24" s="814"/>
      <c r="J24" s="795"/>
      <c r="K24" s="815"/>
      <c r="L24" s="815"/>
    </row>
    <row r="25" spans="2:12" x14ac:dyDescent="0.25">
      <c r="B25" s="316"/>
      <c r="C25" s="317"/>
      <c r="D25" s="320"/>
      <c r="E25" s="320"/>
      <c r="F25" s="823"/>
      <c r="G25" s="823"/>
      <c r="H25" s="823"/>
      <c r="I25" s="824"/>
      <c r="J25" s="795"/>
      <c r="K25" s="815"/>
      <c r="L25" s="815"/>
    </row>
    <row r="26" spans="2:12" ht="47" customHeight="1" x14ac:dyDescent="0.25">
      <c r="B26" s="812" t="s">
        <v>355</v>
      </c>
      <c r="C26" s="467"/>
      <c r="D26" s="734"/>
      <c r="E26" s="735"/>
      <c r="F26" s="735"/>
      <c r="G26" s="819"/>
      <c r="H26" s="813" t="s">
        <v>570</v>
      </c>
      <c r="I26" s="814"/>
      <c r="J26" s="800"/>
      <c r="K26" s="815"/>
      <c r="L26" s="815"/>
    </row>
    <row r="27" spans="2:12" x14ac:dyDescent="0.25">
      <c r="B27" s="773"/>
      <c r="D27" s="825"/>
      <c r="E27" s="825"/>
      <c r="F27" s="825"/>
      <c r="G27" s="825"/>
      <c r="H27" s="825"/>
      <c r="I27" s="826"/>
      <c r="J27" s="798"/>
    </row>
    <row r="28" spans="2:12" ht="64" customHeight="1" x14ac:dyDescent="0.25">
      <c r="B28" s="812" t="s">
        <v>587</v>
      </c>
      <c r="C28" s="467"/>
      <c r="D28" s="827"/>
      <c r="E28" s="828"/>
      <c r="F28" s="828"/>
      <c r="G28" s="829"/>
      <c r="H28" s="813" t="s">
        <v>571</v>
      </c>
      <c r="I28" s="814"/>
      <c r="J28" s="800"/>
    </row>
    <row r="29" spans="2:12" ht="15.65" customHeight="1" x14ac:dyDescent="0.25">
      <c r="B29" s="830"/>
      <c r="D29" s="825"/>
      <c r="E29" s="825"/>
      <c r="F29" s="825"/>
      <c r="G29" s="825"/>
      <c r="H29" s="825"/>
      <c r="I29" s="826"/>
      <c r="J29" s="798"/>
    </row>
    <row r="30" spans="2:12" x14ac:dyDescent="0.25">
      <c r="B30" s="781" t="s">
        <v>356</v>
      </c>
      <c r="D30" s="825"/>
      <c r="E30" s="825"/>
      <c r="F30" s="825"/>
      <c r="G30" s="825"/>
      <c r="H30" s="825"/>
      <c r="I30" s="826"/>
      <c r="J30" s="798"/>
    </row>
    <row r="31" spans="2:12" x14ac:dyDescent="0.25">
      <c r="B31" s="773"/>
      <c r="D31" s="831" t="s">
        <v>350</v>
      </c>
      <c r="E31" s="831"/>
      <c r="F31" s="831"/>
      <c r="G31" s="831"/>
      <c r="H31" s="825"/>
      <c r="I31" s="826"/>
      <c r="J31" s="798"/>
    </row>
    <row r="32" spans="2:12" ht="30" customHeight="1" x14ac:dyDescent="0.25">
      <c r="B32" s="321" t="s">
        <v>357</v>
      </c>
      <c r="C32" s="469"/>
      <c r="D32" s="832"/>
      <c r="E32" s="833"/>
      <c r="F32" s="833"/>
      <c r="G32" s="833"/>
      <c r="H32" s="834" t="s">
        <v>572</v>
      </c>
      <c r="I32" s="835"/>
      <c r="J32" s="818"/>
      <c r="K32" s="815"/>
      <c r="L32" s="815"/>
    </row>
    <row r="33" spans="2:12" ht="30" customHeight="1" x14ac:dyDescent="0.25">
      <c r="B33" s="321" t="s">
        <v>358</v>
      </c>
      <c r="C33" s="469"/>
      <c r="D33" s="836"/>
      <c r="E33" s="837"/>
      <c r="F33" s="837"/>
      <c r="G33" s="837"/>
      <c r="H33" s="838"/>
      <c r="I33" s="839"/>
      <c r="J33" s="818"/>
      <c r="K33" s="815"/>
      <c r="L33" s="815"/>
    </row>
    <row r="34" spans="2:12" ht="30" customHeight="1" x14ac:dyDescent="0.25">
      <c r="B34" s="321" t="s">
        <v>359</v>
      </c>
      <c r="C34" s="469"/>
      <c r="D34" s="836"/>
      <c r="E34" s="837"/>
      <c r="F34" s="837"/>
      <c r="G34" s="837"/>
      <c r="H34" s="838"/>
      <c r="I34" s="839"/>
      <c r="J34" s="818"/>
      <c r="K34" s="815"/>
      <c r="L34" s="815"/>
    </row>
    <row r="35" spans="2:12" ht="30" customHeight="1" x14ac:dyDescent="0.25">
      <c r="B35" s="321" t="s">
        <v>360</v>
      </c>
      <c r="C35" s="469"/>
      <c r="D35" s="840"/>
      <c r="E35" s="841"/>
      <c r="F35" s="841"/>
      <c r="G35" s="841"/>
      <c r="H35" s="842"/>
      <c r="I35" s="843"/>
      <c r="J35" s="789"/>
      <c r="K35" s="815"/>
      <c r="L35" s="815"/>
    </row>
    <row r="36" spans="2:12" ht="11.4" customHeight="1" x14ac:dyDescent="0.25">
      <c r="B36" s="747"/>
      <c r="C36" s="844"/>
      <c r="D36" s="845"/>
      <c r="E36" s="845"/>
      <c r="F36" s="845"/>
      <c r="G36" s="845"/>
      <c r="H36" s="845"/>
      <c r="I36" s="846"/>
      <c r="J36" s="789"/>
      <c r="K36" s="815"/>
      <c r="L36" s="815"/>
    </row>
    <row r="37" spans="2:12" ht="9.65" customHeight="1" x14ac:dyDescent="0.25">
      <c r="B37" s="748"/>
      <c r="C37" s="749"/>
      <c r="D37" s="749"/>
      <c r="E37" s="749"/>
      <c r="F37" s="749"/>
      <c r="G37" s="749"/>
      <c r="H37" s="847"/>
      <c r="I37" s="848"/>
      <c r="J37" s="818"/>
      <c r="K37" s="815"/>
      <c r="L37" s="815"/>
    </row>
    <row r="38" spans="2:12" ht="39" customHeight="1" x14ac:dyDescent="0.25">
      <c r="B38" s="466" t="s">
        <v>361</v>
      </c>
      <c r="C38" s="467"/>
      <c r="D38" s="734"/>
      <c r="E38" s="735"/>
      <c r="F38" s="735"/>
      <c r="G38" s="735"/>
      <c r="H38" s="813" t="s">
        <v>573</v>
      </c>
      <c r="I38" s="814"/>
      <c r="J38" s="818"/>
      <c r="K38" s="815"/>
      <c r="L38" s="815"/>
    </row>
    <row r="39" spans="2:12" x14ac:dyDescent="0.25">
      <c r="B39" s="740"/>
      <c r="C39" s="741"/>
      <c r="D39" s="741"/>
      <c r="E39" s="741"/>
      <c r="F39" s="741"/>
      <c r="G39" s="741"/>
      <c r="H39" s="849"/>
      <c r="I39" s="850"/>
      <c r="J39" s="818"/>
      <c r="K39" s="815"/>
      <c r="L39" s="815"/>
    </row>
    <row r="40" spans="2:12" ht="69.5" customHeight="1" x14ac:dyDescent="0.25">
      <c r="B40" s="466" t="s">
        <v>362</v>
      </c>
      <c r="C40" s="467"/>
      <c r="D40" s="734"/>
      <c r="E40" s="735"/>
      <c r="F40" s="735"/>
      <c r="G40" s="735"/>
      <c r="H40" s="834" t="s">
        <v>574</v>
      </c>
      <c r="I40" s="835"/>
      <c r="J40" s="818"/>
      <c r="K40" s="815"/>
      <c r="L40" s="815"/>
    </row>
    <row r="41" spans="2:12" x14ac:dyDescent="0.25">
      <c r="B41" s="740"/>
      <c r="C41" s="741"/>
      <c r="D41" s="741"/>
      <c r="E41" s="741"/>
      <c r="F41" s="741"/>
      <c r="G41" s="741"/>
      <c r="H41" s="851"/>
      <c r="I41" s="852"/>
      <c r="J41" s="818"/>
      <c r="K41" s="815"/>
      <c r="L41" s="815"/>
    </row>
    <row r="42" spans="2:12" ht="37.5" customHeight="1" x14ac:dyDescent="0.25">
      <c r="B42" s="466" t="s">
        <v>363</v>
      </c>
      <c r="C42" s="467"/>
      <c r="D42" s="734"/>
      <c r="E42" s="735"/>
      <c r="F42" s="735"/>
      <c r="G42" s="735"/>
      <c r="H42" s="813" t="s">
        <v>575</v>
      </c>
      <c r="I42" s="814"/>
      <c r="J42" s="818"/>
      <c r="K42" s="815"/>
      <c r="L42" s="815"/>
    </row>
    <row r="43" spans="2:12" ht="15.75" customHeight="1" x14ac:dyDescent="0.25">
      <c r="B43" s="853"/>
      <c r="C43" s="854"/>
      <c r="D43" s="854"/>
      <c r="E43" s="854"/>
      <c r="F43" s="854"/>
      <c r="G43" s="854"/>
      <c r="H43" s="854"/>
      <c r="I43" s="855"/>
      <c r="J43" s="798"/>
    </row>
    <row r="44" spans="2:12" ht="15.75" customHeight="1" x14ac:dyDescent="0.25">
      <c r="B44" s="856" t="s">
        <v>364</v>
      </c>
      <c r="C44" s="857"/>
      <c r="D44" s="857"/>
      <c r="E44" s="858"/>
      <c r="F44" s="858"/>
      <c r="G44" s="858"/>
      <c r="H44" s="858"/>
      <c r="I44" s="859"/>
      <c r="J44" s="798"/>
    </row>
    <row r="45" spans="2:12" x14ac:dyDescent="0.25">
      <c r="B45" s="860"/>
      <c r="C45" s="861"/>
      <c r="D45" s="739" t="s">
        <v>350</v>
      </c>
      <c r="E45" s="739"/>
      <c r="F45" s="739"/>
      <c r="G45" s="739"/>
      <c r="H45" s="861"/>
      <c r="I45" s="862"/>
      <c r="J45" s="863"/>
      <c r="K45" s="815"/>
      <c r="L45" s="815"/>
    </row>
    <row r="46" spans="2:12" ht="60" customHeight="1" x14ac:dyDescent="0.25">
      <c r="B46" s="465" t="s">
        <v>365</v>
      </c>
      <c r="C46" s="467"/>
      <c r="D46" s="734"/>
      <c r="E46" s="735"/>
      <c r="F46" s="735"/>
      <c r="G46" s="735"/>
      <c r="H46" s="813" t="s">
        <v>576</v>
      </c>
      <c r="I46" s="814"/>
      <c r="J46" s="863"/>
      <c r="K46" s="815"/>
      <c r="L46" s="815"/>
    </row>
    <row r="47" spans="2:12" x14ac:dyDescent="0.25">
      <c r="B47" s="740"/>
      <c r="C47" s="741"/>
      <c r="D47" s="741"/>
      <c r="E47" s="741"/>
      <c r="F47" s="741"/>
      <c r="G47" s="741"/>
      <c r="H47" s="741"/>
      <c r="I47" s="742"/>
      <c r="J47" s="818"/>
      <c r="K47" s="815"/>
      <c r="L47" s="815"/>
    </row>
    <row r="48" spans="2:12" ht="60.5" customHeight="1" x14ac:dyDescent="0.25">
      <c r="B48" s="465" t="s">
        <v>366</v>
      </c>
      <c r="C48" s="467"/>
      <c r="D48" s="734"/>
      <c r="E48" s="735"/>
      <c r="F48" s="735"/>
      <c r="G48" s="735"/>
      <c r="H48" s="813" t="s">
        <v>577</v>
      </c>
      <c r="I48" s="814"/>
      <c r="J48" s="818"/>
      <c r="K48" s="815"/>
      <c r="L48" s="815"/>
    </row>
    <row r="49" spans="2:15" x14ac:dyDescent="0.25">
      <c r="B49" s="740"/>
      <c r="C49" s="741"/>
      <c r="D49" s="741"/>
      <c r="E49" s="741"/>
      <c r="F49" s="741"/>
      <c r="G49" s="741"/>
      <c r="H49" s="741"/>
      <c r="I49" s="742"/>
      <c r="J49" s="818"/>
      <c r="K49" s="815"/>
      <c r="L49" s="815"/>
    </row>
    <row r="50" spans="2:15" ht="40.5" customHeight="1" x14ac:dyDescent="0.25">
      <c r="B50" s="465" t="s">
        <v>367</v>
      </c>
      <c r="C50" s="467"/>
      <c r="D50" s="734"/>
      <c r="E50" s="735"/>
      <c r="F50" s="735"/>
      <c r="G50" s="735"/>
      <c r="H50" s="813" t="s">
        <v>578</v>
      </c>
      <c r="I50" s="814"/>
      <c r="J50" s="818"/>
      <c r="K50" s="815"/>
      <c r="L50" s="815"/>
    </row>
    <row r="51" spans="2:15" x14ac:dyDescent="0.25">
      <c r="B51" s="743"/>
      <c r="C51" s="744"/>
      <c r="D51" s="744"/>
      <c r="E51" s="744"/>
      <c r="F51" s="744"/>
      <c r="G51" s="744"/>
      <c r="H51" s="744"/>
      <c r="I51" s="745"/>
      <c r="J51" s="798"/>
    </row>
    <row r="52" spans="2:15" ht="39" customHeight="1" x14ac:dyDescent="0.25">
      <c r="B52" s="465" t="s">
        <v>368</v>
      </c>
      <c r="C52" s="467"/>
      <c r="D52" s="734"/>
      <c r="E52" s="735"/>
      <c r="F52" s="735"/>
      <c r="G52" s="735"/>
      <c r="H52" s="813" t="s">
        <v>579</v>
      </c>
      <c r="I52" s="814"/>
      <c r="J52" s="818"/>
    </row>
    <row r="53" spans="2:15" ht="18.5" x14ac:dyDescent="0.25">
      <c r="B53" s="773"/>
      <c r="E53" s="864"/>
      <c r="F53" s="864"/>
      <c r="G53" s="865"/>
      <c r="H53" s="865"/>
      <c r="I53" s="866"/>
      <c r="J53" s="798"/>
      <c r="K53" s="867"/>
      <c r="L53" s="868">
        <v>2.2999999999999998</v>
      </c>
      <c r="M53" s="869" t="e">
        <f>#REF!</f>
        <v>#REF!</v>
      </c>
      <c r="N53" s="868"/>
      <c r="O53" s="867"/>
    </row>
    <row r="54" spans="2:15" ht="18.5" x14ac:dyDescent="0.25">
      <c r="B54" s="870"/>
      <c r="C54" s="871"/>
      <c r="D54" s="871"/>
      <c r="E54" s="872"/>
      <c r="F54" s="872"/>
      <c r="G54" s="873"/>
      <c r="H54" s="873"/>
      <c r="I54" s="874"/>
      <c r="J54" s="798"/>
      <c r="K54" s="867"/>
      <c r="L54" s="868">
        <v>2.4</v>
      </c>
      <c r="M54" s="869" t="e">
        <f>#REF!</f>
        <v>#REF!</v>
      </c>
      <c r="N54" s="868"/>
      <c r="O54" s="867"/>
    </row>
    <row r="55" spans="2:15" x14ac:dyDescent="0.25">
      <c r="B55" s="746" t="s">
        <v>369</v>
      </c>
      <c r="C55" s="875"/>
      <c r="D55" s="876"/>
      <c r="E55" s="877"/>
      <c r="F55" s="877"/>
      <c r="G55" s="877"/>
      <c r="H55" s="834" t="s">
        <v>580</v>
      </c>
      <c r="I55" s="835"/>
      <c r="J55" s="878"/>
      <c r="K55" s="867"/>
      <c r="L55" s="868">
        <v>2.5</v>
      </c>
      <c r="M55" s="869" t="e">
        <f>#REF!</f>
        <v>#REF!</v>
      </c>
      <c r="N55" s="868"/>
      <c r="O55" s="867"/>
    </row>
    <row r="56" spans="2:15" x14ac:dyDescent="0.25">
      <c r="B56" s="738"/>
      <c r="C56" s="879"/>
      <c r="D56" s="880"/>
      <c r="E56" s="881"/>
      <c r="F56" s="881"/>
      <c r="G56" s="881"/>
      <c r="H56" s="842"/>
      <c r="I56" s="843"/>
      <c r="J56" s="878"/>
      <c r="K56" s="867"/>
      <c r="L56" s="868">
        <v>2.6</v>
      </c>
      <c r="M56" s="869" t="e">
        <f>#REF!</f>
        <v>#REF!</v>
      </c>
      <c r="N56" s="868"/>
      <c r="O56" s="867"/>
    </row>
    <row r="57" spans="2:15" ht="15.75" customHeight="1" x14ac:dyDescent="0.25">
      <c r="B57" s="882"/>
      <c r="C57" s="798"/>
      <c r="E57" s="864"/>
      <c r="F57" s="864"/>
      <c r="G57" s="865"/>
      <c r="H57" s="865"/>
      <c r="I57" s="866"/>
      <c r="J57" s="798"/>
      <c r="K57" s="867"/>
      <c r="L57" s="868">
        <v>2.7</v>
      </c>
      <c r="M57" s="869" t="e">
        <f>#REF!</f>
        <v>#REF!</v>
      </c>
      <c r="N57" s="868"/>
      <c r="O57" s="867"/>
    </row>
    <row r="58" spans="2:15" x14ac:dyDescent="0.25">
      <c r="B58" s="883" t="s">
        <v>370</v>
      </c>
      <c r="C58" s="879"/>
      <c r="D58" s="884"/>
      <c r="E58" s="885"/>
      <c r="F58" s="885"/>
      <c r="G58" s="885"/>
      <c r="H58" s="834" t="s">
        <v>581</v>
      </c>
      <c r="I58" s="835"/>
      <c r="J58" s="796"/>
      <c r="K58" s="867"/>
      <c r="L58" s="868">
        <v>3.1</v>
      </c>
      <c r="M58" s="869" t="e">
        <f>#REF!</f>
        <v>#REF!</v>
      </c>
      <c r="N58" s="868"/>
      <c r="O58" s="867"/>
    </row>
    <row r="59" spans="2:15" ht="33" customHeight="1" x14ac:dyDescent="0.25">
      <c r="B59" s="883"/>
      <c r="C59" s="879"/>
      <c r="D59" s="886"/>
      <c r="E59" s="887"/>
      <c r="F59" s="887"/>
      <c r="G59" s="887"/>
      <c r="H59" s="842"/>
      <c r="I59" s="843"/>
      <c r="J59" s="796"/>
      <c r="K59" s="867"/>
      <c r="L59" s="868">
        <v>3.2</v>
      </c>
      <c r="M59" s="869" t="e">
        <f>#REF!</f>
        <v>#REF!</v>
      </c>
      <c r="N59" s="868"/>
      <c r="O59" s="867"/>
    </row>
    <row r="60" spans="2:15" x14ac:dyDescent="0.25">
      <c r="B60" s="322"/>
      <c r="C60" s="888"/>
      <c r="D60" s="889"/>
      <c r="E60" s="889"/>
      <c r="F60" s="889"/>
      <c r="G60" s="889"/>
      <c r="H60" s="889"/>
      <c r="I60" s="890"/>
      <c r="J60" s="891"/>
      <c r="K60" s="867"/>
      <c r="L60" s="868">
        <v>3.3</v>
      </c>
      <c r="M60" s="869" t="e">
        <f>#REF!</f>
        <v>#REF!</v>
      </c>
      <c r="N60" s="868"/>
      <c r="O60" s="867"/>
    </row>
    <row r="61" spans="2:15" ht="31.5" customHeight="1" x14ac:dyDescent="0.25">
      <c r="B61" s="323" t="s">
        <v>371</v>
      </c>
      <c r="C61" s="892">
        <f>'[16]Business Case'!H79</f>
        <v>0</v>
      </c>
      <c r="D61" s="893"/>
      <c r="E61" s="894"/>
      <c r="F61" s="894"/>
      <c r="G61" s="894"/>
      <c r="H61" s="813" t="s">
        <v>582</v>
      </c>
      <c r="I61" s="814"/>
      <c r="J61" s="891"/>
      <c r="K61" s="867"/>
      <c r="L61" s="868">
        <v>3.4</v>
      </c>
      <c r="M61" s="869" t="e">
        <f>#REF!</f>
        <v>#REF!</v>
      </c>
      <c r="N61" s="868"/>
      <c r="O61" s="867"/>
    </row>
    <row r="62" spans="2:15" x14ac:dyDescent="0.25">
      <c r="B62" s="322"/>
      <c r="C62" s="888"/>
      <c r="D62" s="889"/>
      <c r="E62" s="889"/>
      <c r="F62" s="889"/>
      <c r="G62" s="889"/>
      <c r="H62" s="889"/>
      <c r="I62" s="890"/>
      <c r="J62" s="891"/>
      <c r="K62" s="867"/>
      <c r="L62" s="867"/>
      <c r="M62" s="867"/>
      <c r="N62" s="867"/>
      <c r="O62" s="867"/>
    </row>
    <row r="63" spans="2:15" ht="31.5" customHeight="1" x14ac:dyDescent="0.25">
      <c r="B63" s="323" t="s">
        <v>372</v>
      </c>
      <c r="C63" s="892">
        <f>'[16]Business Case'!H82</f>
        <v>0</v>
      </c>
      <c r="D63" s="893"/>
      <c r="E63" s="894"/>
      <c r="F63" s="894"/>
      <c r="G63" s="894"/>
      <c r="H63" s="813" t="s">
        <v>583</v>
      </c>
      <c r="I63" s="814"/>
      <c r="J63" s="891"/>
      <c r="K63" s="867"/>
      <c r="N63" s="867"/>
      <c r="O63" s="867"/>
    </row>
    <row r="64" spans="2:15" ht="18.5" x14ac:dyDescent="0.25">
      <c r="B64" s="773"/>
      <c r="E64" s="864"/>
      <c r="F64" s="864"/>
      <c r="G64" s="865"/>
      <c r="H64" s="865"/>
      <c r="I64" s="866"/>
      <c r="J64" s="798"/>
      <c r="K64" s="867"/>
      <c r="N64" s="867"/>
      <c r="O64" s="867"/>
    </row>
    <row r="65" spans="2:12" x14ac:dyDescent="0.25">
      <c r="B65" s="781" t="s">
        <v>373</v>
      </c>
      <c r="C65" s="895"/>
      <c r="D65" s="895"/>
      <c r="E65" s="895"/>
      <c r="F65" s="895"/>
      <c r="G65" s="895"/>
      <c r="H65" s="895"/>
      <c r="I65" s="896"/>
      <c r="J65" s="798"/>
      <c r="L65" s="815"/>
    </row>
    <row r="66" spans="2:12" x14ac:dyDescent="0.25">
      <c r="B66" s="782"/>
      <c r="C66" s="895"/>
      <c r="D66" s="895"/>
      <c r="E66" s="895"/>
      <c r="F66" s="895"/>
      <c r="G66" s="895"/>
      <c r="H66" s="895"/>
      <c r="I66" s="896"/>
      <c r="J66" s="798"/>
      <c r="L66" s="815"/>
    </row>
    <row r="67" spans="2:12" ht="45" customHeight="1" x14ac:dyDescent="0.25">
      <c r="B67" s="316" t="s">
        <v>374</v>
      </c>
      <c r="C67" s="468" t="str">
        <f>IF(E97=0,"",IF(E94&gt;0,"Red",IF(E95&gt;0,"Amber","Green")))</f>
        <v/>
      </c>
      <c r="D67" s="736" t="s">
        <v>375</v>
      </c>
      <c r="E67" s="736"/>
      <c r="F67" s="736"/>
      <c r="G67" s="736"/>
      <c r="H67" s="897"/>
      <c r="I67" s="737"/>
      <c r="J67" s="818"/>
      <c r="K67" s="815"/>
    </row>
    <row r="68" spans="2:12" x14ac:dyDescent="0.25">
      <c r="B68" s="324"/>
      <c r="C68" s="325"/>
      <c r="D68" s="326"/>
      <c r="E68" s="326"/>
      <c r="F68" s="895"/>
      <c r="G68" s="895"/>
      <c r="H68" s="895"/>
      <c r="I68" s="896"/>
      <c r="J68" s="818"/>
      <c r="K68" s="815"/>
    </row>
    <row r="69" spans="2:12" x14ac:dyDescent="0.25">
      <c r="B69" s="782"/>
      <c r="C69" s="895"/>
      <c r="D69" s="895"/>
      <c r="E69" s="895"/>
      <c r="F69" s="895"/>
      <c r="G69" s="895"/>
      <c r="H69" s="895"/>
      <c r="I69" s="896"/>
      <c r="J69" s="798"/>
    </row>
    <row r="70" spans="2:12" x14ac:dyDescent="0.25">
      <c r="B70" s="781" t="s">
        <v>376</v>
      </c>
      <c r="C70" s="895"/>
      <c r="D70" s="895"/>
      <c r="E70" s="895"/>
      <c r="F70" s="895"/>
      <c r="G70" s="895"/>
      <c r="H70" s="895"/>
      <c r="I70" s="896"/>
      <c r="J70" s="798"/>
    </row>
    <row r="71" spans="2:12" ht="97" customHeight="1" x14ac:dyDescent="0.25">
      <c r="B71" s="898"/>
      <c r="C71" s="899"/>
      <c r="D71" s="899"/>
      <c r="E71" s="899"/>
      <c r="F71" s="899"/>
      <c r="G71" s="899"/>
      <c r="H71" s="900"/>
      <c r="I71" s="901" t="s">
        <v>584</v>
      </c>
      <c r="J71" s="818"/>
    </row>
    <row r="72" spans="2:12" x14ac:dyDescent="0.25">
      <c r="B72" s="773"/>
      <c r="I72" s="774"/>
      <c r="J72" s="798"/>
    </row>
    <row r="73" spans="2:12" x14ac:dyDescent="0.25">
      <c r="B73" s="781" t="s">
        <v>377</v>
      </c>
      <c r="C73" s="798"/>
      <c r="D73" s="798"/>
      <c r="E73" s="798"/>
      <c r="F73" s="798"/>
      <c r="G73" s="798"/>
      <c r="H73" s="798"/>
      <c r="I73" s="821"/>
      <c r="J73" s="798"/>
    </row>
    <row r="74" spans="2:12" ht="86.5" customHeight="1" x14ac:dyDescent="0.25">
      <c r="B74" s="902" t="s">
        <v>585</v>
      </c>
      <c r="C74" s="903"/>
      <c r="D74" s="903"/>
      <c r="E74" s="903"/>
      <c r="F74" s="903"/>
      <c r="G74" s="903"/>
      <c r="H74" s="904"/>
      <c r="I74" s="901" t="s">
        <v>586</v>
      </c>
      <c r="J74" s="818"/>
    </row>
    <row r="75" spans="2:12" x14ac:dyDescent="0.25">
      <c r="B75" s="790"/>
      <c r="C75" s="798"/>
      <c r="D75" s="798"/>
      <c r="E75" s="798"/>
      <c r="F75" s="798"/>
      <c r="G75" s="798"/>
      <c r="H75" s="798"/>
      <c r="I75" s="821"/>
      <c r="J75" s="905"/>
    </row>
    <row r="76" spans="2:12" x14ac:dyDescent="0.25">
      <c r="B76" s="781" t="s">
        <v>378</v>
      </c>
      <c r="C76" s="798"/>
      <c r="D76" s="798"/>
      <c r="E76" s="798"/>
      <c r="F76" s="798"/>
      <c r="G76" s="798"/>
      <c r="H76" s="798"/>
      <c r="I76" s="821"/>
      <c r="J76" s="905"/>
    </row>
    <row r="77" spans="2:12" ht="27" customHeight="1" x14ac:dyDescent="0.25">
      <c r="B77" s="906" t="s">
        <v>379</v>
      </c>
      <c r="C77" s="907"/>
      <c r="D77" s="907"/>
      <c r="E77" s="907"/>
      <c r="F77" s="907"/>
      <c r="G77" s="907"/>
      <c r="H77" s="908"/>
      <c r="I77" s="909"/>
      <c r="J77" s="905"/>
    </row>
    <row r="78" spans="2:12" x14ac:dyDescent="0.25">
      <c r="B78" s="790"/>
      <c r="C78" s="798"/>
      <c r="D78" s="798"/>
      <c r="E78" s="798"/>
      <c r="F78" s="798"/>
      <c r="G78" s="798"/>
      <c r="H78" s="798"/>
      <c r="I78" s="821"/>
      <c r="J78" s="910"/>
    </row>
    <row r="79" spans="2:12" x14ac:dyDescent="0.25">
      <c r="B79" s="781" t="s">
        <v>380</v>
      </c>
      <c r="C79" s="798"/>
      <c r="D79" s="798"/>
      <c r="E79" s="798"/>
      <c r="F79" s="798"/>
      <c r="G79" s="798"/>
      <c r="H79" s="798"/>
      <c r="I79" s="821"/>
      <c r="J79" s="910"/>
    </row>
    <row r="80" spans="2:12" x14ac:dyDescent="0.25">
      <c r="B80" s="790"/>
      <c r="C80" s="798"/>
      <c r="D80" s="798"/>
      <c r="E80" s="798"/>
      <c r="F80" s="798"/>
      <c r="G80" s="798"/>
      <c r="H80" s="798"/>
      <c r="I80" s="821"/>
      <c r="J80" s="910"/>
    </row>
    <row r="81" spans="2:10" x14ac:dyDescent="0.25">
      <c r="B81" s="790" t="s">
        <v>381</v>
      </c>
      <c r="C81" s="911"/>
      <c r="D81" s="912"/>
      <c r="E81" s="913"/>
      <c r="F81" s="913"/>
      <c r="G81" s="798"/>
      <c r="H81" s="798"/>
      <c r="I81" s="821"/>
      <c r="J81" s="910"/>
    </row>
    <row r="82" spans="2:10" x14ac:dyDescent="0.25">
      <c r="B82" s="790" t="s">
        <v>382</v>
      </c>
      <c r="C82" s="914"/>
      <c r="D82" s="914"/>
      <c r="E82" s="915" t="s">
        <v>383</v>
      </c>
      <c r="F82" s="916"/>
      <c r="G82" s="798"/>
      <c r="H82" s="798"/>
      <c r="I82" s="821"/>
      <c r="J82" s="910"/>
    </row>
    <row r="83" spans="2:10" x14ac:dyDescent="0.25">
      <c r="B83" s="790" t="s">
        <v>384</v>
      </c>
      <c r="C83" s="911"/>
      <c r="D83" s="917"/>
      <c r="E83" s="917"/>
      <c r="F83" s="912"/>
      <c r="G83" s="798"/>
      <c r="H83" s="798"/>
      <c r="I83" s="821"/>
      <c r="J83" s="910"/>
    </row>
    <row r="84" spans="2:10" x14ac:dyDescent="0.25">
      <c r="B84" s="790"/>
      <c r="C84" s="798"/>
      <c r="D84" s="798"/>
      <c r="E84" s="798"/>
      <c r="F84" s="798"/>
      <c r="G84" s="798"/>
      <c r="H84" s="798"/>
      <c r="I84" s="821"/>
      <c r="J84" s="910"/>
    </row>
    <row r="85" spans="2:10" x14ac:dyDescent="0.25">
      <c r="B85" s="790" t="s">
        <v>385</v>
      </c>
      <c r="C85" s="798"/>
      <c r="D85" s="798"/>
      <c r="E85" s="798"/>
      <c r="F85" s="798"/>
      <c r="G85" s="798"/>
      <c r="H85" s="798"/>
      <c r="I85" s="821"/>
      <c r="J85" s="910"/>
    </row>
    <row r="86" spans="2:10" x14ac:dyDescent="0.25">
      <c r="B86" s="790"/>
      <c r="C86" s="798"/>
      <c r="D86" s="798"/>
      <c r="E86" s="798"/>
      <c r="F86" s="798"/>
      <c r="G86" s="798"/>
      <c r="H86" s="798"/>
      <c r="I86" s="821"/>
      <c r="J86" s="910"/>
    </row>
    <row r="87" spans="2:10" x14ac:dyDescent="0.25">
      <c r="B87" s="790" t="s">
        <v>386</v>
      </c>
      <c r="C87" s="911"/>
      <c r="D87" s="917"/>
      <c r="E87" s="917"/>
      <c r="F87" s="912"/>
      <c r="G87" s="798"/>
      <c r="H87" s="798"/>
      <c r="I87" s="821"/>
      <c r="J87" s="910"/>
    </row>
    <row r="88" spans="2:10" x14ac:dyDescent="0.25">
      <c r="B88" s="790" t="s">
        <v>387</v>
      </c>
      <c r="C88" s="918"/>
      <c r="D88" s="919"/>
      <c r="E88" s="798"/>
      <c r="F88" s="798"/>
      <c r="G88" s="798"/>
      <c r="H88" s="798"/>
      <c r="I88" s="821"/>
      <c r="J88" s="910"/>
    </row>
    <row r="89" spans="2:10" ht="16" thickBot="1" x14ac:dyDescent="0.3">
      <c r="B89" s="773"/>
      <c r="I89" s="920" t="str">
        <f ca="1">"© Salix "&amp;YEAR(NOW())</f>
        <v>© Salix 2026</v>
      </c>
    </row>
    <row r="90" spans="2:10" ht="16" thickBot="1" x14ac:dyDescent="0.3">
      <c r="B90" s="921"/>
      <c r="C90" s="922"/>
      <c r="D90" s="922"/>
      <c r="E90" s="922"/>
      <c r="F90" s="922"/>
      <c r="G90" s="922"/>
      <c r="H90" s="922"/>
      <c r="I90" s="923"/>
    </row>
    <row r="93" spans="2:10" ht="16" hidden="1" thickBot="1" x14ac:dyDescent="0.35">
      <c r="B93" s="924"/>
      <c r="C93" s="924" t="s">
        <v>388</v>
      </c>
      <c r="D93" s="924" t="s">
        <v>389</v>
      </c>
      <c r="E93" s="925" t="s">
        <v>390</v>
      </c>
    </row>
    <row r="94" spans="2:10" hidden="1" x14ac:dyDescent="0.3">
      <c r="B94" s="926" t="s">
        <v>391</v>
      </c>
      <c r="C94" s="926">
        <v>1</v>
      </c>
      <c r="D94" s="926">
        <f>COUNTIF($B$18:$I$27,"Red")+COUNTIF($B$29:$I$52,"Red")</f>
        <v>0</v>
      </c>
      <c r="E94" s="927">
        <f>C94*D94</f>
        <v>0</v>
      </c>
    </row>
    <row r="95" spans="2:10" hidden="1" x14ac:dyDescent="0.3">
      <c r="B95" s="928" t="s">
        <v>392</v>
      </c>
      <c r="C95" s="928">
        <v>2</v>
      </c>
      <c r="D95" s="928">
        <f>COUNTIF($B$18:$I$27,"Amber")+COUNTIF($B$29:$I$52,"Amber")</f>
        <v>0</v>
      </c>
      <c r="E95" s="927">
        <f>C95*D95</f>
        <v>0</v>
      </c>
    </row>
    <row r="96" spans="2:10" hidden="1" x14ac:dyDescent="0.3">
      <c r="B96" s="926" t="s">
        <v>393</v>
      </c>
      <c r="C96" s="926">
        <v>3</v>
      </c>
      <c r="D96" s="926">
        <f>COUNTIF($B$18:$I$27,"Green")+COUNTIF($B$29:$I$52,"Green")</f>
        <v>0</v>
      </c>
      <c r="E96" s="927">
        <f>C96*D96</f>
        <v>0</v>
      </c>
    </row>
    <row r="97" spans="2:5" ht="16" hidden="1" thickBot="1" x14ac:dyDescent="0.3">
      <c r="B97" s="929" t="s">
        <v>394</v>
      </c>
      <c r="C97" s="929"/>
      <c r="D97" s="930" t="s">
        <v>395</v>
      </c>
      <c r="E97" s="931">
        <f>SUM(E94:E96)</f>
        <v>0</v>
      </c>
    </row>
  </sheetData>
  <sheetProtection formatRows="0"/>
  <mergeCells count="74">
    <mergeCell ref="C88:D88"/>
    <mergeCell ref="B74:H74"/>
    <mergeCell ref="B77:I77"/>
    <mergeCell ref="C81:D81"/>
    <mergeCell ref="C82:D82"/>
    <mergeCell ref="C83:F83"/>
    <mergeCell ref="C87:F87"/>
    <mergeCell ref="D61:G61"/>
    <mergeCell ref="H61:I61"/>
    <mergeCell ref="D63:G63"/>
    <mergeCell ref="H63:I63"/>
    <mergeCell ref="D67:I67"/>
    <mergeCell ref="B71:H71"/>
    <mergeCell ref="B55:B56"/>
    <mergeCell ref="C55:C56"/>
    <mergeCell ref="D55:G56"/>
    <mergeCell ref="H55:I56"/>
    <mergeCell ref="J55:J56"/>
    <mergeCell ref="B58:B59"/>
    <mergeCell ref="C58:C59"/>
    <mergeCell ref="D58:G59"/>
    <mergeCell ref="H58:I59"/>
    <mergeCell ref="J58:J59"/>
    <mergeCell ref="B49:I49"/>
    <mergeCell ref="D50:G50"/>
    <mergeCell ref="H50:I50"/>
    <mergeCell ref="B51:I51"/>
    <mergeCell ref="D52:G52"/>
    <mergeCell ref="H52:I52"/>
    <mergeCell ref="J45:J46"/>
    <mergeCell ref="D46:G46"/>
    <mergeCell ref="H46:I46"/>
    <mergeCell ref="B47:I47"/>
    <mergeCell ref="D48:G48"/>
    <mergeCell ref="H48:I48"/>
    <mergeCell ref="D40:G40"/>
    <mergeCell ref="H40:I40"/>
    <mergeCell ref="B41:I41"/>
    <mergeCell ref="D42:G42"/>
    <mergeCell ref="H42:I42"/>
    <mergeCell ref="D45:G45"/>
    <mergeCell ref="B36:C36"/>
    <mergeCell ref="D36:I36"/>
    <mergeCell ref="B37:I37"/>
    <mergeCell ref="D38:G38"/>
    <mergeCell ref="H38:I38"/>
    <mergeCell ref="B39:I39"/>
    <mergeCell ref="D28:G28"/>
    <mergeCell ref="H28:I28"/>
    <mergeCell ref="D31:G31"/>
    <mergeCell ref="D32:G35"/>
    <mergeCell ref="H32:I35"/>
    <mergeCell ref="J35:J36"/>
    <mergeCell ref="D22:G22"/>
    <mergeCell ref="H22:I22"/>
    <mergeCell ref="D24:G24"/>
    <mergeCell ref="H24:I24"/>
    <mergeCell ref="J24:J25"/>
    <mergeCell ref="D26:G26"/>
    <mergeCell ref="H26:I26"/>
    <mergeCell ref="D17:G17"/>
    <mergeCell ref="H17:I17"/>
    <mergeCell ref="J17:J18"/>
    <mergeCell ref="D18:G18"/>
    <mergeCell ref="H18:I18"/>
    <mergeCell ref="D20:G20"/>
    <mergeCell ref="H20:I20"/>
    <mergeCell ref="B5:I5"/>
    <mergeCell ref="C8:H8"/>
    <mergeCell ref="J8:J10"/>
    <mergeCell ref="C10:H10"/>
    <mergeCell ref="B13:I14"/>
    <mergeCell ref="D16:G16"/>
    <mergeCell ref="H16:I16"/>
  </mergeCells>
  <conditionalFormatting sqref="C18">
    <cfRule type="containsText" dxfId="44" priority="13" operator="containsText" text="Green">
      <formula>NOT(ISERROR(SEARCH("Green",C18)))</formula>
    </cfRule>
    <cfRule type="containsText" dxfId="43" priority="14" operator="containsText" text="Amber">
      <formula>NOT(ISERROR(SEARCH("Amber",C18)))</formula>
    </cfRule>
  </conditionalFormatting>
  <conditionalFormatting sqref="C20">
    <cfRule type="containsText" dxfId="41" priority="40" operator="containsText" text="Green">
      <formula>NOT(ISERROR(SEARCH("Green",C20)))</formula>
    </cfRule>
    <cfRule type="containsText" dxfId="39" priority="41" operator="containsText" text="Amber">
      <formula>NOT(ISERROR(SEARCH("Amber",C20)))</formula>
    </cfRule>
  </conditionalFormatting>
  <conditionalFormatting sqref="C22">
    <cfRule type="containsText" dxfId="37" priority="10" operator="containsText" text="Green">
      <formula>NOT(ISERROR(SEARCH("Green",C22)))</formula>
    </cfRule>
    <cfRule type="containsText" dxfId="38" priority="11" operator="containsText" text="Amber">
      <formula>NOT(ISERROR(SEARCH("Amber",C22)))</formula>
    </cfRule>
  </conditionalFormatting>
  <conditionalFormatting sqref="C24">
    <cfRule type="containsText" dxfId="33" priority="37" operator="containsText" text="Green">
      <formula>NOT(ISERROR(SEARCH("Green",C24)))</formula>
    </cfRule>
    <cfRule type="containsText" dxfId="34" priority="38" operator="containsText" text="Amber">
      <formula>NOT(ISERROR(SEARCH("Amber",C24)))</formula>
    </cfRule>
  </conditionalFormatting>
  <conditionalFormatting sqref="C26">
    <cfRule type="containsText" dxfId="32" priority="7" operator="containsText" text="Green">
      <formula>NOT(ISERROR(SEARCH("Green",C26)))</formula>
    </cfRule>
    <cfRule type="containsText" dxfId="31" priority="8" operator="containsText" text="Amber">
      <formula>NOT(ISERROR(SEARCH("Amber",C26)))</formula>
    </cfRule>
  </conditionalFormatting>
  <conditionalFormatting sqref="C28">
    <cfRule type="containsText" dxfId="27" priority="1" operator="containsText" text="Green">
      <formula>NOT(ISERROR(SEARCH("Green",C28)))</formula>
    </cfRule>
    <cfRule type="containsText" dxfId="29" priority="2" operator="containsText" text="Amber">
      <formula>NOT(ISERROR(SEARCH("Amber",C28)))</formula>
    </cfRule>
  </conditionalFormatting>
  <conditionalFormatting sqref="C32:C35">
    <cfRule type="containsText" dxfId="26" priority="4" operator="containsText" text="Green">
      <formula>NOT(ISERROR(SEARCH("Green",C32)))</formula>
    </cfRule>
    <cfRule type="containsText" dxfId="25" priority="5" operator="containsText" text="Amber">
      <formula>NOT(ISERROR(SEARCH("Amber",C32)))</formula>
    </cfRule>
  </conditionalFormatting>
  <conditionalFormatting sqref="C38">
    <cfRule type="containsText" dxfId="21" priority="34" operator="containsText" text="Green">
      <formula>NOT(ISERROR(SEARCH("Green",C38)))</formula>
    </cfRule>
    <cfRule type="containsText" dxfId="22" priority="35" operator="containsText" text="Amber">
      <formula>NOT(ISERROR(SEARCH("Amber",C38)))</formula>
    </cfRule>
  </conditionalFormatting>
  <conditionalFormatting sqref="C40">
    <cfRule type="containsText" dxfId="20" priority="31" operator="containsText" text="Green">
      <formula>NOT(ISERROR(SEARCH("Green",C40)))</formula>
    </cfRule>
    <cfRule type="containsText" dxfId="19" priority="32" operator="containsText" text="Amber">
      <formula>NOT(ISERROR(SEARCH("Amber",C40)))</formula>
    </cfRule>
  </conditionalFormatting>
  <conditionalFormatting sqref="C42">
    <cfRule type="containsText" dxfId="15" priority="28" operator="containsText" text="Green">
      <formula>NOT(ISERROR(SEARCH("Green",C42)))</formula>
    </cfRule>
    <cfRule type="containsText" dxfId="17" priority="29" operator="containsText" text="Amber">
      <formula>NOT(ISERROR(SEARCH("Amber",C42)))</formula>
    </cfRule>
  </conditionalFormatting>
  <conditionalFormatting sqref="C46">
    <cfRule type="containsText" dxfId="12" priority="25" operator="containsText" text="Green">
      <formula>NOT(ISERROR(SEARCH("Green",C46)))</formula>
    </cfRule>
    <cfRule type="containsText" dxfId="14" priority="26" operator="containsText" text="Amber">
      <formula>NOT(ISERROR(SEARCH("Amber",C46)))</formula>
    </cfRule>
  </conditionalFormatting>
  <conditionalFormatting sqref="C48">
    <cfRule type="containsText" dxfId="10" priority="22" operator="containsText" text="Green">
      <formula>NOT(ISERROR(SEARCH("Green",C48)))</formula>
    </cfRule>
    <cfRule type="containsText" dxfId="9" priority="23" operator="containsText" text="Amber">
      <formula>NOT(ISERROR(SEARCH("Amber",C48)))</formula>
    </cfRule>
  </conditionalFormatting>
  <conditionalFormatting sqref="C50">
    <cfRule type="containsText" dxfId="6" priority="19" operator="containsText" text="Green">
      <formula>NOT(ISERROR(SEARCH("Green",C50)))</formula>
    </cfRule>
    <cfRule type="containsText" dxfId="7" priority="20" operator="containsText" text="Amber">
      <formula>NOT(ISERROR(SEARCH("Amber",C50)))</formula>
    </cfRule>
  </conditionalFormatting>
  <conditionalFormatting sqref="C52">
    <cfRule type="containsText" dxfId="5" priority="16" operator="containsText" text="Green">
      <formula>NOT(ISERROR(SEARCH("Green",C52)))</formula>
    </cfRule>
    <cfRule type="containsText" dxfId="3" priority="17" operator="containsText" text="Amber">
      <formula>NOT(ISERROR(SEARCH("Amber",C52)))</formula>
    </cfRule>
  </conditionalFormatting>
  <conditionalFormatting sqref="C67:C68">
    <cfRule type="containsText" dxfId="2" priority="43" operator="containsText" text="Green">
      <formula>NOT(ISERROR(SEARCH("Green",C67)))</formula>
    </cfRule>
    <cfRule type="containsText" dxfId="1" priority="44" operator="containsText" text="Amber">
      <formula>NOT(ISERROR(SEARCH("Amber",C67)))</formula>
    </cfRule>
  </conditionalFormatting>
  <dataValidations count="6">
    <dataValidation type="list" allowBlank="1" showInputMessage="1" showErrorMessage="1" errorTitle="Entry out of range" sqref="C28" xr:uid="{FDCD11B8-0558-4B1F-B0FD-AA41C45FD422}">
      <formula1>$B$94:$B$97</formula1>
    </dataValidation>
    <dataValidation type="list" allowBlank="1" showInputMessage="1" showErrorMessage="1" errorTitle="Entry out of range" sqref="C18 C20 C22 C24 C26 C32:C35 C38 C40 C42 C46 C48 C50 C52" xr:uid="{E31F21A7-EE70-41CC-8370-F3A558F19BC7}">
      <formula1>$B$94:$B$96</formula1>
    </dataValidation>
    <dataValidation type="whole" allowBlank="1" showInputMessage="1" showErrorMessage="1" sqref="C25" xr:uid="{C9B3ECD5-C64F-4B1B-A0D8-9EC76ECF3AD8}">
      <formula1>0</formula1>
      <formula2>25</formula2>
    </dataValidation>
    <dataValidation type="whole" allowBlank="1" showInputMessage="1" showErrorMessage="1" sqref="C23" xr:uid="{5558525A-EE56-4E74-A7EE-C67AA78DC764}">
      <formula1>0</formula1>
      <formula2>10</formula2>
    </dataValidation>
    <dataValidation type="whole" allowBlank="1" showInputMessage="1" showErrorMessage="1" sqref="C21" xr:uid="{C40515F4-A57C-4409-BDFE-86E3C505ABFC}">
      <formula1>0</formula1>
      <formula2>15</formula2>
    </dataValidation>
    <dataValidation type="whole" allowBlank="1" showInputMessage="1" showErrorMessage="1" errorTitle="Entry out of range" sqref="C19" xr:uid="{342B9A48-4F4A-4FF5-984F-BD9E204EF98B}">
      <formula1>0</formula1>
      <formula2>15</formula2>
    </dataValidation>
  </dataValidations>
  <pageMargins left="0.7" right="0.7" top="0.75" bottom="0.75" header="0.3" footer="0.3"/>
  <pageSetup paperSize="9" scale="45" orientation="portrait" horizontalDpi="4294967294" r:id="rId1"/>
  <headerFooter>
    <oddFooter>&amp;C_x000D_&amp;1#&amp;"Calibri"&amp;10&amp;K000000 AtkinsRéalis - Baseline / Référence</oddFooter>
  </headerFooter>
  <drawing r:id="rId2"/>
  <extLst>
    <ext xmlns:x14="http://schemas.microsoft.com/office/spreadsheetml/2009/9/main" uri="{78C0D931-6437-407d-A8EE-F0AAD7539E65}">
      <x14:conditionalFormattings>
        <x14:conditionalFormatting xmlns:xm="http://schemas.microsoft.com/office/excel/2006/main">
          <x14:cfRule type="containsText" priority="15" operator="containsText" id="{C628BECF-65B4-42E3-AE6B-DC219D52A02B}">
            <xm:f>NOT(ISERROR(SEARCH("Red",C18)))</xm:f>
            <xm:f>"Red"</xm:f>
            <x14:dxf>
              <font>
                <color rgb="FFFF0000"/>
              </font>
              <fill>
                <patternFill>
                  <bgColor rgb="FFFF0000"/>
                </patternFill>
              </fill>
            </x14:dxf>
          </x14:cfRule>
          <xm:sqref>C18</xm:sqref>
        </x14:conditionalFormatting>
        <x14:conditionalFormatting xmlns:xm="http://schemas.microsoft.com/office/excel/2006/main">
          <x14:cfRule type="containsText" priority="42" operator="containsText" id="{70445867-93D5-4C3C-9FFB-4C54078B3A0C}">
            <xm:f>NOT(ISERROR(SEARCH("Red",C20)))</xm:f>
            <xm:f>"Red"</xm:f>
            <x14:dxf>
              <font>
                <color rgb="FFFF0000"/>
              </font>
              <fill>
                <patternFill>
                  <bgColor rgb="FFFF0000"/>
                </patternFill>
              </fill>
            </x14:dxf>
          </x14:cfRule>
          <xm:sqref>C20</xm:sqref>
        </x14:conditionalFormatting>
        <x14:conditionalFormatting xmlns:xm="http://schemas.microsoft.com/office/excel/2006/main">
          <x14:cfRule type="containsText" priority="12" operator="containsText" id="{865CBD76-A7A7-4A70-AD01-8FAAEE385567}">
            <xm:f>NOT(ISERROR(SEARCH("Red",C22)))</xm:f>
            <xm:f>"Red"</xm:f>
            <x14:dxf>
              <font>
                <color rgb="FFFF0000"/>
              </font>
              <fill>
                <patternFill>
                  <bgColor rgb="FFFF0000"/>
                </patternFill>
              </fill>
            </x14:dxf>
          </x14:cfRule>
          <xm:sqref>C22</xm:sqref>
        </x14:conditionalFormatting>
        <x14:conditionalFormatting xmlns:xm="http://schemas.microsoft.com/office/excel/2006/main">
          <x14:cfRule type="containsText" priority="39" operator="containsText" id="{86D4AEB5-101D-4DAA-92F3-47BFF859E436}">
            <xm:f>NOT(ISERROR(SEARCH("Red",C24)))</xm:f>
            <xm:f>"Red"</xm:f>
            <x14:dxf>
              <font>
                <color rgb="FFFF0000"/>
              </font>
              <fill>
                <patternFill>
                  <bgColor rgb="FFFF0000"/>
                </patternFill>
              </fill>
            </x14:dxf>
          </x14:cfRule>
          <xm:sqref>C24</xm:sqref>
        </x14:conditionalFormatting>
        <x14:conditionalFormatting xmlns:xm="http://schemas.microsoft.com/office/excel/2006/main">
          <x14:cfRule type="containsText" priority="9" operator="containsText" id="{63270247-9D4F-4AA9-8FBA-F9D49EE0BF0A}">
            <xm:f>NOT(ISERROR(SEARCH("Red",C26)))</xm:f>
            <xm:f>"Red"</xm:f>
            <x14:dxf>
              <font>
                <color rgb="FFFF0000"/>
              </font>
              <fill>
                <patternFill>
                  <bgColor rgb="FFFF0000"/>
                </patternFill>
              </fill>
            </x14:dxf>
          </x14:cfRule>
          <xm:sqref>C26</xm:sqref>
        </x14:conditionalFormatting>
        <x14:conditionalFormatting xmlns:xm="http://schemas.microsoft.com/office/excel/2006/main">
          <x14:cfRule type="containsText" priority="3" operator="containsText" id="{F1E9842D-9930-4756-899D-DDF53F706831}">
            <xm:f>NOT(ISERROR(SEARCH("Red",C28)))</xm:f>
            <xm:f>"Red"</xm:f>
            <x14:dxf>
              <font>
                <color rgb="FFFF0000"/>
              </font>
              <fill>
                <patternFill>
                  <bgColor rgb="FFFF0000"/>
                </patternFill>
              </fill>
            </x14:dxf>
          </x14:cfRule>
          <xm:sqref>C28</xm:sqref>
        </x14:conditionalFormatting>
        <x14:conditionalFormatting xmlns:xm="http://schemas.microsoft.com/office/excel/2006/main">
          <x14:cfRule type="containsText" priority="6" operator="containsText" id="{AFC10086-1303-4587-BC28-8C9E4B8ECDC3}">
            <xm:f>NOT(ISERROR(SEARCH("Red",C32)))</xm:f>
            <xm:f>"Red"</xm:f>
            <x14:dxf>
              <font>
                <color rgb="FFFF0000"/>
              </font>
              <fill>
                <patternFill>
                  <bgColor rgb="FFFF0000"/>
                </patternFill>
              </fill>
            </x14:dxf>
          </x14:cfRule>
          <xm:sqref>C32:C35</xm:sqref>
        </x14:conditionalFormatting>
        <x14:conditionalFormatting xmlns:xm="http://schemas.microsoft.com/office/excel/2006/main">
          <x14:cfRule type="containsText" priority="36" operator="containsText" id="{4F0703ED-5D4A-47A4-8A65-136D376D6970}">
            <xm:f>NOT(ISERROR(SEARCH("Red",C38)))</xm:f>
            <xm:f>"Red"</xm:f>
            <x14:dxf>
              <font>
                <color rgb="FFFF0000"/>
              </font>
              <fill>
                <patternFill>
                  <bgColor rgb="FFFF0000"/>
                </patternFill>
              </fill>
            </x14:dxf>
          </x14:cfRule>
          <xm:sqref>C38</xm:sqref>
        </x14:conditionalFormatting>
        <x14:conditionalFormatting xmlns:xm="http://schemas.microsoft.com/office/excel/2006/main">
          <x14:cfRule type="containsText" priority="33" operator="containsText" id="{DC4D2AA0-3096-4411-A6E4-5901EE488DAA}">
            <xm:f>NOT(ISERROR(SEARCH("Red",C40)))</xm:f>
            <xm:f>"Red"</xm:f>
            <x14:dxf>
              <font>
                <color rgb="FFFF0000"/>
              </font>
              <fill>
                <patternFill>
                  <bgColor rgb="FFFF0000"/>
                </patternFill>
              </fill>
            </x14:dxf>
          </x14:cfRule>
          <xm:sqref>C40</xm:sqref>
        </x14:conditionalFormatting>
        <x14:conditionalFormatting xmlns:xm="http://schemas.microsoft.com/office/excel/2006/main">
          <x14:cfRule type="containsText" priority="30" operator="containsText" id="{FB80E04E-D655-4F40-8A2D-E950403A2C87}">
            <xm:f>NOT(ISERROR(SEARCH("Red",C42)))</xm:f>
            <xm:f>"Red"</xm:f>
            <x14:dxf>
              <font>
                <color rgb="FFFF0000"/>
              </font>
              <fill>
                <patternFill>
                  <bgColor rgb="FFFF0000"/>
                </patternFill>
              </fill>
            </x14:dxf>
          </x14:cfRule>
          <xm:sqref>C42</xm:sqref>
        </x14:conditionalFormatting>
        <x14:conditionalFormatting xmlns:xm="http://schemas.microsoft.com/office/excel/2006/main">
          <x14:cfRule type="containsText" priority="27" operator="containsText" id="{1A9B2CC5-7F0B-4710-B6C7-8B99BB7E7E4C}">
            <xm:f>NOT(ISERROR(SEARCH("Red",C46)))</xm:f>
            <xm:f>"Red"</xm:f>
            <x14:dxf>
              <font>
                <color rgb="FFFF0000"/>
              </font>
              <fill>
                <patternFill>
                  <bgColor rgb="FFFF0000"/>
                </patternFill>
              </fill>
            </x14:dxf>
          </x14:cfRule>
          <xm:sqref>C46</xm:sqref>
        </x14:conditionalFormatting>
        <x14:conditionalFormatting xmlns:xm="http://schemas.microsoft.com/office/excel/2006/main">
          <x14:cfRule type="containsText" priority="24" operator="containsText" id="{F4D0CB84-3038-4F2C-A1F7-BC84F432A3A4}">
            <xm:f>NOT(ISERROR(SEARCH("Red",C48)))</xm:f>
            <xm:f>"Red"</xm:f>
            <x14:dxf>
              <font>
                <color rgb="FFFF0000"/>
              </font>
              <fill>
                <patternFill>
                  <bgColor rgb="FFFF0000"/>
                </patternFill>
              </fill>
            </x14:dxf>
          </x14:cfRule>
          <xm:sqref>C48</xm:sqref>
        </x14:conditionalFormatting>
        <x14:conditionalFormatting xmlns:xm="http://schemas.microsoft.com/office/excel/2006/main">
          <x14:cfRule type="containsText" priority="21" operator="containsText" id="{54EB37A9-A6A8-4F38-B459-D65B1ADB5291}">
            <xm:f>NOT(ISERROR(SEARCH("Red",C50)))</xm:f>
            <xm:f>"Red"</xm:f>
            <x14:dxf>
              <font>
                <color rgb="FFFF0000"/>
              </font>
              <fill>
                <patternFill>
                  <bgColor rgb="FFFF0000"/>
                </patternFill>
              </fill>
            </x14:dxf>
          </x14:cfRule>
          <xm:sqref>C50</xm:sqref>
        </x14:conditionalFormatting>
        <x14:conditionalFormatting xmlns:xm="http://schemas.microsoft.com/office/excel/2006/main">
          <x14:cfRule type="containsText" priority="18" operator="containsText" id="{787D7328-5859-49B0-9DF9-F251EF12D77D}">
            <xm:f>NOT(ISERROR(SEARCH("Red",C52)))</xm:f>
            <xm:f>"Red"</xm:f>
            <x14:dxf>
              <font>
                <color rgb="FFFF0000"/>
              </font>
              <fill>
                <patternFill>
                  <bgColor rgb="FFFF0000"/>
                </patternFill>
              </fill>
            </x14:dxf>
          </x14:cfRule>
          <xm:sqref>C52</xm:sqref>
        </x14:conditionalFormatting>
        <x14:conditionalFormatting xmlns:xm="http://schemas.microsoft.com/office/excel/2006/main">
          <x14:cfRule type="containsText" priority="45" operator="containsText" id="{0C43522C-DC28-4F43-AC71-CF3C71386393}">
            <xm:f>NOT(ISERROR(SEARCH("Red",C67)))</xm:f>
            <xm:f>"Red"</xm:f>
            <x14:dxf>
              <font>
                <color rgb="FFFF0000"/>
              </font>
              <fill>
                <patternFill>
                  <bgColor rgb="FFFF0000"/>
                </patternFill>
              </fill>
            </x14:dxf>
          </x14:cfRule>
          <xm:sqref>C67:C68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2DAE76"/>
    <pageSetUpPr fitToPage="1"/>
  </sheetPr>
  <dimension ref="B1:AR45"/>
  <sheetViews>
    <sheetView showGridLines="0" showRowColHeaders="0" zoomScale="115" zoomScaleNormal="115" workbookViewId="0">
      <selection activeCell="P32" sqref="P32"/>
    </sheetView>
  </sheetViews>
  <sheetFormatPr defaultColWidth="9.1796875" defaultRowHeight="16" x14ac:dyDescent="0.5"/>
  <cols>
    <col min="1" max="16384" width="9.1796875" style="3"/>
  </cols>
  <sheetData>
    <row r="1" spans="2:12" ht="16.5" thickBot="1" x14ac:dyDescent="0.55000000000000004"/>
    <row r="2" spans="2:12" ht="54.75" customHeight="1" thickBot="1" x14ac:dyDescent="0.55000000000000004">
      <c r="B2" s="312" t="s">
        <v>396</v>
      </c>
      <c r="C2" s="313"/>
      <c r="D2" s="313"/>
      <c r="E2" s="313"/>
      <c r="F2" s="313"/>
      <c r="G2" s="313"/>
      <c r="H2" s="313"/>
      <c r="I2" s="313"/>
      <c r="J2" s="313"/>
      <c r="K2" s="313"/>
      <c r="L2" s="314"/>
    </row>
    <row r="3" spans="2:12" ht="12.75" customHeight="1" x14ac:dyDescent="0.5">
      <c r="B3" s="750" t="s">
        <v>397</v>
      </c>
      <c r="C3" s="751"/>
      <c r="D3" s="751"/>
      <c r="E3" s="751"/>
      <c r="F3" s="751"/>
      <c r="G3" s="751"/>
      <c r="H3" s="751"/>
      <c r="I3" s="751"/>
      <c r="J3" s="751"/>
      <c r="K3" s="751"/>
      <c r="L3" s="752"/>
    </row>
    <row r="4" spans="2:12" x14ac:dyDescent="0.5">
      <c r="B4" s="750"/>
      <c r="C4" s="751"/>
      <c r="D4" s="751"/>
      <c r="E4" s="751"/>
      <c r="F4" s="751"/>
      <c r="G4" s="751"/>
      <c r="H4" s="751"/>
      <c r="I4" s="751"/>
      <c r="J4" s="751"/>
      <c r="K4" s="751"/>
      <c r="L4" s="752"/>
    </row>
    <row r="5" spans="2:12" x14ac:dyDescent="0.5">
      <c r="B5" s="750"/>
      <c r="C5" s="751"/>
      <c r="D5" s="751"/>
      <c r="E5" s="751"/>
      <c r="F5" s="751"/>
      <c r="G5" s="751"/>
      <c r="H5" s="751"/>
      <c r="I5" s="751"/>
      <c r="J5" s="751"/>
      <c r="K5" s="751"/>
      <c r="L5" s="752"/>
    </row>
    <row r="6" spans="2:12" ht="30.75" customHeight="1" x14ac:dyDescent="0.5">
      <c r="B6" s="750"/>
      <c r="C6" s="751"/>
      <c r="D6" s="751"/>
      <c r="E6" s="751"/>
      <c r="F6" s="751"/>
      <c r="G6" s="751"/>
      <c r="H6" s="751"/>
      <c r="I6" s="751"/>
      <c r="J6" s="751"/>
      <c r="K6" s="751"/>
      <c r="L6" s="752"/>
    </row>
    <row r="7" spans="2:12" ht="133.5" customHeight="1" thickBot="1" x14ac:dyDescent="0.55000000000000004">
      <c r="B7" s="753"/>
      <c r="C7" s="754"/>
      <c r="D7" s="754"/>
      <c r="E7" s="754"/>
      <c r="F7" s="754"/>
      <c r="G7" s="754"/>
      <c r="H7" s="754"/>
      <c r="I7" s="754"/>
      <c r="J7" s="754"/>
      <c r="K7" s="754"/>
      <c r="L7" s="755"/>
    </row>
    <row r="8" spans="2:12" s="4" customFormat="1" ht="13.5" customHeight="1" thickBot="1" x14ac:dyDescent="0.3">
      <c r="B8" s="756"/>
      <c r="C8" s="757"/>
      <c r="D8" s="757"/>
      <c r="E8" s="757"/>
      <c r="F8" s="757"/>
      <c r="G8" s="757"/>
      <c r="H8" s="757"/>
      <c r="I8" s="757"/>
      <c r="J8" s="757"/>
      <c r="K8" s="757"/>
      <c r="L8" s="758"/>
    </row>
    <row r="9" spans="2:12" x14ac:dyDescent="0.5">
      <c r="B9" s="251"/>
    </row>
    <row r="10" spans="2:12" s="4" customFormat="1" ht="13.5" customHeight="1" x14ac:dyDescent="0.25"/>
    <row r="11" spans="2:12" s="4" customFormat="1" ht="19.5" customHeight="1" x14ac:dyDescent="0.25">
      <c r="B11" s="247"/>
    </row>
    <row r="42" spans="18:44" x14ac:dyDescent="0.5">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row>
    <row r="44" spans="18:44" x14ac:dyDescent="0.5">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row>
    <row r="45" spans="18:44" x14ac:dyDescent="0.5">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row>
  </sheetData>
  <sheetProtection algorithmName="SHA-512" hashValue="p+M8PlRkpuFkGzlOfrASmTmPB4SPdZEx79Psw5p2JXviKnVjBXuz6hz99FPSiWxvCm2p3VScJl/LvpP0OrbiHQ==" saltValue="3chE8/15GioE5o01S475Xg==" spinCount="100000" sheet="1" selectLockedCells="1" selectUnlockedCells="1"/>
  <mergeCells count="2">
    <mergeCell ref="B3:L7"/>
    <mergeCell ref="B8:L8"/>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E9356-DE73-436B-A98A-0A2AD783CD24}">
  <dimension ref="A1:AC38"/>
  <sheetViews>
    <sheetView zoomScale="80" zoomScaleNormal="80" workbookViewId="0">
      <selection activeCell="Z14" sqref="Z14"/>
    </sheetView>
  </sheetViews>
  <sheetFormatPr defaultRowHeight="12.5" x14ac:dyDescent="0.25"/>
  <cols>
    <col min="1" max="1" width="8.26953125" customWidth="1"/>
    <col min="2" max="2" width="11" customWidth="1"/>
    <col min="3" max="3" width="11.54296875" customWidth="1"/>
    <col min="4" max="4" width="10" customWidth="1"/>
    <col min="5" max="5" width="9.54296875" customWidth="1"/>
    <col min="6" max="7" width="10.26953125" customWidth="1"/>
    <col min="8" max="8" width="11.26953125" customWidth="1"/>
    <col min="9" max="9" width="10.7265625" customWidth="1"/>
    <col min="10" max="10" width="8.7265625" customWidth="1"/>
    <col min="11" max="11" width="9.54296875" customWidth="1"/>
    <col min="12" max="13" width="8.26953125" customWidth="1"/>
    <col min="14" max="14" width="9.7265625" customWidth="1"/>
    <col min="15" max="15" width="11.453125" customWidth="1"/>
    <col min="16" max="16" width="10.453125" customWidth="1"/>
    <col min="17" max="17" width="11.7265625" customWidth="1"/>
    <col min="18" max="18" width="11.54296875" customWidth="1"/>
    <col min="19" max="19" width="8.26953125" customWidth="1"/>
    <col min="20" max="20" width="10.26953125" customWidth="1"/>
    <col min="21" max="26" width="8.26953125" customWidth="1"/>
    <col min="27" max="27" width="11.453125" customWidth="1"/>
    <col min="28" max="28" width="10.453125" customWidth="1"/>
    <col min="29" max="29" width="1.7265625" customWidth="1"/>
    <col min="30" max="30" width="13.26953125" customWidth="1"/>
    <col min="31" max="31" width="10.7265625" customWidth="1"/>
    <col min="33" max="33" width="11.7265625" customWidth="1"/>
    <col min="34" max="34" width="12.26953125" customWidth="1"/>
    <col min="35" max="35" width="10.453125" customWidth="1"/>
  </cols>
  <sheetData>
    <row r="1" spans="1:29" ht="26" x14ac:dyDescent="0.25">
      <c r="A1" s="572" t="s">
        <v>398</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row>
    <row r="2" spans="1:29" ht="13" x14ac:dyDescent="0.25">
      <c r="A2" s="573"/>
      <c r="B2" s="45"/>
      <c r="C2" s="45"/>
      <c r="D2" s="45"/>
      <c r="E2" s="45"/>
      <c r="F2" s="47"/>
      <c r="G2" s="45"/>
      <c r="H2" s="48"/>
      <c r="I2" s="49"/>
      <c r="J2" s="45"/>
      <c r="K2" s="45"/>
      <c r="L2" s="45"/>
      <c r="M2" s="45"/>
      <c r="N2" s="45"/>
      <c r="O2" s="45"/>
      <c r="P2" s="45"/>
      <c r="Q2" s="45"/>
      <c r="R2" s="45"/>
      <c r="S2" s="45"/>
      <c r="T2" s="50"/>
      <c r="U2" s="45"/>
      <c r="V2" s="51"/>
      <c r="W2" s="45"/>
      <c r="X2" s="45"/>
      <c r="Y2" s="51"/>
      <c r="Z2" s="51"/>
      <c r="AA2" s="45"/>
      <c r="AB2" s="45"/>
      <c r="AC2" s="45"/>
    </row>
    <row r="3" spans="1:29" ht="13" x14ac:dyDescent="0.25">
      <c r="A3" s="45"/>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row>
    <row r="4" spans="1:29" ht="26" x14ac:dyDescent="0.25">
      <c r="A4" s="52" t="s">
        <v>399</v>
      </c>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row>
    <row r="5" spans="1:29" ht="13" x14ac:dyDescent="0.25">
      <c r="A5" s="45"/>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row>
    <row r="6" spans="1:29" ht="57.65" customHeight="1" x14ac:dyDescent="0.25">
      <c r="A6" s="574" t="s">
        <v>400</v>
      </c>
      <c r="B6" s="574" t="s">
        <v>401</v>
      </c>
      <c r="C6" s="574" t="s">
        <v>402</v>
      </c>
      <c r="D6" s="574" t="s">
        <v>403</v>
      </c>
      <c r="E6" s="574" t="s">
        <v>404</v>
      </c>
      <c r="F6" s="574" t="s">
        <v>405</v>
      </c>
      <c r="G6" s="574" t="s">
        <v>406</v>
      </c>
      <c r="H6" s="574" t="s">
        <v>407</v>
      </c>
      <c r="I6" s="574" t="s">
        <v>408</v>
      </c>
      <c r="J6" s="574" t="s">
        <v>409</v>
      </c>
      <c r="K6" s="574" t="s">
        <v>410</v>
      </c>
      <c r="L6" s="574" t="s">
        <v>172</v>
      </c>
      <c r="M6" s="574" t="s">
        <v>173</v>
      </c>
      <c r="N6" s="574" t="s">
        <v>23</v>
      </c>
      <c r="O6" s="574" t="s">
        <v>24</v>
      </c>
      <c r="P6" s="574" t="s">
        <v>411</v>
      </c>
      <c r="Q6" s="574" t="s">
        <v>412</v>
      </c>
      <c r="R6" s="574" t="s">
        <v>413</v>
      </c>
      <c r="S6" s="574" t="s">
        <v>178</v>
      </c>
      <c r="T6" s="574" t="s">
        <v>180</v>
      </c>
      <c r="U6" s="574" t="s">
        <v>414</v>
      </c>
      <c r="V6" s="574" t="s">
        <v>415</v>
      </c>
      <c r="W6" s="574" t="s">
        <v>416</v>
      </c>
      <c r="X6" s="574" t="s">
        <v>186</v>
      </c>
      <c r="Y6" s="574" t="s">
        <v>417</v>
      </c>
      <c r="Z6" s="574" t="s">
        <v>418</v>
      </c>
      <c r="AA6" s="574" t="s">
        <v>419</v>
      </c>
      <c r="AB6" s="574" t="s">
        <v>250</v>
      </c>
    </row>
    <row r="7" spans="1:29" ht="113.15" customHeight="1" x14ac:dyDescent="0.25">
      <c r="A7" s="573" t="s">
        <v>420</v>
      </c>
      <c r="B7" s="575">
        <f>'Project Compliance Tool'!C9</f>
        <v>0</v>
      </c>
      <c r="C7" s="575">
        <f>'Project Compliance Tool'!D9</f>
        <v>0</v>
      </c>
      <c r="D7" s="576">
        <f>IF('Project Compliance Tool'!E9="", 0, '[3]Project Compliance Tool'!E9)</f>
        <v>0</v>
      </c>
      <c r="E7" s="577">
        <f>'Project Compliance Tool'!F9</f>
        <v>0</v>
      </c>
      <c r="F7" s="577">
        <f>'Project Compliance Tool'!G9</f>
        <v>0</v>
      </c>
      <c r="G7" s="578">
        <f>'Project Compliance Tool'!O67</f>
        <v>0</v>
      </c>
      <c r="H7" s="578">
        <f>'Project Compliance Tool'!N67</f>
        <v>0</v>
      </c>
      <c r="I7" s="579" t="str">
        <f>IF(G7=0, "", ROUND(H7 / G7, 2) * 100 &amp; "%")</f>
        <v/>
      </c>
      <c r="J7" s="576" t="e" cm="1">
        <f t="array" ref="J7">IF(COUNTA(_xlfn.UNIQUE(_xlfn._xlws.FILTER('Project Compliance Tool'!D12:D26, 'Project Compliance Tool'!D12:D26&lt;&gt;""))) = 1, INDEX('Project Compliance Tool'!D12:D26, MATCH(TRUE, 'Project Compliance Tool'!D12:D26&lt;&gt;"", 0)), _xlfn.TEXTJOIN(", ", TRUE, _xlfn.UNIQUE(_xlfn._xlws.FILTER('Project Compliance Tool'!D12:D26, 'Project Compliance Tool'!D12:D26&lt;&gt;""))))</f>
        <v>#N/A</v>
      </c>
      <c r="K7" s="576" t="e" cm="1">
        <f t="array" ref="K7">IF(COUNTA(_xlfn.UNIQUE(_xlfn._xlws.FILTER('Project Compliance Tool'!E12:E26, 'Project Compliance Tool'!E12:E26&lt;&gt;""))) = 1, INDEX('Project Compliance Tool'!E12:E26, MATCH(TRUE, 'Project Compliance Tool'!E12:E26&lt;&gt;"", 0)),"MPS")</f>
        <v>#N/A</v>
      </c>
      <c r="L7" s="576" t="e" cm="1">
        <f t="array" ref="L7">IF(COUNTA(_xlfn.UNIQUE(_xlfn._xlws.FILTER('Project Compliance Tool'!F12:F26, 'Project Compliance Tool'!F12:F26&lt;&gt;""))) = 1, INDEX('Project Compliance Tool'!F12:F26, MATCH(TRUE, 'Project Compliance Tool'!F12:F26&lt;&gt;"", 0)),"MPS")</f>
        <v>#N/A</v>
      </c>
      <c r="M7" s="579" t="e" cm="1">
        <f t="array" ref="M7">IF(COUNTA(_xlfn.UNIQUE(_xlfn._xlws.FILTER('Project Compliance Tool'!G12:G26, 'Project Compliance Tool'!G12:G26&lt;&gt;""))) = 1, INDEX('Project Compliance Tool'!G12:G26, MATCH(TRUE, 'Project Compliance Tool'!G12:G26&lt;&gt;"", 0)), "MPS")</f>
        <v>#N/A</v>
      </c>
      <c r="N7" s="576" t="e" cm="1" vm="1">
        <f t="array" ref="N7">_xlfn.TEXTJOIN(", ", TRUE, _xlfn._xlws.SORT(_xlfn.UNIQUE(_xlfn._xlws.FILTER('Project Compliance Tool'!H12:H26, 'Project Compliance Tool'!H12:H26&lt;&gt;""))))</f>
        <v>#VALUE!</v>
      </c>
      <c r="O7" s="576" t="e" cm="1">
        <f t="array" ref="O7">IF(COUNTA(_xlfn.UNIQUE(_xlfn._xlws.FILTER('Project Compliance Tool'!I12:I26, 'Project Compliance Tool'!I12:I26&lt;&gt;""))) = 1, INDEX('Project Compliance Tool'!I12:I26, MATCH(TRUE, 'Project Compliance Tool'!I12:I26&lt;&gt;"", 0)), _xlfn.TEXTJOIN(", ", TRUE, _xlfn.UNIQUE(_xlfn._xlws.FILTER('Project Compliance Tool'!I12:I26, 'Project Compliance Tool'!I12:I26&lt;&gt;""))))</f>
        <v>#N/A</v>
      </c>
      <c r="P7" s="580">
        <f>SUM('Project Compliance Tool'!K12:K26)</f>
        <v>0</v>
      </c>
      <c r="Q7" s="580">
        <f>SUM('Project Compliance Tool'!L12:L26)</f>
        <v>0</v>
      </c>
      <c r="R7" s="580">
        <f>SUM('Project Compliance Tool'!M12:M26)</f>
        <v>0</v>
      </c>
      <c r="S7" s="579" t="str">
        <f>IF(SUM('Project Compliance Tool'!M12:M26)=0, "", SUMPRODUCT('Project Compliance Tool'!N12:N26, 'Project Compliance Tool'!M12:M26) / SUM('Project Compliance Tool'!M12:M26))</f>
        <v/>
      </c>
      <c r="T7" s="578" t="str">
        <f>'Project Compliance Tool'!P65</f>
        <v/>
      </c>
      <c r="U7" s="581" t="str">
        <f>'Project Compliance Tool'!Q65</f>
        <v/>
      </c>
      <c r="V7" s="581" t="str">
        <f>'Project Compliance Tool'!R65</f>
        <v/>
      </c>
      <c r="W7" s="581" t="str">
        <f>'Project Compliance Tool'!S65</f>
        <v/>
      </c>
      <c r="X7" s="576" t="e" cm="1" vm="1">
        <f t="array" ref="X7">IF(COUNTA(_xlfn.UNIQUE(_xlfn._xlws.FILTER('Project Compliance Tool'!W12:W26, 'Project Compliance Tool'!W12:W26&lt;&gt;"")))=1, INDEX(_xlfn.UNIQUE(_xlfn._xlws.FILTER('Project Compliance Tool'!W12:W26, 'Project Compliance Tool'!W12:W26&lt;&gt;"")), 1), "MPS")</f>
        <v>#VALUE!</v>
      </c>
      <c r="Y7" s="582" t="str">
        <f>'Project Compliance Tool'!T65</f>
        <v/>
      </c>
      <c r="Z7" s="582" t="str">
        <f>'Project Compliance Tool'!U65</f>
        <v/>
      </c>
      <c r="AA7" s="578" cm="1">
        <f t="array" ref="AA7">SUMPRODUCT('Project Compliance Tool'!P12:P26, 'Project Compliance Tool'!W12:W26, --('Project Compliance Tool'!Q12:Q26&lt;&gt;""))</f>
        <v>0</v>
      </c>
      <c r="AB7" s="582" t="str">
        <f>'Project Compliance Tool'!V65</f>
        <v>Please Select Programme</v>
      </c>
    </row>
    <row r="10" spans="1:29" ht="13" x14ac:dyDescent="0.25">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row>
    <row r="11" spans="1:29" ht="26" x14ac:dyDescent="0.25">
      <c r="A11" s="52" t="s">
        <v>421</v>
      </c>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row>
    <row r="12" spans="1:29" ht="13" x14ac:dyDescent="0.25">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row>
    <row r="13" spans="1:29" ht="52" x14ac:dyDescent="0.25">
      <c r="A13" s="574" t="s">
        <v>400</v>
      </c>
      <c r="B13" s="574" t="s">
        <v>422</v>
      </c>
      <c r="C13" s="574" t="s">
        <v>423</v>
      </c>
      <c r="D13" s="574" t="s">
        <v>424</v>
      </c>
      <c r="E13" s="574" t="s">
        <v>172</v>
      </c>
      <c r="F13" s="574" t="s">
        <v>173</v>
      </c>
      <c r="G13" s="574" t="s">
        <v>23</v>
      </c>
      <c r="H13" s="574" t="s">
        <v>174</v>
      </c>
      <c r="I13" s="574" t="s">
        <v>175</v>
      </c>
      <c r="J13" s="574" t="s">
        <v>176</v>
      </c>
      <c r="K13" s="574" t="s">
        <v>177</v>
      </c>
      <c r="L13" s="574" t="s">
        <v>178</v>
      </c>
      <c r="M13" s="574" t="s">
        <v>186</v>
      </c>
      <c r="N13" s="574" t="s">
        <v>425</v>
      </c>
      <c r="O13" s="574" t="s">
        <v>416</v>
      </c>
      <c r="P13" s="574" t="s">
        <v>426</v>
      </c>
      <c r="Q13" s="574" t="s">
        <v>419</v>
      </c>
      <c r="R13" s="574" t="s">
        <v>427</v>
      </c>
      <c r="S13" s="45"/>
      <c r="T13" s="574" t="s">
        <v>428</v>
      </c>
      <c r="U13" s="574" t="s">
        <v>429</v>
      </c>
      <c r="V13" s="45"/>
      <c r="W13" s="45"/>
      <c r="X13" s="45"/>
      <c r="Y13" s="45"/>
      <c r="Z13" s="45"/>
      <c r="AA13" s="45"/>
      <c r="AB13" s="45"/>
      <c r="AC13" s="45"/>
    </row>
    <row r="14" spans="1:29" ht="13" x14ac:dyDescent="0.25">
      <c r="A14" s="573" t="s">
        <v>420</v>
      </c>
      <c r="B14" s="576" t="str">
        <f>IF(AND(U14&lt;&gt;"", T14&lt;&gt;""), U14 &amp; T14, "")</f>
        <v/>
      </c>
      <c r="C14" s="576">
        <f>'Project Compliance Tool'!D12</f>
        <v>0</v>
      </c>
      <c r="D14" s="583">
        <f>'Project Compliance Tool'!E12</f>
        <v>0</v>
      </c>
      <c r="E14" s="583">
        <f>'Project Compliance Tool'!F12</f>
        <v>0</v>
      </c>
      <c r="F14" s="584" t="str">
        <f>'Project Compliance Tool'!G12</f>
        <v/>
      </c>
      <c r="G14" s="576">
        <f>'Project Compliance Tool'!H12</f>
        <v>0</v>
      </c>
      <c r="H14" s="576">
        <f>'Project Compliance Tool'!I12</f>
        <v>0</v>
      </c>
      <c r="I14" s="580">
        <f>'Project Compliance Tool'!K12</f>
        <v>0</v>
      </c>
      <c r="J14" s="580">
        <f>'Project Compliance Tool'!L12</f>
        <v>0</v>
      </c>
      <c r="K14" s="580" t="str">
        <f>'Project Compliance Tool'!M12</f>
        <v/>
      </c>
      <c r="L14" s="585">
        <f>'Project Compliance Tool'!N12</f>
        <v>0</v>
      </c>
      <c r="M14" s="583" t="str">
        <f>'Project Compliance Tool'!W12</f>
        <v/>
      </c>
      <c r="N14" s="578" t="str">
        <f>'Project Compliance Tool'!P12</f>
        <v/>
      </c>
      <c r="O14" s="583" t="str">
        <f>'Project Compliance Tool'!S12</f>
        <v/>
      </c>
      <c r="P14" s="583" t="str">
        <f>'Project Compliance Tool'!T12</f>
        <v/>
      </c>
      <c r="Q14" s="578">
        <f>IF(OR(M14="", N14=""), 0, M14 * N14)</f>
        <v>0</v>
      </c>
      <c r="R14" s="578">
        <f>'Project Compliance Tool'!O12</f>
        <v>0</v>
      </c>
      <c r="S14" s="45"/>
      <c r="T14" s="576" t="str">
        <f>IF(U14&lt;&gt;"", COUNTIF(U$14:U14, U14), "")</f>
        <v/>
      </c>
      <c r="U14" s="576" t="str">
        <f>UPPER(LEFT('Project Compliance Tool'!D12,1) &amp; IFERROR(MID('Project Compliance Tool'!D12,FIND(" ",'Project Compliance Tool'!D12)+1,1),""))</f>
        <v/>
      </c>
      <c r="V14" s="64">
        <v>1</v>
      </c>
      <c r="W14" s="64" t="e">
        <v>#VALUE!</v>
      </c>
      <c r="X14" s="45"/>
      <c r="Y14" s="45"/>
      <c r="Z14" s="45"/>
      <c r="AA14" s="45"/>
      <c r="AB14" s="45"/>
      <c r="AC14" s="45"/>
    </row>
    <row r="15" spans="1:29" ht="13" x14ac:dyDescent="0.25">
      <c r="A15" s="573" t="s">
        <v>420</v>
      </c>
      <c r="B15" s="576" t="str">
        <f>IF(AND(U15&lt;&gt;"", T15&lt;&gt;""), U15 &amp; T15, "")</f>
        <v/>
      </c>
      <c r="C15" s="576">
        <f>'Project Compliance Tool'!D13</f>
        <v>0</v>
      </c>
      <c r="D15" s="583">
        <f>'Project Compliance Tool'!E13</f>
        <v>0</v>
      </c>
      <c r="E15" s="583">
        <f>'Project Compliance Tool'!F13</f>
        <v>0</v>
      </c>
      <c r="F15" s="584" t="str">
        <f>'Project Compliance Tool'!G13</f>
        <v/>
      </c>
      <c r="G15" s="576">
        <f>'Project Compliance Tool'!H13</f>
        <v>0</v>
      </c>
      <c r="H15" s="576">
        <f>'Project Compliance Tool'!I13</f>
        <v>0</v>
      </c>
      <c r="I15" s="580">
        <f>'Project Compliance Tool'!K13</f>
        <v>0</v>
      </c>
      <c r="J15" s="580">
        <f>'Project Compliance Tool'!L13</f>
        <v>0</v>
      </c>
      <c r="K15" s="580" t="str">
        <f>'Project Compliance Tool'!M13</f>
        <v/>
      </c>
      <c r="L15" s="585">
        <f>'Project Compliance Tool'!N13</f>
        <v>0</v>
      </c>
      <c r="M15" s="583" t="str">
        <f>'Project Compliance Tool'!W13</f>
        <v/>
      </c>
      <c r="N15" s="578" t="str">
        <f>'Project Compliance Tool'!P13</f>
        <v/>
      </c>
      <c r="O15" s="583" t="str">
        <f>'Project Compliance Tool'!S13</f>
        <v/>
      </c>
      <c r="P15" s="583" t="str">
        <f>'Project Compliance Tool'!T13</f>
        <v/>
      </c>
      <c r="Q15" s="578">
        <f>IF(OR(M15="", N15=""), 0, M15 * N15)</f>
        <v>0</v>
      </c>
      <c r="R15" s="578">
        <f>'Project Compliance Tool'!O13</f>
        <v>0</v>
      </c>
      <c r="S15" s="45"/>
      <c r="T15" s="576" t="str">
        <f>IF(U15&lt;&gt;"", COUNTIF(U$14:U15, U15), "")</f>
        <v/>
      </c>
      <c r="U15" s="576" t="str">
        <f>UPPER(LEFT('Project Compliance Tool'!D13,1) &amp; IFERROR(MID('Project Compliance Tool'!D13,FIND(" ",'Project Compliance Tool'!D13)+1,1),""))</f>
        <v/>
      </c>
      <c r="V15" s="64">
        <v>2</v>
      </c>
      <c r="W15" s="64" t="s">
        <v>430</v>
      </c>
      <c r="X15" s="45"/>
      <c r="Y15" s="45"/>
      <c r="Z15" s="45"/>
      <c r="AA15" s="45"/>
      <c r="AB15" s="45"/>
      <c r="AC15" s="45"/>
    </row>
    <row r="16" spans="1:29" ht="19.149999999999999" customHeight="1" x14ac:dyDescent="0.25">
      <c r="A16" s="573" t="s">
        <v>420</v>
      </c>
      <c r="B16" s="576" t="str">
        <f t="shared" ref="B16:B23" si="0">IF(AND(U16&lt;&gt;"", T16&lt;&gt;""), U16 &amp; T16, "")</f>
        <v/>
      </c>
      <c r="C16" s="576">
        <f>'Project Compliance Tool'!D14</f>
        <v>0</v>
      </c>
      <c r="D16" s="583">
        <f>'Project Compliance Tool'!E14</f>
        <v>0</v>
      </c>
      <c r="E16" s="583">
        <f>'Project Compliance Tool'!F14</f>
        <v>0</v>
      </c>
      <c r="F16" s="584" t="str">
        <f>'Project Compliance Tool'!G14</f>
        <v/>
      </c>
      <c r="G16" s="576">
        <f>'Project Compliance Tool'!H14</f>
        <v>0</v>
      </c>
      <c r="H16" s="576">
        <f>'Project Compliance Tool'!I14</f>
        <v>0</v>
      </c>
      <c r="I16" s="580">
        <f>'Project Compliance Tool'!K14</f>
        <v>0</v>
      </c>
      <c r="J16" s="580">
        <f>'Project Compliance Tool'!L14</f>
        <v>0</v>
      </c>
      <c r="K16" s="580" t="str">
        <f>'Project Compliance Tool'!M14</f>
        <v/>
      </c>
      <c r="L16" s="585">
        <f>'Project Compliance Tool'!N14</f>
        <v>0</v>
      </c>
      <c r="M16" s="583" t="str">
        <f>'Project Compliance Tool'!W14</f>
        <v/>
      </c>
      <c r="N16" s="578" t="str">
        <f>'Project Compliance Tool'!P14</f>
        <v/>
      </c>
      <c r="O16" s="583" t="str">
        <f>'Project Compliance Tool'!S14</f>
        <v/>
      </c>
      <c r="P16" s="583" t="str">
        <f>'Project Compliance Tool'!T14</f>
        <v/>
      </c>
      <c r="Q16" s="578">
        <f t="shared" ref="Q16:Q23" si="1">IF(OR(M16="", N16=""), 0, M16 * N16)</f>
        <v>0</v>
      </c>
      <c r="R16" s="578">
        <f>'Project Compliance Tool'!O14</f>
        <v>0</v>
      </c>
      <c r="S16" s="45"/>
      <c r="T16" s="576" t="str">
        <f>IF(U16&lt;&gt;"", COUNTIF(U$14:U16, U16), "")</f>
        <v/>
      </c>
      <c r="U16" s="576" t="str">
        <f>UPPER(LEFT('Project Compliance Tool'!D14,1) &amp; IFERROR(MID('Project Compliance Tool'!D14,FIND(" ",'Project Compliance Tool'!D14)+1,1),""))</f>
        <v/>
      </c>
      <c r="V16" s="64">
        <v>1</v>
      </c>
      <c r="W16" s="64" t="e">
        <v>#VALUE!</v>
      </c>
      <c r="X16" s="45"/>
      <c r="Y16" s="45"/>
      <c r="Z16" s="45"/>
      <c r="AA16" s="45"/>
      <c r="AB16" s="45"/>
      <c r="AC16" s="45"/>
    </row>
    <row r="17" spans="1:29" ht="19.149999999999999" customHeight="1" x14ac:dyDescent="0.25">
      <c r="A17" s="573" t="s">
        <v>420</v>
      </c>
      <c r="B17" s="576" t="str">
        <f t="shared" si="0"/>
        <v/>
      </c>
      <c r="C17" s="576">
        <f>'Project Compliance Tool'!D15</f>
        <v>0</v>
      </c>
      <c r="D17" s="583">
        <f>'Project Compliance Tool'!E15</f>
        <v>0</v>
      </c>
      <c r="E17" s="583">
        <f>'Project Compliance Tool'!F15</f>
        <v>0</v>
      </c>
      <c r="F17" s="584" t="str">
        <f>'Project Compliance Tool'!G15</f>
        <v/>
      </c>
      <c r="G17" s="576">
        <f>'Project Compliance Tool'!H15</f>
        <v>0</v>
      </c>
      <c r="H17" s="576">
        <f>'Project Compliance Tool'!I15</f>
        <v>0</v>
      </c>
      <c r="I17" s="580">
        <f>'Project Compliance Tool'!K15</f>
        <v>0</v>
      </c>
      <c r="J17" s="580">
        <f>'Project Compliance Tool'!L15</f>
        <v>0</v>
      </c>
      <c r="K17" s="580" t="str">
        <f>'Project Compliance Tool'!M15</f>
        <v/>
      </c>
      <c r="L17" s="585">
        <f>'Project Compliance Tool'!N15</f>
        <v>0</v>
      </c>
      <c r="M17" s="583" t="str">
        <f>'Project Compliance Tool'!W15</f>
        <v/>
      </c>
      <c r="N17" s="578" t="str">
        <f>'Project Compliance Tool'!P15</f>
        <v/>
      </c>
      <c r="O17" s="583" t="str">
        <f>'Project Compliance Tool'!S15</f>
        <v/>
      </c>
      <c r="P17" s="583" t="str">
        <f>'Project Compliance Tool'!T15</f>
        <v/>
      </c>
      <c r="Q17" s="578">
        <f t="shared" si="1"/>
        <v>0</v>
      </c>
      <c r="R17" s="578">
        <f>'Project Compliance Tool'!O15</f>
        <v>0</v>
      </c>
      <c r="S17" s="45"/>
      <c r="T17" s="576" t="str">
        <f>IF(U17&lt;&gt;"", COUNTIF(U$14:U17, U17), "")</f>
        <v/>
      </c>
      <c r="U17" s="576" t="str">
        <f>UPPER(LEFT('Project Compliance Tool'!D15,1) &amp; IFERROR(MID('Project Compliance Tool'!D15,FIND(" ",'Project Compliance Tool'!D15)+1,1),""))</f>
        <v/>
      </c>
      <c r="V17" s="64">
        <v>1</v>
      </c>
      <c r="W17" s="64" t="e">
        <v>#VALUE!</v>
      </c>
      <c r="X17" s="45"/>
      <c r="Y17" s="45"/>
      <c r="Z17" s="45"/>
      <c r="AA17" s="45"/>
      <c r="AB17" s="45"/>
      <c r="AC17" s="45"/>
    </row>
    <row r="18" spans="1:29" ht="19.149999999999999" customHeight="1" x14ac:dyDescent="0.25">
      <c r="A18" s="573" t="s">
        <v>420</v>
      </c>
      <c r="B18" s="576" t="str">
        <f t="shared" si="0"/>
        <v/>
      </c>
      <c r="C18" s="576">
        <f>'Project Compliance Tool'!D16</f>
        <v>0</v>
      </c>
      <c r="D18" s="583">
        <f>'Project Compliance Tool'!E16</f>
        <v>0</v>
      </c>
      <c r="E18" s="583">
        <f>'Project Compliance Tool'!F16</f>
        <v>0</v>
      </c>
      <c r="F18" s="584" t="str">
        <f>'Project Compliance Tool'!G16</f>
        <v/>
      </c>
      <c r="G18" s="576">
        <f>'Project Compliance Tool'!H16</f>
        <v>0</v>
      </c>
      <c r="H18" s="576">
        <f>'Project Compliance Tool'!I16</f>
        <v>0</v>
      </c>
      <c r="I18" s="580">
        <f>'Project Compliance Tool'!K16</f>
        <v>0</v>
      </c>
      <c r="J18" s="580">
        <f>'Project Compliance Tool'!L16</f>
        <v>0</v>
      </c>
      <c r="K18" s="580" t="str">
        <f>'Project Compliance Tool'!M16</f>
        <v/>
      </c>
      <c r="L18" s="585">
        <f>'Project Compliance Tool'!N16</f>
        <v>0</v>
      </c>
      <c r="M18" s="583" t="str">
        <f>'Project Compliance Tool'!W16</f>
        <v/>
      </c>
      <c r="N18" s="578" t="str">
        <f>'Project Compliance Tool'!P16</f>
        <v/>
      </c>
      <c r="O18" s="583" t="str">
        <f>'Project Compliance Tool'!S16</f>
        <v/>
      </c>
      <c r="P18" s="583" t="str">
        <f>'Project Compliance Tool'!T16</f>
        <v/>
      </c>
      <c r="Q18" s="578">
        <f t="shared" si="1"/>
        <v>0</v>
      </c>
      <c r="R18" s="578">
        <f>'Project Compliance Tool'!O16</f>
        <v>0</v>
      </c>
      <c r="S18" s="45"/>
      <c r="T18" s="576" t="str">
        <f>IF(U18&lt;&gt;"", COUNTIF(U$14:U18, U18), "")</f>
        <v/>
      </c>
      <c r="U18" s="576" t="str">
        <f>UPPER(LEFT('Project Compliance Tool'!D16,1) &amp; IFERROR(MID('Project Compliance Tool'!D16,FIND(" ",'Project Compliance Tool'!D16)+1,1),""))</f>
        <v/>
      </c>
      <c r="V18" s="64">
        <v>1</v>
      </c>
      <c r="W18" s="64" t="e">
        <v>#VALUE!</v>
      </c>
      <c r="X18" s="45"/>
      <c r="Y18" s="45"/>
      <c r="Z18" s="45"/>
      <c r="AA18" s="45"/>
      <c r="AB18" s="45"/>
      <c r="AC18" s="45"/>
    </row>
    <row r="19" spans="1:29" ht="19.149999999999999" customHeight="1" x14ac:dyDescent="0.25">
      <c r="A19" s="573" t="s">
        <v>420</v>
      </c>
      <c r="B19" s="576" t="str">
        <f t="shared" si="0"/>
        <v/>
      </c>
      <c r="C19" s="576">
        <f>'Project Compliance Tool'!D17</f>
        <v>0</v>
      </c>
      <c r="D19" s="583">
        <f>'Project Compliance Tool'!E17</f>
        <v>0</v>
      </c>
      <c r="E19" s="583">
        <f>'Project Compliance Tool'!F17</f>
        <v>0</v>
      </c>
      <c r="F19" s="584" t="str">
        <f>'Project Compliance Tool'!G17</f>
        <v/>
      </c>
      <c r="G19" s="576">
        <f>'Project Compliance Tool'!H17</f>
        <v>0</v>
      </c>
      <c r="H19" s="576">
        <f>'Project Compliance Tool'!I17</f>
        <v>0</v>
      </c>
      <c r="I19" s="580">
        <f>'Project Compliance Tool'!K17</f>
        <v>0</v>
      </c>
      <c r="J19" s="580">
        <f>'Project Compliance Tool'!L17</f>
        <v>0</v>
      </c>
      <c r="K19" s="580" t="str">
        <f>'Project Compliance Tool'!M17</f>
        <v/>
      </c>
      <c r="L19" s="585">
        <f>'Project Compliance Tool'!N17</f>
        <v>0</v>
      </c>
      <c r="M19" s="583" t="str">
        <f>'Project Compliance Tool'!W17</f>
        <v/>
      </c>
      <c r="N19" s="578" t="str">
        <f>'Project Compliance Tool'!P17</f>
        <v/>
      </c>
      <c r="O19" s="583" t="str">
        <f>'Project Compliance Tool'!S17</f>
        <v/>
      </c>
      <c r="P19" s="583" t="str">
        <f>'Project Compliance Tool'!T17</f>
        <v/>
      </c>
      <c r="Q19" s="578">
        <f t="shared" si="1"/>
        <v>0</v>
      </c>
      <c r="R19" s="578">
        <f>'Project Compliance Tool'!O17</f>
        <v>0</v>
      </c>
      <c r="S19" s="45"/>
      <c r="T19" s="576" t="str">
        <f>IF(U19&lt;&gt;"", COUNTIF(U$14:U19, U19), "")</f>
        <v/>
      </c>
      <c r="U19" s="576" t="str">
        <f>UPPER(LEFT('Project Compliance Tool'!D17,1) &amp; IFERROR(MID('Project Compliance Tool'!D17,FIND(" ",'Project Compliance Tool'!D17)+1,1),""))</f>
        <v/>
      </c>
      <c r="V19" s="64">
        <v>1</v>
      </c>
      <c r="W19" s="64" t="e">
        <v>#VALUE!</v>
      </c>
      <c r="X19" s="45"/>
      <c r="Y19" s="45"/>
      <c r="Z19" s="45"/>
      <c r="AA19" s="45"/>
      <c r="AB19" s="45"/>
      <c r="AC19" s="45"/>
    </row>
    <row r="20" spans="1:29" ht="19.149999999999999" customHeight="1" x14ac:dyDescent="0.25">
      <c r="A20" s="573" t="s">
        <v>420</v>
      </c>
      <c r="B20" s="576" t="str">
        <f t="shared" si="0"/>
        <v/>
      </c>
      <c r="C20" s="576">
        <f>'Project Compliance Tool'!D18</f>
        <v>0</v>
      </c>
      <c r="D20" s="583">
        <f>'Project Compliance Tool'!E18</f>
        <v>0</v>
      </c>
      <c r="E20" s="583">
        <f>'Project Compliance Tool'!F18</f>
        <v>0</v>
      </c>
      <c r="F20" s="584" t="str">
        <f>'Project Compliance Tool'!G18</f>
        <v/>
      </c>
      <c r="G20" s="576">
        <f>'Project Compliance Tool'!H18</f>
        <v>0</v>
      </c>
      <c r="H20" s="576">
        <f>'Project Compliance Tool'!I18</f>
        <v>0</v>
      </c>
      <c r="I20" s="580">
        <f>'Project Compliance Tool'!K18</f>
        <v>0</v>
      </c>
      <c r="J20" s="580">
        <f>'Project Compliance Tool'!L18</f>
        <v>0</v>
      </c>
      <c r="K20" s="580" t="str">
        <f>'Project Compliance Tool'!M18</f>
        <v/>
      </c>
      <c r="L20" s="585">
        <f>'Project Compliance Tool'!N18</f>
        <v>0</v>
      </c>
      <c r="M20" s="583" t="str">
        <f>'Project Compliance Tool'!W18</f>
        <v/>
      </c>
      <c r="N20" s="578" t="str">
        <f>'Project Compliance Tool'!P18</f>
        <v/>
      </c>
      <c r="O20" s="583" t="str">
        <f>'Project Compliance Tool'!S18</f>
        <v/>
      </c>
      <c r="P20" s="583" t="str">
        <f>'Project Compliance Tool'!T18</f>
        <v/>
      </c>
      <c r="Q20" s="578">
        <f t="shared" si="1"/>
        <v>0</v>
      </c>
      <c r="R20" s="578">
        <f>'Project Compliance Tool'!O18</f>
        <v>0</v>
      </c>
      <c r="S20" s="45"/>
      <c r="T20" s="576" t="str">
        <f>IF(U20&lt;&gt;"", COUNTIF(U$14:U20, U20), "")</f>
        <v/>
      </c>
      <c r="U20" s="576" t="str">
        <f>UPPER(LEFT('Project Compliance Tool'!D18,1) &amp; IFERROR(MID('Project Compliance Tool'!D18,FIND(" ",'Project Compliance Tool'!D18)+1,1),""))</f>
        <v/>
      </c>
      <c r="V20" s="64">
        <v>1</v>
      </c>
      <c r="W20" s="64" t="e">
        <v>#VALUE!</v>
      </c>
      <c r="X20" s="45"/>
      <c r="Y20" s="45"/>
      <c r="Z20" s="45"/>
      <c r="AA20" s="45"/>
      <c r="AB20" s="45"/>
      <c r="AC20" s="45"/>
    </row>
    <row r="21" spans="1:29" ht="19.149999999999999" customHeight="1" x14ac:dyDescent="0.25">
      <c r="A21" s="573" t="s">
        <v>420</v>
      </c>
      <c r="B21" s="576" t="str">
        <f t="shared" si="0"/>
        <v/>
      </c>
      <c r="C21" s="576">
        <f>'Project Compliance Tool'!D19</f>
        <v>0</v>
      </c>
      <c r="D21" s="583">
        <f>'Project Compliance Tool'!E19</f>
        <v>0</v>
      </c>
      <c r="E21" s="583">
        <f>'Project Compliance Tool'!F19</f>
        <v>0</v>
      </c>
      <c r="F21" s="584" t="str">
        <f>'Project Compliance Tool'!G19</f>
        <v/>
      </c>
      <c r="G21" s="576">
        <f>'Project Compliance Tool'!H19</f>
        <v>0</v>
      </c>
      <c r="H21" s="576">
        <f>'Project Compliance Tool'!I19</f>
        <v>0</v>
      </c>
      <c r="I21" s="580">
        <f>'Project Compliance Tool'!K19</f>
        <v>0</v>
      </c>
      <c r="J21" s="580">
        <f>'Project Compliance Tool'!L19</f>
        <v>0</v>
      </c>
      <c r="K21" s="580" t="str">
        <f>'Project Compliance Tool'!M19</f>
        <v/>
      </c>
      <c r="L21" s="585">
        <f>'Project Compliance Tool'!N19</f>
        <v>0</v>
      </c>
      <c r="M21" s="583" t="str">
        <f>'Project Compliance Tool'!W19</f>
        <v/>
      </c>
      <c r="N21" s="578" t="str">
        <f>'Project Compliance Tool'!P19</f>
        <v/>
      </c>
      <c r="O21" s="583" t="str">
        <f>'Project Compliance Tool'!S19</f>
        <v/>
      </c>
      <c r="P21" s="583" t="str">
        <f>'Project Compliance Tool'!T19</f>
        <v/>
      </c>
      <c r="Q21" s="578">
        <f t="shared" si="1"/>
        <v>0</v>
      </c>
      <c r="R21" s="578">
        <f>'Project Compliance Tool'!O19</f>
        <v>0</v>
      </c>
      <c r="S21" s="45"/>
      <c r="T21" s="576" t="str">
        <f>IF(U21&lt;&gt;"", COUNTIF(U$14:U21, U21), "")</f>
        <v/>
      </c>
      <c r="U21" s="576" t="str">
        <f>UPPER(LEFT('Project Compliance Tool'!D19,1) &amp; IFERROR(MID('Project Compliance Tool'!D19,FIND(" ",'Project Compliance Tool'!D19)+1,1),""))</f>
        <v/>
      </c>
      <c r="V21" s="64">
        <v>1</v>
      </c>
      <c r="W21" s="64" t="e">
        <v>#VALUE!</v>
      </c>
      <c r="X21" s="45"/>
      <c r="Y21" s="45"/>
      <c r="Z21" s="45"/>
      <c r="AA21" s="45"/>
      <c r="AB21" s="45"/>
      <c r="AC21" s="45"/>
    </row>
    <row r="22" spans="1:29" ht="19.149999999999999" customHeight="1" x14ac:dyDescent="0.25">
      <c r="A22" s="573" t="s">
        <v>420</v>
      </c>
      <c r="B22" s="576" t="str">
        <f t="shared" si="0"/>
        <v/>
      </c>
      <c r="C22" s="576">
        <f>'Project Compliance Tool'!D20</f>
        <v>0</v>
      </c>
      <c r="D22" s="583">
        <f>'Project Compliance Tool'!E20</f>
        <v>0</v>
      </c>
      <c r="E22" s="583">
        <f>'Project Compliance Tool'!F20</f>
        <v>0</v>
      </c>
      <c r="F22" s="584" t="str">
        <f>'Project Compliance Tool'!G20</f>
        <v/>
      </c>
      <c r="G22" s="576">
        <f>'Project Compliance Tool'!H20</f>
        <v>0</v>
      </c>
      <c r="H22" s="576">
        <f>'Project Compliance Tool'!I20</f>
        <v>0</v>
      </c>
      <c r="I22" s="580">
        <f>'Project Compliance Tool'!K20</f>
        <v>0</v>
      </c>
      <c r="J22" s="580">
        <f>'Project Compliance Tool'!L20</f>
        <v>0</v>
      </c>
      <c r="K22" s="580" t="str">
        <f>'Project Compliance Tool'!M20</f>
        <v/>
      </c>
      <c r="L22" s="585">
        <f>'Project Compliance Tool'!N20</f>
        <v>0</v>
      </c>
      <c r="M22" s="583" t="str">
        <f>'Project Compliance Tool'!W20</f>
        <v/>
      </c>
      <c r="N22" s="578" t="str">
        <f>'Project Compliance Tool'!P20</f>
        <v/>
      </c>
      <c r="O22" s="583" t="str">
        <f>'Project Compliance Tool'!S20</f>
        <v/>
      </c>
      <c r="P22" s="583" t="str">
        <f>'Project Compliance Tool'!T20</f>
        <v/>
      </c>
      <c r="Q22" s="578">
        <f t="shared" si="1"/>
        <v>0</v>
      </c>
      <c r="R22" s="578">
        <f>'Project Compliance Tool'!O20</f>
        <v>0</v>
      </c>
      <c r="S22" s="45"/>
      <c r="T22" s="576" t="str">
        <f>IF(U22&lt;&gt;"", COUNTIF(U$14:U22, U22), "")</f>
        <v/>
      </c>
      <c r="U22" s="576" t="str">
        <f>UPPER(LEFT('Project Compliance Tool'!D20,1) &amp; IFERROR(MID('Project Compliance Tool'!D20,FIND(" ",'Project Compliance Tool'!D20)+1,1),""))</f>
        <v/>
      </c>
      <c r="V22" s="64">
        <v>1</v>
      </c>
      <c r="W22" s="64" t="e">
        <v>#VALUE!</v>
      </c>
      <c r="X22" s="45"/>
      <c r="Y22" s="45"/>
      <c r="Z22" s="45"/>
      <c r="AA22" s="45"/>
      <c r="AB22" s="45"/>
      <c r="AC22" s="45"/>
    </row>
    <row r="23" spans="1:29" ht="19.149999999999999" customHeight="1" x14ac:dyDescent="0.25">
      <c r="A23" s="573" t="s">
        <v>420</v>
      </c>
      <c r="B23" s="576" t="str">
        <f t="shared" si="0"/>
        <v/>
      </c>
      <c r="C23" s="576">
        <f>'Project Compliance Tool'!D21</f>
        <v>0</v>
      </c>
      <c r="D23" s="583">
        <f>'Project Compliance Tool'!E21</f>
        <v>0</v>
      </c>
      <c r="E23" s="583">
        <f>'Project Compliance Tool'!F21</f>
        <v>0</v>
      </c>
      <c r="F23" s="584" t="str">
        <f>'Project Compliance Tool'!G21</f>
        <v/>
      </c>
      <c r="G23" s="576">
        <f>'Project Compliance Tool'!H21</f>
        <v>0</v>
      </c>
      <c r="H23" s="576">
        <f>'Project Compliance Tool'!I21</f>
        <v>0</v>
      </c>
      <c r="I23" s="580">
        <f>'Project Compliance Tool'!K21</f>
        <v>0</v>
      </c>
      <c r="J23" s="580">
        <f>'Project Compliance Tool'!L21</f>
        <v>0</v>
      </c>
      <c r="K23" s="580" t="str">
        <f>'Project Compliance Tool'!M21</f>
        <v/>
      </c>
      <c r="L23" s="585">
        <f>'Project Compliance Tool'!N21</f>
        <v>0</v>
      </c>
      <c r="M23" s="583" t="str">
        <f>'Project Compliance Tool'!W21</f>
        <v/>
      </c>
      <c r="N23" s="578" t="str">
        <f>'Project Compliance Tool'!P21</f>
        <v/>
      </c>
      <c r="O23" s="583" t="str">
        <f>'Project Compliance Tool'!S21</f>
        <v/>
      </c>
      <c r="P23" s="583" t="str">
        <f>'Project Compliance Tool'!T21</f>
        <v/>
      </c>
      <c r="Q23" s="578">
        <f t="shared" si="1"/>
        <v>0</v>
      </c>
      <c r="R23" s="578">
        <f>'Project Compliance Tool'!O21</f>
        <v>0</v>
      </c>
      <c r="S23" s="45"/>
      <c r="T23" s="576" t="str">
        <f>IF(U23&lt;&gt;"", COUNTIF(U$14:U23, U23), "")</f>
        <v/>
      </c>
      <c r="U23" s="576" t="str">
        <f>UPPER(LEFT('Project Compliance Tool'!D21,1) &amp; IFERROR(MID('Project Compliance Tool'!D21,FIND(" ",'Project Compliance Tool'!D21)+1,1),""))</f>
        <v/>
      </c>
      <c r="V23" s="64">
        <v>1</v>
      </c>
      <c r="W23" s="64" t="e">
        <v>#VALUE!</v>
      </c>
      <c r="X23" s="45"/>
      <c r="Y23" s="45"/>
      <c r="Z23" s="45"/>
      <c r="AA23" s="45"/>
      <c r="AB23" s="45"/>
      <c r="AC23" s="45"/>
    </row>
    <row r="24" spans="1:29" ht="19.149999999999999" customHeight="1" x14ac:dyDescent="0.25">
      <c r="A24" s="45"/>
      <c r="B24" s="45"/>
      <c r="C24" s="45"/>
      <c r="D24" s="45"/>
      <c r="E24" s="45"/>
      <c r="F24" s="45"/>
      <c r="G24" s="45"/>
      <c r="H24" s="45"/>
      <c r="I24" s="45"/>
      <c r="J24" s="45"/>
      <c r="K24" s="45"/>
      <c r="L24" s="45"/>
      <c r="M24" s="45"/>
      <c r="N24" s="578">
        <f>SUM(N14:N23)</f>
        <v>0</v>
      </c>
      <c r="O24" s="582">
        <f>SUM(O14:O23)</f>
        <v>0</v>
      </c>
      <c r="P24" s="582">
        <f>SUM(P14:P23)</f>
        <v>0</v>
      </c>
      <c r="Q24" s="578">
        <f>SUM(Q14:Q23)</f>
        <v>0</v>
      </c>
      <c r="R24" s="578">
        <f>SUM(R14:R23)</f>
        <v>0</v>
      </c>
      <c r="S24" s="45"/>
      <c r="T24" s="45"/>
      <c r="U24" s="45"/>
      <c r="V24" s="45"/>
      <c r="W24" s="45"/>
      <c r="X24" s="45"/>
      <c r="Y24" s="45"/>
      <c r="Z24" s="45"/>
      <c r="AA24" s="45"/>
      <c r="AB24" s="45"/>
      <c r="AC24" s="45"/>
    </row>
    <row r="25" spans="1:29" ht="19.149999999999999" customHeight="1" x14ac:dyDescent="0.25">
      <c r="A25" s="45"/>
      <c r="B25" s="45"/>
      <c r="C25" s="45"/>
      <c r="D25" s="45"/>
      <c r="E25" s="45"/>
      <c r="F25" s="45"/>
      <c r="G25" s="45"/>
      <c r="H25" s="45"/>
      <c r="I25" s="45"/>
      <c r="J25" s="45"/>
      <c r="K25" s="45"/>
      <c r="L25" s="45"/>
      <c r="M25" s="45"/>
      <c r="S25" s="45"/>
      <c r="T25" s="45"/>
      <c r="U25" s="45"/>
      <c r="V25" s="45"/>
      <c r="W25" s="45"/>
      <c r="X25" s="45"/>
      <c r="Y25" s="45"/>
      <c r="Z25" s="45"/>
      <c r="AA25" s="45"/>
      <c r="AB25" s="45"/>
      <c r="AC25" s="45"/>
    </row>
    <row r="26" spans="1:29" ht="49.5" customHeight="1" x14ac:dyDescent="0.25"/>
    <row r="28" spans="1:29" ht="42.65" customHeight="1" x14ac:dyDescent="0.25"/>
    <row r="29" spans="1:29" ht="32.15" customHeight="1" x14ac:dyDescent="0.25"/>
    <row r="30" spans="1:29" ht="30.65" customHeight="1" x14ac:dyDescent="0.25"/>
    <row r="31" spans="1:29" ht="20.65" customHeight="1" x14ac:dyDescent="0.25"/>
    <row r="32" spans="1:29" ht="20.65" customHeight="1" x14ac:dyDescent="0.25"/>
    <row r="33" ht="20.65" customHeight="1" x14ac:dyDescent="0.25"/>
    <row r="34" ht="20.65" customHeight="1" x14ac:dyDescent="0.25"/>
    <row r="35" ht="20.65" customHeight="1" x14ac:dyDescent="0.25"/>
    <row r="36" ht="20.65" customHeight="1" x14ac:dyDescent="0.25"/>
    <row r="37" ht="20.65" customHeight="1" x14ac:dyDescent="0.25"/>
    <row r="38" ht="20.65" customHeight="1" x14ac:dyDescent="0.25"/>
  </sheetData>
  <pageMargins left="0.7" right="0.7" top="0.75" bottom="0.75" header="0.3" footer="0.3"/>
  <headerFooter>
    <oddFooter>&amp;C_x000D_&amp;1#&amp;"Calibri"&amp;10&amp;K000000 AtkinsRéalis - Baseline / Référence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C6D2-AB96-442B-A13C-5FE050CFD59F}">
  <sheetPr>
    <tabColor rgb="FF2DAE76"/>
    <pageSetUpPr fitToPage="1"/>
  </sheetPr>
  <dimension ref="A1:AH148"/>
  <sheetViews>
    <sheetView showGridLines="0" zoomScale="80" zoomScaleNormal="80" workbookViewId="0">
      <selection activeCell="G54" sqref="G54"/>
    </sheetView>
  </sheetViews>
  <sheetFormatPr defaultColWidth="9.453125" defaultRowHeight="27" customHeight="1" x14ac:dyDescent="0.5"/>
  <cols>
    <col min="1" max="1" width="3.54296875" style="374" customWidth="1"/>
    <col min="2" max="2" width="3.453125" style="374" customWidth="1"/>
    <col min="3" max="3" width="36.54296875" style="378" customWidth="1"/>
    <col min="4" max="4" width="64" style="377" customWidth="1"/>
    <col min="5" max="6" width="20.453125" style="377" customWidth="1"/>
    <col min="7" max="7" width="20.453125" style="376" customWidth="1"/>
    <col min="8" max="8" width="3.54296875" style="375" customWidth="1"/>
    <col min="9" max="9" width="10.453125" style="375" customWidth="1"/>
    <col min="10" max="10" width="12.54296875" style="374" customWidth="1"/>
    <col min="11" max="11" width="14.54296875" style="374" customWidth="1"/>
    <col min="12" max="12" width="18.1796875" style="374" hidden="1" customWidth="1"/>
    <col min="13" max="13" width="28.54296875" style="374" customWidth="1"/>
    <col min="14" max="14" width="43.54296875" style="374" customWidth="1"/>
    <col min="15" max="15" width="15.81640625" style="374" hidden="1" customWidth="1"/>
    <col min="16" max="16" width="0" style="374" hidden="1" customWidth="1"/>
    <col min="17" max="16384" width="9.453125" style="374"/>
  </cols>
  <sheetData>
    <row r="1" spans="1:34" ht="16.399999999999999" customHeight="1" x14ac:dyDescent="0.5">
      <c r="A1" s="379"/>
      <c r="B1" s="379"/>
      <c r="C1" s="464"/>
      <c r="D1" s="463"/>
      <c r="E1" s="463"/>
      <c r="F1" s="463"/>
      <c r="G1" s="462"/>
      <c r="H1" s="458"/>
      <c r="I1" s="458"/>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row>
    <row r="2" spans="1:34" ht="17.149999999999999" customHeight="1" x14ac:dyDescent="0.5">
      <c r="A2" s="379"/>
      <c r="B2" s="380"/>
      <c r="C2" s="461"/>
      <c r="D2" s="461"/>
      <c r="E2" s="461"/>
      <c r="F2" s="461"/>
      <c r="G2" s="460"/>
      <c r="H2" s="459"/>
      <c r="I2" s="458"/>
      <c r="J2" s="379"/>
      <c r="K2" s="379"/>
      <c r="L2" s="379"/>
      <c r="M2" s="379"/>
      <c r="N2" s="379"/>
      <c r="O2" s="379"/>
      <c r="P2" s="379"/>
      <c r="Q2" s="379"/>
      <c r="R2" s="379"/>
      <c r="S2" s="379"/>
      <c r="T2" s="379"/>
      <c r="U2" s="379"/>
      <c r="V2" s="379"/>
      <c r="W2" s="379"/>
      <c r="X2" s="379"/>
      <c r="Y2" s="379"/>
      <c r="Z2" s="379"/>
      <c r="AA2" s="379"/>
      <c r="AB2" s="379"/>
      <c r="AC2" s="379"/>
      <c r="AD2" s="379"/>
      <c r="AE2" s="379"/>
      <c r="AF2" s="379"/>
      <c r="AG2" s="379"/>
      <c r="AH2" s="379"/>
    </row>
    <row r="3" spans="1:34" ht="35.15" customHeight="1" x14ac:dyDescent="0.5">
      <c r="A3" s="379"/>
      <c r="B3" s="380"/>
      <c r="C3" s="658" t="s">
        <v>21</v>
      </c>
      <c r="D3" s="658"/>
      <c r="E3" s="478"/>
      <c r="F3" s="478"/>
      <c r="G3" s="457"/>
      <c r="H3" s="380"/>
      <c r="I3" s="379"/>
      <c r="J3" s="379"/>
      <c r="K3" s="379"/>
      <c r="L3" s="379"/>
      <c r="M3" s="379"/>
      <c r="N3" s="379"/>
      <c r="O3" s="379"/>
      <c r="P3" s="379"/>
      <c r="Q3" s="379"/>
      <c r="R3" s="379"/>
      <c r="S3" s="379"/>
      <c r="T3" s="379"/>
      <c r="U3" s="379"/>
      <c r="V3" s="379"/>
      <c r="W3" s="379"/>
      <c r="X3" s="379"/>
      <c r="Y3" s="379"/>
      <c r="Z3" s="379"/>
      <c r="AA3" s="379"/>
      <c r="AB3" s="379"/>
      <c r="AC3" s="379"/>
      <c r="AD3" s="379"/>
      <c r="AE3" s="379"/>
      <c r="AF3" s="379"/>
      <c r="AG3" s="379"/>
      <c r="AH3" s="379"/>
    </row>
    <row r="4" spans="1:34" ht="46.4" customHeight="1" x14ac:dyDescent="0.5">
      <c r="A4" s="379"/>
      <c r="B4" s="380"/>
      <c r="C4" s="659"/>
      <c r="D4" s="659"/>
      <c r="E4" s="479"/>
      <c r="F4" s="479"/>
      <c r="G4" s="456"/>
      <c r="H4" s="380"/>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row>
    <row r="5" spans="1:34" ht="44.9" customHeight="1" thickBot="1" x14ac:dyDescent="0.55000000000000004">
      <c r="A5" s="379"/>
      <c r="B5" s="380"/>
      <c r="C5" s="660" t="s">
        <v>22</v>
      </c>
      <c r="D5" s="660"/>
      <c r="E5" s="660"/>
      <c r="F5" s="660"/>
      <c r="G5" s="660"/>
      <c r="H5" s="380"/>
      <c r="I5" s="379"/>
      <c r="J5" s="379"/>
      <c r="K5" s="379"/>
      <c r="L5" s="379"/>
      <c r="M5" s="379"/>
      <c r="N5" s="379"/>
      <c r="O5" s="379"/>
      <c r="P5" s="379"/>
      <c r="Q5" s="379"/>
      <c r="R5" s="379"/>
      <c r="S5" s="379"/>
      <c r="T5" s="379"/>
      <c r="U5" s="379"/>
      <c r="V5" s="379"/>
      <c r="W5" s="379"/>
      <c r="X5" s="379"/>
      <c r="Y5" s="379"/>
      <c r="Z5" s="379"/>
      <c r="AA5" s="379"/>
      <c r="AB5" s="379"/>
      <c r="AC5" s="379"/>
      <c r="AD5" s="379"/>
      <c r="AE5" s="379"/>
      <c r="AF5" s="379"/>
      <c r="AG5" s="379"/>
      <c r="AH5" s="379"/>
    </row>
    <row r="6" spans="1:34" s="453" customFormat="1" ht="30" customHeight="1" thickBot="1" x14ac:dyDescent="0.55000000000000004">
      <c r="A6" s="441"/>
      <c r="B6" s="455"/>
      <c r="C6" s="436" t="s">
        <v>23</v>
      </c>
      <c r="D6" s="454" t="s">
        <v>24</v>
      </c>
      <c r="E6" s="434" t="s">
        <v>25</v>
      </c>
      <c r="F6" s="434" t="s">
        <v>26</v>
      </c>
      <c r="G6" s="433" t="s">
        <v>27</v>
      </c>
      <c r="H6" s="443"/>
      <c r="I6" s="442"/>
      <c r="J6" s="662" t="s">
        <v>28</v>
      </c>
      <c r="K6" s="662"/>
      <c r="L6" s="662"/>
      <c r="M6" s="662"/>
      <c r="N6" s="662"/>
      <c r="O6" s="379"/>
      <c r="P6" s="379"/>
      <c r="Q6" s="379"/>
      <c r="R6" s="379"/>
      <c r="S6" s="441"/>
      <c r="T6" s="441"/>
      <c r="U6" s="441"/>
      <c r="V6" s="441"/>
      <c r="W6" s="441"/>
      <c r="X6" s="441"/>
      <c r="Y6" s="441"/>
      <c r="Z6" s="441"/>
      <c r="AA6" s="441"/>
      <c r="AB6" s="441"/>
      <c r="AC6" s="441"/>
      <c r="AD6" s="441"/>
      <c r="AE6" s="441"/>
      <c r="AF6" s="441"/>
      <c r="AG6" s="441"/>
      <c r="AH6" s="441"/>
    </row>
    <row r="7" spans="1:34" ht="27" customHeight="1" x14ac:dyDescent="0.5">
      <c r="A7" s="379"/>
      <c r="B7" s="380"/>
      <c r="C7" s="397" t="s">
        <v>29</v>
      </c>
      <c r="D7" s="389" t="s">
        <v>30</v>
      </c>
      <c r="E7" s="395" t="s">
        <v>31</v>
      </c>
      <c r="F7" s="452"/>
      <c r="G7" s="394">
        <v>20</v>
      </c>
      <c r="H7" s="392"/>
      <c r="I7" s="391"/>
      <c r="J7" s="661" t="s">
        <v>32</v>
      </c>
      <c r="K7" s="661"/>
      <c r="L7" s="661"/>
      <c r="M7" s="661"/>
      <c r="N7" s="661"/>
      <c r="O7" s="379"/>
      <c r="P7" s="379"/>
      <c r="Q7" s="379"/>
      <c r="R7" s="379"/>
      <c r="S7" s="379"/>
      <c r="T7" s="379"/>
      <c r="U7" s="379"/>
      <c r="V7" s="379"/>
      <c r="W7" s="379"/>
      <c r="X7" s="379"/>
      <c r="Y7" s="379"/>
      <c r="Z7" s="379"/>
      <c r="AA7" s="379"/>
      <c r="AB7" s="379"/>
      <c r="AC7" s="379"/>
      <c r="AD7" s="379"/>
      <c r="AE7" s="379"/>
      <c r="AF7" s="379"/>
      <c r="AG7" s="379"/>
      <c r="AH7" s="379"/>
    </row>
    <row r="8" spans="1:34" ht="27" customHeight="1" x14ac:dyDescent="0.5">
      <c r="A8" s="379"/>
      <c r="B8" s="380"/>
      <c r="C8" s="402"/>
      <c r="D8" s="389" t="s">
        <v>33</v>
      </c>
      <c r="E8" s="400" t="s">
        <v>31</v>
      </c>
      <c r="F8" s="451"/>
      <c r="G8" s="399">
        <v>20</v>
      </c>
      <c r="H8" s="392"/>
      <c r="I8" s="391"/>
      <c r="J8" s="661"/>
      <c r="K8" s="661"/>
      <c r="L8" s="661"/>
      <c r="M8" s="661"/>
      <c r="N8" s="661"/>
      <c r="O8" s="379"/>
      <c r="P8" s="379"/>
      <c r="Q8" s="379"/>
      <c r="R8" s="379"/>
      <c r="S8" s="379"/>
      <c r="T8" s="379"/>
      <c r="U8" s="379"/>
      <c r="V8" s="379"/>
      <c r="W8" s="379"/>
      <c r="X8" s="379"/>
      <c r="Y8" s="379"/>
      <c r="Z8" s="379"/>
      <c r="AA8" s="379"/>
      <c r="AB8" s="379"/>
      <c r="AC8" s="379"/>
      <c r="AD8" s="379"/>
      <c r="AE8" s="379"/>
      <c r="AF8" s="379"/>
      <c r="AG8" s="379"/>
      <c r="AH8" s="379"/>
    </row>
    <row r="9" spans="1:34" ht="27" customHeight="1" x14ac:dyDescent="0.5">
      <c r="A9" s="379"/>
      <c r="B9" s="380"/>
      <c r="C9" s="393"/>
      <c r="D9" s="389" t="s">
        <v>34</v>
      </c>
      <c r="E9" s="388" t="s">
        <v>31</v>
      </c>
      <c r="F9" s="448"/>
      <c r="G9" s="387">
        <v>25</v>
      </c>
      <c r="H9" s="392"/>
      <c r="I9" s="391"/>
      <c r="J9" s="661"/>
      <c r="K9" s="661"/>
      <c r="L9" s="661"/>
      <c r="M9" s="661"/>
      <c r="N9" s="661"/>
      <c r="O9" s="379"/>
      <c r="P9" s="379"/>
      <c r="Q9" s="379"/>
      <c r="R9" s="379"/>
      <c r="S9" s="379"/>
      <c r="T9" s="379"/>
      <c r="U9" s="379"/>
      <c r="V9" s="379"/>
      <c r="W9" s="379"/>
      <c r="X9" s="379"/>
      <c r="Y9" s="379"/>
      <c r="Z9" s="379"/>
      <c r="AA9" s="379"/>
      <c r="AB9" s="379"/>
      <c r="AC9" s="379"/>
      <c r="AD9" s="379"/>
      <c r="AE9" s="379"/>
      <c r="AF9" s="379"/>
      <c r="AG9" s="379"/>
      <c r="AH9" s="379"/>
    </row>
    <row r="10" spans="1:34" ht="27" customHeight="1" x14ac:dyDescent="0.5">
      <c r="A10" s="379"/>
      <c r="B10" s="380"/>
      <c r="C10" s="393"/>
      <c r="D10" s="389" t="s">
        <v>35</v>
      </c>
      <c r="E10" s="388" t="s">
        <v>31</v>
      </c>
      <c r="F10" s="448"/>
      <c r="G10" s="387">
        <v>25</v>
      </c>
      <c r="H10" s="392"/>
      <c r="I10" s="391"/>
      <c r="J10" s="661"/>
      <c r="K10" s="661"/>
      <c r="L10" s="661"/>
      <c r="M10" s="661"/>
      <c r="N10" s="661"/>
      <c r="O10" s="379"/>
      <c r="P10" s="379"/>
      <c r="Q10" s="379"/>
      <c r="R10" s="379"/>
      <c r="S10" s="379"/>
      <c r="T10" s="379"/>
      <c r="U10" s="379"/>
      <c r="V10" s="379"/>
      <c r="W10" s="379"/>
      <c r="X10" s="379"/>
      <c r="Y10" s="379"/>
      <c r="Z10" s="379"/>
      <c r="AA10" s="379"/>
      <c r="AB10" s="379"/>
      <c r="AC10" s="379"/>
      <c r="AD10" s="379"/>
      <c r="AE10" s="379"/>
      <c r="AF10" s="379"/>
      <c r="AG10" s="379"/>
      <c r="AH10" s="379"/>
    </row>
    <row r="11" spans="1:34" s="446" customFormat="1" ht="27" customHeight="1" x14ac:dyDescent="0.5">
      <c r="A11" s="450"/>
      <c r="B11" s="449"/>
      <c r="C11" s="393"/>
      <c r="D11" s="389" t="s">
        <v>36</v>
      </c>
      <c r="E11" s="388" t="s">
        <v>31</v>
      </c>
      <c r="F11" s="448"/>
      <c r="G11" s="447">
        <v>30</v>
      </c>
      <c r="H11" s="392"/>
      <c r="I11" s="391"/>
      <c r="J11" s="661"/>
      <c r="K11" s="661"/>
      <c r="L11" s="661"/>
      <c r="M11" s="661"/>
      <c r="N11" s="661"/>
      <c r="O11" s="379"/>
      <c r="P11" s="379"/>
      <c r="Q11" s="379"/>
      <c r="R11" s="379"/>
      <c r="S11" s="379"/>
      <c r="T11" s="379"/>
      <c r="U11" s="379"/>
      <c r="V11" s="379"/>
      <c r="W11" s="379"/>
      <c r="X11" s="379"/>
      <c r="Y11" s="379"/>
      <c r="Z11" s="379"/>
      <c r="AA11" s="379"/>
      <c r="AB11" s="379"/>
      <c r="AC11" s="379"/>
      <c r="AD11" s="379"/>
      <c r="AE11" s="379"/>
      <c r="AF11" s="379"/>
      <c r="AG11" s="379"/>
      <c r="AH11" s="379"/>
    </row>
    <row r="12" spans="1:34" s="446" customFormat="1" ht="27" customHeight="1" x14ac:dyDescent="0.5">
      <c r="A12" s="450"/>
      <c r="B12" s="449"/>
      <c r="C12" s="431"/>
      <c r="D12" s="430" t="s">
        <v>37</v>
      </c>
      <c r="E12" s="418" t="s">
        <v>31</v>
      </c>
      <c r="F12" s="448"/>
      <c r="G12" s="447">
        <v>10</v>
      </c>
      <c r="H12" s="392"/>
      <c r="I12" s="391"/>
      <c r="J12" s="546"/>
      <c r="K12" s="546"/>
      <c r="L12" s="546"/>
      <c r="M12" s="546"/>
      <c r="N12" s="546"/>
      <c r="O12" s="379"/>
      <c r="P12" s="379"/>
      <c r="Q12" s="379"/>
      <c r="R12" s="379"/>
      <c r="S12" s="379"/>
      <c r="T12" s="379"/>
      <c r="U12" s="379"/>
      <c r="V12" s="379"/>
      <c r="W12" s="379"/>
      <c r="X12" s="379"/>
      <c r="Y12" s="379"/>
      <c r="Z12" s="379"/>
      <c r="AA12" s="379"/>
      <c r="AB12" s="379"/>
      <c r="AC12" s="379"/>
      <c r="AD12" s="379"/>
      <c r="AE12" s="379"/>
      <c r="AF12" s="379"/>
      <c r="AG12" s="379"/>
      <c r="AH12" s="379"/>
    </row>
    <row r="13" spans="1:34" s="440" customFormat="1" ht="27" customHeight="1" x14ac:dyDescent="0.5">
      <c r="A13" s="445"/>
      <c r="B13" s="444"/>
      <c r="C13" s="431"/>
      <c r="D13" s="430" t="s">
        <v>38</v>
      </c>
      <c r="E13" s="418" t="s">
        <v>31</v>
      </c>
      <c r="F13" s="439"/>
      <c r="G13" s="438">
        <v>12</v>
      </c>
      <c r="H13" s="443"/>
      <c r="I13" s="442"/>
      <c r="J13" s="379"/>
      <c r="K13" s="379"/>
      <c r="L13" s="379"/>
      <c r="M13" s="379"/>
      <c r="N13" s="379"/>
      <c r="O13" s="379"/>
      <c r="P13" s="379"/>
      <c r="Q13" s="379"/>
      <c r="R13" s="379"/>
      <c r="S13" s="379"/>
      <c r="T13" s="379"/>
      <c r="U13" s="441"/>
      <c r="V13" s="441"/>
      <c r="W13" s="441"/>
      <c r="X13" s="441"/>
      <c r="Y13" s="441"/>
      <c r="Z13" s="441"/>
      <c r="AA13" s="441"/>
      <c r="AB13" s="441"/>
      <c r="AC13" s="441"/>
      <c r="AD13" s="441"/>
      <c r="AE13" s="441"/>
      <c r="AF13" s="441"/>
      <c r="AG13" s="441"/>
      <c r="AH13" s="441"/>
    </row>
    <row r="14" spans="1:34" ht="27" customHeight="1" thickBot="1" x14ac:dyDescent="0.55000000000000004">
      <c r="A14" s="379"/>
      <c r="B14" s="380"/>
      <c r="C14" s="431"/>
      <c r="D14" s="430" t="s">
        <v>39</v>
      </c>
      <c r="E14" s="418" t="s">
        <v>31</v>
      </c>
      <c r="F14" s="439"/>
      <c r="G14" s="438">
        <v>25</v>
      </c>
      <c r="H14" s="392"/>
      <c r="I14" s="391"/>
      <c r="J14" s="379"/>
      <c r="K14" s="379"/>
      <c r="L14" s="379"/>
      <c r="M14" s="379"/>
      <c r="N14" s="379"/>
      <c r="O14" s="379"/>
      <c r="P14" s="379"/>
      <c r="Q14" s="379"/>
      <c r="R14" s="379"/>
      <c r="S14" s="379"/>
      <c r="T14" s="379"/>
      <c r="U14" s="379"/>
      <c r="V14" s="379"/>
      <c r="W14" s="379"/>
      <c r="X14" s="379"/>
      <c r="Y14" s="379"/>
      <c r="Z14" s="379"/>
      <c r="AA14" s="379"/>
      <c r="AB14" s="379"/>
      <c r="AC14" s="379"/>
      <c r="AD14" s="379"/>
      <c r="AE14" s="379"/>
      <c r="AF14" s="379"/>
      <c r="AG14" s="379"/>
      <c r="AH14" s="379"/>
    </row>
    <row r="15" spans="1:34" ht="27" customHeight="1" thickBot="1" x14ac:dyDescent="0.55000000000000004">
      <c r="A15" s="379"/>
      <c r="B15" s="380"/>
      <c r="C15" s="431"/>
      <c r="D15" s="383" t="s">
        <v>40</v>
      </c>
      <c r="E15" s="382" t="s">
        <v>31</v>
      </c>
      <c r="F15" s="437"/>
      <c r="G15" s="407">
        <v>20</v>
      </c>
      <c r="H15" s="392"/>
      <c r="I15" s="391"/>
      <c r="J15" s="480" t="s">
        <v>41</v>
      </c>
      <c r="K15" s="310"/>
      <c r="L15" s="310"/>
      <c r="M15" s="310"/>
      <c r="N15" s="311"/>
      <c r="O15" s="379"/>
      <c r="P15" s="379"/>
      <c r="Q15" s="379"/>
      <c r="R15" s="379"/>
      <c r="S15" s="379"/>
      <c r="T15" s="379"/>
      <c r="U15" s="379"/>
      <c r="V15" s="379"/>
      <c r="W15" s="379"/>
      <c r="X15" s="379"/>
      <c r="Y15" s="379"/>
      <c r="Z15" s="379"/>
      <c r="AA15" s="379"/>
      <c r="AB15" s="379"/>
      <c r="AC15" s="379"/>
      <c r="AD15" s="379"/>
      <c r="AE15" s="379"/>
      <c r="AF15" s="379"/>
      <c r="AG15" s="379"/>
      <c r="AH15" s="379"/>
    </row>
    <row r="16" spans="1:34" ht="27" customHeight="1" thickBot="1" x14ac:dyDescent="0.55000000000000004">
      <c r="A16" s="379"/>
      <c r="B16" s="380"/>
      <c r="C16" s="436" t="s">
        <v>23</v>
      </c>
      <c r="D16" s="435" t="s">
        <v>24</v>
      </c>
      <c r="E16" s="434" t="s">
        <v>25</v>
      </c>
      <c r="F16" s="434" t="s">
        <v>26</v>
      </c>
      <c r="G16" s="433" t="s">
        <v>42</v>
      </c>
      <c r="H16" s="392"/>
      <c r="I16" s="391"/>
      <c r="J16" s="481" t="s">
        <v>43</v>
      </c>
      <c r="K16" s="482" t="s">
        <v>44</v>
      </c>
      <c r="L16" s="545" t="s">
        <v>45</v>
      </c>
      <c r="M16" s="545"/>
      <c r="N16" s="483"/>
      <c r="O16" s="470" t="s">
        <v>46</v>
      </c>
      <c r="P16" s="471"/>
      <c r="Q16" s="379"/>
      <c r="R16" s="379"/>
      <c r="S16" s="379"/>
      <c r="T16" s="379"/>
      <c r="U16" s="379"/>
      <c r="V16" s="379"/>
      <c r="W16" s="379"/>
      <c r="X16" s="379"/>
      <c r="Y16" s="379"/>
      <c r="Z16" s="379"/>
      <c r="AA16" s="379"/>
      <c r="AB16" s="379"/>
      <c r="AC16" s="379"/>
      <c r="AD16" s="379"/>
      <c r="AE16" s="379"/>
      <c r="AF16" s="379"/>
      <c r="AG16" s="379"/>
      <c r="AH16" s="379"/>
    </row>
    <row r="17" spans="1:34" ht="27" customHeight="1" x14ac:dyDescent="0.5">
      <c r="A17" s="379"/>
      <c r="B17" s="380"/>
      <c r="C17" s="432" t="s">
        <v>47</v>
      </c>
      <c r="D17" s="396" t="s">
        <v>48</v>
      </c>
      <c r="E17" s="395" t="s">
        <v>31</v>
      </c>
      <c r="F17" s="395" t="s">
        <v>31</v>
      </c>
      <c r="G17" s="394">
        <v>8.42</v>
      </c>
      <c r="H17" s="392"/>
      <c r="I17" s="391"/>
      <c r="J17" s="252" t="s">
        <v>49</v>
      </c>
      <c r="K17" s="253">
        <f>0.177+0.0183</f>
        <v>0.1953</v>
      </c>
      <c r="L17" s="263">
        <v>45175</v>
      </c>
      <c r="M17" s="264" t="s">
        <v>50</v>
      </c>
      <c r="N17" s="265"/>
      <c r="O17" s="472">
        <v>0.44932</v>
      </c>
      <c r="P17" s="471" t="s">
        <v>51</v>
      </c>
      <c r="Q17" s="379"/>
      <c r="R17" s="379"/>
      <c r="S17" s="379"/>
      <c r="T17" s="379"/>
      <c r="U17" s="379"/>
      <c r="V17" s="379"/>
      <c r="W17" s="379"/>
      <c r="X17" s="379"/>
      <c r="Y17" s="379"/>
      <c r="Z17" s="379"/>
      <c r="AA17" s="379"/>
      <c r="AB17" s="379"/>
      <c r="AC17" s="379"/>
      <c r="AD17" s="379"/>
      <c r="AE17" s="379"/>
      <c r="AF17" s="379"/>
      <c r="AG17" s="379"/>
      <c r="AH17" s="379"/>
    </row>
    <row r="18" spans="1:34" ht="27" customHeight="1" thickBot="1" x14ac:dyDescent="0.55000000000000004">
      <c r="A18" s="379"/>
      <c r="B18" s="380"/>
      <c r="C18" s="431"/>
      <c r="D18" s="430" t="s">
        <v>52</v>
      </c>
      <c r="E18" s="427" t="s">
        <v>31</v>
      </c>
      <c r="F18" s="418" t="s">
        <v>31</v>
      </c>
      <c r="G18" s="429">
        <v>8.4208754827908177</v>
      </c>
      <c r="H18" s="392"/>
      <c r="I18" s="391"/>
      <c r="J18" s="254" t="s">
        <v>53</v>
      </c>
      <c r="K18" s="255">
        <v>0.18296000000000001</v>
      </c>
      <c r="L18" s="263">
        <v>44377</v>
      </c>
      <c r="M18" s="266" t="s">
        <v>54</v>
      </c>
      <c r="N18" s="265"/>
      <c r="O18" s="472">
        <v>0.184</v>
      </c>
      <c r="P18" s="471" t="s">
        <v>55</v>
      </c>
      <c r="Q18" s="379"/>
      <c r="R18" s="379"/>
      <c r="S18" s="379"/>
      <c r="T18" s="379"/>
      <c r="U18" s="379"/>
      <c r="V18" s="379"/>
      <c r="W18" s="379"/>
      <c r="X18" s="379"/>
      <c r="Y18" s="379"/>
      <c r="Z18" s="379"/>
      <c r="AA18" s="379"/>
      <c r="AB18" s="379"/>
      <c r="AC18" s="379"/>
      <c r="AD18" s="379"/>
      <c r="AE18" s="379"/>
      <c r="AF18" s="379"/>
      <c r="AG18" s="379"/>
      <c r="AH18" s="379"/>
    </row>
    <row r="19" spans="1:34" ht="27" customHeight="1" x14ac:dyDescent="0.5">
      <c r="A19" s="379"/>
      <c r="B19" s="380"/>
      <c r="C19" s="397" t="s">
        <v>56</v>
      </c>
      <c r="D19" s="396" t="s">
        <v>57</v>
      </c>
      <c r="E19" s="426"/>
      <c r="F19" s="426" t="s">
        <v>31</v>
      </c>
      <c r="G19" s="394">
        <v>6.84</v>
      </c>
      <c r="H19" s="392"/>
      <c r="I19" s="391"/>
      <c r="J19" s="256" t="s">
        <v>58</v>
      </c>
      <c r="K19" s="255">
        <v>0.25650000000000001</v>
      </c>
      <c r="L19" s="263">
        <v>44377</v>
      </c>
      <c r="M19" s="266" t="s">
        <v>54</v>
      </c>
      <c r="N19" s="265"/>
      <c r="O19" s="473">
        <v>0.27631</v>
      </c>
      <c r="P19" s="471" t="s">
        <v>59</v>
      </c>
      <c r="Q19" s="379"/>
      <c r="R19" s="379"/>
      <c r="S19" s="379"/>
      <c r="T19" s="379"/>
      <c r="U19" s="379"/>
      <c r="V19" s="379"/>
      <c r="W19" s="379"/>
      <c r="X19" s="379"/>
      <c r="Y19" s="379"/>
      <c r="Z19" s="379"/>
      <c r="AA19" s="379"/>
      <c r="AB19" s="379"/>
      <c r="AC19" s="379"/>
      <c r="AD19" s="379"/>
      <c r="AE19" s="379"/>
      <c r="AF19" s="379"/>
      <c r="AG19" s="379"/>
      <c r="AH19" s="379"/>
    </row>
    <row r="20" spans="1:34" ht="27" customHeight="1" x14ac:dyDescent="0.5">
      <c r="A20" s="379"/>
      <c r="B20" s="380"/>
      <c r="C20" s="393"/>
      <c r="D20" s="389" t="s">
        <v>60</v>
      </c>
      <c r="E20" s="418"/>
      <c r="F20" s="418" t="s">
        <v>31</v>
      </c>
      <c r="G20" s="387">
        <v>8.2079999999999984</v>
      </c>
      <c r="H20" s="392"/>
      <c r="I20" s="391"/>
      <c r="J20" s="257" t="s">
        <v>61</v>
      </c>
      <c r="K20" s="258">
        <v>0.26812999999999998</v>
      </c>
      <c r="L20" s="263">
        <v>44377</v>
      </c>
      <c r="M20" s="266" t="s">
        <v>54</v>
      </c>
      <c r="N20" s="265" t="s">
        <v>62</v>
      </c>
      <c r="O20" s="473">
        <v>0.26782</v>
      </c>
      <c r="P20" s="471" t="s">
        <v>63</v>
      </c>
      <c r="Q20" s="379"/>
      <c r="R20" s="379"/>
      <c r="S20" s="379"/>
      <c r="T20" s="379"/>
      <c r="U20" s="379"/>
      <c r="V20" s="379"/>
      <c r="W20" s="379"/>
      <c r="X20" s="379"/>
      <c r="Y20" s="379"/>
      <c r="Z20" s="379"/>
      <c r="AA20" s="379"/>
      <c r="AB20" s="379"/>
      <c r="AC20" s="379"/>
      <c r="AD20" s="379"/>
      <c r="AE20" s="379"/>
      <c r="AF20" s="379"/>
      <c r="AG20" s="379"/>
      <c r="AH20" s="379"/>
    </row>
    <row r="21" spans="1:34" ht="27" customHeight="1" x14ac:dyDescent="0.5">
      <c r="A21" s="379"/>
      <c r="B21" s="380"/>
      <c r="C21" s="393"/>
      <c r="D21" s="389" t="s">
        <v>64</v>
      </c>
      <c r="E21" s="418"/>
      <c r="F21" s="418" t="s">
        <v>31</v>
      </c>
      <c r="G21" s="387">
        <v>14.44</v>
      </c>
      <c r="H21" s="392"/>
      <c r="I21" s="391"/>
      <c r="J21" s="257" t="s">
        <v>65</v>
      </c>
      <c r="K21" s="258">
        <v>0.24676999999999999</v>
      </c>
      <c r="L21" s="263">
        <v>44377</v>
      </c>
      <c r="M21" s="266" t="s">
        <v>54</v>
      </c>
      <c r="N21" s="265" t="s">
        <v>66</v>
      </c>
      <c r="O21" s="473">
        <v>0.24665999999999999</v>
      </c>
      <c r="P21" s="471" t="s">
        <v>67</v>
      </c>
      <c r="Q21" s="379"/>
      <c r="R21" s="379"/>
      <c r="S21" s="379"/>
      <c r="T21" s="379"/>
      <c r="U21" s="379"/>
      <c r="V21" s="379"/>
      <c r="W21" s="379"/>
      <c r="X21" s="379"/>
      <c r="Y21" s="379"/>
      <c r="Z21" s="379"/>
      <c r="AA21" s="379"/>
      <c r="AB21" s="379"/>
      <c r="AC21" s="379"/>
      <c r="AD21" s="379"/>
      <c r="AE21" s="379"/>
      <c r="AF21" s="379"/>
      <c r="AG21" s="379"/>
      <c r="AH21" s="379"/>
    </row>
    <row r="22" spans="1:34" ht="27" customHeight="1" x14ac:dyDescent="0.5">
      <c r="A22" s="379"/>
      <c r="B22" s="380"/>
      <c r="C22" s="393"/>
      <c r="D22" s="428" t="s">
        <v>68</v>
      </c>
      <c r="E22" s="418"/>
      <c r="F22" s="418" t="s">
        <v>31</v>
      </c>
      <c r="G22" s="387">
        <v>13.68</v>
      </c>
      <c r="H22" s="392"/>
      <c r="I22" s="391"/>
      <c r="J22" s="259" t="s">
        <v>69</v>
      </c>
      <c r="K22" s="258">
        <v>0.34721000000000002</v>
      </c>
      <c r="L22" s="263">
        <v>44377</v>
      </c>
      <c r="M22" s="266" t="s">
        <v>54</v>
      </c>
      <c r="N22" s="265"/>
      <c r="O22" s="473">
        <v>0.32235000000000003</v>
      </c>
      <c r="P22" s="471" t="s">
        <v>70</v>
      </c>
      <c r="Q22" s="379"/>
      <c r="R22" s="379"/>
      <c r="S22" s="379"/>
      <c r="T22" s="379"/>
      <c r="U22" s="379"/>
      <c r="V22" s="379"/>
      <c r="W22" s="379"/>
      <c r="X22" s="379"/>
      <c r="Y22" s="379"/>
      <c r="Z22" s="379"/>
      <c r="AA22" s="379"/>
      <c r="AB22" s="379"/>
      <c r="AC22" s="379"/>
      <c r="AD22" s="379"/>
      <c r="AE22" s="379"/>
      <c r="AF22" s="379"/>
      <c r="AG22" s="379"/>
      <c r="AH22" s="379"/>
    </row>
    <row r="23" spans="1:34" ht="27" customHeight="1" thickBot="1" x14ac:dyDescent="0.55000000000000004">
      <c r="A23" s="379"/>
      <c r="B23" s="380"/>
      <c r="C23" s="398"/>
      <c r="D23" s="383" t="s">
        <v>71</v>
      </c>
      <c r="E23" s="418"/>
      <c r="F23" s="427" t="s">
        <v>31</v>
      </c>
      <c r="G23" s="381">
        <v>13.68</v>
      </c>
      <c r="H23" s="392"/>
      <c r="I23" s="391"/>
      <c r="J23" s="260" t="s">
        <v>72</v>
      </c>
      <c r="K23" s="258">
        <v>0.2145</v>
      </c>
      <c r="L23" s="263">
        <v>44377</v>
      </c>
      <c r="M23" s="266" t="s">
        <v>54</v>
      </c>
      <c r="N23" s="265"/>
      <c r="O23" s="473">
        <v>0.21457999999999999</v>
      </c>
      <c r="P23" s="471" t="s">
        <v>73</v>
      </c>
      <c r="Q23" s="379"/>
      <c r="R23" s="379"/>
      <c r="S23" s="379"/>
      <c r="T23" s="379"/>
      <c r="U23" s="379"/>
      <c r="V23" s="379"/>
      <c r="W23" s="379"/>
      <c r="X23" s="379"/>
      <c r="Y23" s="379"/>
      <c r="Z23" s="379"/>
      <c r="AA23" s="379"/>
      <c r="AB23" s="379"/>
      <c r="AC23" s="379"/>
      <c r="AD23" s="379"/>
      <c r="AE23" s="379"/>
      <c r="AF23" s="379"/>
      <c r="AG23" s="379"/>
      <c r="AH23" s="379"/>
    </row>
    <row r="24" spans="1:34" ht="27" customHeight="1" x14ac:dyDescent="0.5">
      <c r="A24" s="379"/>
      <c r="B24" s="380"/>
      <c r="C24" s="397" t="s">
        <v>74</v>
      </c>
      <c r="D24" s="396" t="s">
        <v>75</v>
      </c>
      <c r="E24" s="395" t="s">
        <v>31</v>
      </c>
      <c r="F24" s="426" t="s">
        <v>31</v>
      </c>
      <c r="G24" s="394">
        <v>15.2</v>
      </c>
      <c r="H24" s="392"/>
      <c r="I24" s="391"/>
      <c r="J24" s="261" t="s">
        <v>76</v>
      </c>
      <c r="K24" s="258">
        <v>1.15E-2</v>
      </c>
      <c r="L24" s="263">
        <v>44377</v>
      </c>
      <c r="M24" s="266" t="s">
        <v>77</v>
      </c>
      <c r="N24" s="265"/>
      <c r="O24" s="473">
        <v>3.7440000000000001E-2</v>
      </c>
      <c r="P24" s="471" t="s">
        <v>78</v>
      </c>
      <c r="Q24" s="379"/>
      <c r="R24" s="379"/>
      <c r="S24" s="379"/>
      <c r="T24" s="379"/>
      <c r="U24" s="379"/>
      <c r="V24" s="379"/>
      <c r="W24" s="379"/>
      <c r="X24" s="379"/>
      <c r="Y24" s="379"/>
      <c r="Z24" s="379"/>
      <c r="AA24" s="379"/>
      <c r="AB24" s="379"/>
      <c r="AC24" s="379"/>
      <c r="AD24" s="379"/>
      <c r="AE24" s="379"/>
      <c r="AF24" s="379"/>
      <c r="AG24" s="379"/>
      <c r="AH24" s="379"/>
    </row>
    <row r="25" spans="1:34" ht="27" customHeight="1" thickBot="1" x14ac:dyDescent="0.55000000000000004">
      <c r="A25" s="379"/>
      <c r="B25" s="380"/>
      <c r="C25" s="398"/>
      <c r="D25" s="383" t="s">
        <v>79</v>
      </c>
      <c r="E25" s="382" t="s">
        <v>31</v>
      </c>
      <c r="F25" s="382" t="s">
        <v>31</v>
      </c>
      <c r="G25" s="381">
        <v>15.2</v>
      </c>
      <c r="H25" s="392"/>
      <c r="I25" s="391"/>
      <c r="J25" s="257" t="s">
        <v>80</v>
      </c>
      <c r="K25" s="258">
        <v>1.15E-2</v>
      </c>
      <c r="L25" s="263">
        <v>44377</v>
      </c>
      <c r="M25" s="266" t="s">
        <v>54</v>
      </c>
      <c r="N25" s="265"/>
      <c r="O25" s="474">
        <v>7.92E-3</v>
      </c>
      <c r="P25" s="471" t="s">
        <v>81</v>
      </c>
      <c r="Q25" s="379"/>
      <c r="R25" s="379"/>
      <c r="S25" s="379"/>
      <c r="T25" s="379"/>
      <c r="U25" s="379"/>
      <c r="V25" s="379"/>
      <c r="W25" s="379"/>
      <c r="X25" s="379"/>
      <c r="Y25" s="379"/>
      <c r="Z25" s="379"/>
      <c r="AA25" s="379"/>
      <c r="AB25" s="379"/>
      <c r="AC25" s="379"/>
      <c r="AD25" s="379"/>
      <c r="AE25" s="379"/>
      <c r="AF25" s="379"/>
      <c r="AG25" s="379"/>
      <c r="AH25" s="379"/>
    </row>
    <row r="26" spans="1:34" ht="27" customHeight="1" thickBot="1" x14ac:dyDescent="0.55000000000000004">
      <c r="A26" s="379"/>
      <c r="B26" s="380"/>
      <c r="C26" s="588" t="s">
        <v>82</v>
      </c>
      <c r="D26" s="589" t="s">
        <v>83</v>
      </c>
      <c r="E26" s="418"/>
      <c r="F26" s="418" t="s">
        <v>31</v>
      </c>
      <c r="G26" s="591">
        <v>8.2100000000000009</v>
      </c>
      <c r="H26" s="392"/>
      <c r="I26" s="391"/>
      <c r="J26" s="254" t="s">
        <v>84</v>
      </c>
      <c r="K26" s="262">
        <v>2.2000000000000001E-4</v>
      </c>
      <c r="L26" s="263">
        <v>44377</v>
      </c>
      <c r="M26" s="267" t="s">
        <v>77</v>
      </c>
      <c r="N26" s="268"/>
      <c r="O26" s="475">
        <v>2.6419999999999999E-2</v>
      </c>
      <c r="P26" s="471" t="s">
        <v>85</v>
      </c>
      <c r="Q26" s="379"/>
      <c r="R26" s="379"/>
      <c r="S26" s="379"/>
      <c r="T26" s="379"/>
      <c r="U26" s="379"/>
      <c r="V26" s="379"/>
      <c r="W26" s="379"/>
      <c r="X26" s="379"/>
      <c r="Y26" s="379"/>
      <c r="Z26" s="379"/>
      <c r="AA26" s="379"/>
      <c r="AB26" s="379"/>
      <c r="AC26" s="379"/>
      <c r="AD26" s="379"/>
      <c r="AE26" s="379"/>
      <c r="AF26" s="379"/>
      <c r="AG26" s="379"/>
      <c r="AH26" s="379"/>
    </row>
    <row r="27" spans="1:34" ht="27" customHeight="1" thickBot="1" x14ac:dyDescent="0.55000000000000004">
      <c r="A27" s="379"/>
      <c r="B27" s="380"/>
      <c r="C27" s="425" t="s">
        <v>86</v>
      </c>
      <c r="D27" s="396" t="s">
        <v>87</v>
      </c>
      <c r="E27" s="418" t="s">
        <v>31</v>
      </c>
      <c r="F27" s="418"/>
      <c r="G27" s="394">
        <v>10.83</v>
      </c>
      <c r="H27" s="392"/>
      <c r="I27" s="391"/>
      <c r="J27" s="269" t="s">
        <v>88</v>
      </c>
      <c r="K27" s="655" t="s">
        <v>89</v>
      </c>
      <c r="L27" s="656"/>
      <c r="M27" s="656"/>
      <c r="N27" s="657"/>
      <c r="O27" s="476"/>
      <c r="P27" s="471"/>
      <c r="Q27" s="379"/>
      <c r="R27" s="379"/>
      <c r="S27" s="379"/>
      <c r="T27" s="379"/>
      <c r="U27" s="379"/>
      <c r="V27" s="379"/>
      <c r="W27" s="379"/>
      <c r="X27" s="379"/>
      <c r="Y27" s="379"/>
      <c r="Z27" s="379"/>
      <c r="AA27" s="379"/>
      <c r="AB27" s="379"/>
      <c r="AC27" s="379"/>
      <c r="AD27" s="379"/>
      <c r="AE27" s="379"/>
      <c r="AF27" s="379"/>
      <c r="AG27" s="379"/>
      <c r="AH27" s="379"/>
    </row>
    <row r="28" spans="1:34" ht="27" customHeight="1" thickBot="1" x14ac:dyDescent="0.55000000000000004">
      <c r="A28" s="379"/>
      <c r="B28" s="380"/>
      <c r="C28" s="424"/>
      <c r="D28" s="423" t="s">
        <v>90</v>
      </c>
      <c r="E28" s="418" t="s">
        <v>31</v>
      </c>
      <c r="F28" s="418"/>
      <c r="G28" s="422">
        <v>6.84</v>
      </c>
      <c r="H28" s="392"/>
      <c r="I28" s="391"/>
      <c r="J28" s="270"/>
      <c r="K28" s="271"/>
      <c r="L28" s="271"/>
      <c r="M28" s="271"/>
      <c r="N28" s="272"/>
      <c r="O28" s="379"/>
      <c r="P28" s="379"/>
      <c r="Q28" s="379"/>
      <c r="R28" s="379"/>
      <c r="S28" s="379"/>
      <c r="T28" s="379"/>
      <c r="U28" s="379"/>
      <c r="V28" s="379"/>
      <c r="W28" s="379"/>
      <c r="X28" s="379"/>
      <c r="Y28" s="379"/>
      <c r="Z28" s="379"/>
      <c r="AA28" s="379"/>
      <c r="AB28" s="379"/>
      <c r="AC28" s="379"/>
      <c r="AD28" s="379"/>
      <c r="AE28" s="379"/>
      <c r="AF28" s="379"/>
      <c r="AG28" s="379"/>
      <c r="AH28" s="379"/>
    </row>
    <row r="29" spans="1:34" ht="27" customHeight="1" x14ac:dyDescent="0.5">
      <c r="A29" s="379"/>
      <c r="B29" s="380"/>
      <c r="C29" s="421"/>
      <c r="D29" s="420" t="s">
        <v>91</v>
      </c>
      <c r="E29" s="418" t="s">
        <v>31</v>
      </c>
      <c r="F29" s="418"/>
      <c r="G29" s="419">
        <v>25</v>
      </c>
      <c r="H29" s="392"/>
      <c r="I29" s="391"/>
      <c r="J29" s="379"/>
      <c r="K29" s="379"/>
      <c r="L29" s="379"/>
      <c r="M29" s="379"/>
      <c r="N29" s="379"/>
      <c r="O29" s="379"/>
      <c r="P29" s="379"/>
      <c r="Q29" s="379"/>
      <c r="R29" s="379"/>
      <c r="S29" s="379"/>
      <c r="T29" s="379"/>
      <c r="U29" s="379"/>
      <c r="V29" s="379"/>
      <c r="W29" s="379"/>
      <c r="X29" s="379"/>
      <c r="Y29" s="379"/>
      <c r="Z29" s="379"/>
      <c r="AA29" s="379"/>
      <c r="AB29" s="379"/>
      <c r="AC29" s="379"/>
      <c r="AD29" s="379"/>
      <c r="AE29" s="379"/>
      <c r="AF29" s="379"/>
      <c r="AG29" s="379"/>
      <c r="AH29" s="379"/>
    </row>
    <row r="30" spans="1:34" ht="27" customHeight="1" x14ac:dyDescent="0.5">
      <c r="A30" s="379"/>
      <c r="B30" s="380"/>
      <c r="C30" s="393"/>
      <c r="D30" s="420" t="s">
        <v>92</v>
      </c>
      <c r="E30" s="418" t="s">
        <v>31</v>
      </c>
      <c r="F30" s="418"/>
      <c r="G30" s="419">
        <v>15</v>
      </c>
      <c r="H30" s="392"/>
      <c r="I30" s="391"/>
      <c r="J30" s="379"/>
      <c r="K30" s="379"/>
      <c r="L30" s="379"/>
      <c r="M30" s="379"/>
      <c r="N30" s="379"/>
      <c r="O30" s="379"/>
      <c r="P30" s="379"/>
      <c r="Q30" s="379"/>
      <c r="R30" s="379"/>
      <c r="S30" s="379"/>
      <c r="T30" s="379"/>
      <c r="U30" s="379"/>
      <c r="V30" s="379"/>
      <c r="W30" s="379"/>
      <c r="X30" s="379"/>
      <c r="Y30" s="379"/>
      <c r="Z30" s="379"/>
      <c r="AA30" s="379"/>
      <c r="AB30" s="379"/>
      <c r="AC30" s="379"/>
      <c r="AD30" s="379"/>
      <c r="AE30" s="379"/>
      <c r="AF30" s="379"/>
      <c r="AG30" s="379"/>
      <c r="AH30" s="379"/>
    </row>
    <row r="31" spans="1:34" ht="27" customHeight="1" x14ac:dyDescent="0.5">
      <c r="A31" s="379"/>
      <c r="B31" s="380"/>
      <c r="C31" s="393"/>
      <c r="D31" s="389" t="s">
        <v>93</v>
      </c>
      <c r="E31" s="418" t="s">
        <v>31</v>
      </c>
      <c r="F31" s="418"/>
      <c r="G31" s="387">
        <v>28.5</v>
      </c>
      <c r="H31" s="392"/>
      <c r="I31" s="391"/>
      <c r="J31" s="379"/>
      <c r="K31" s="379"/>
      <c r="L31" s="379"/>
      <c r="M31" s="379"/>
      <c r="N31" s="379"/>
      <c r="O31" s="379"/>
      <c r="P31" s="379"/>
      <c r="Q31" s="379"/>
      <c r="R31" s="379"/>
      <c r="S31" s="379"/>
      <c r="T31" s="379"/>
      <c r="U31" s="379"/>
      <c r="V31" s="379"/>
      <c r="W31" s="379"/>
      <c r="X31" s="379"/>
      <c r="Y31" s="379"/>
      <c r="Z31" s="379"/>
      <c r="AA31" s="379"/>
      <c r="AB31" s="379"/>
      <c r="AC31" s="379"/>
      <c r="AD31" s="379"/>
      <c r="AE31" s="379"/>
      <c r="AF31" s="379"/>
      <c r="AG31" s="379"/>
      <c r="AH31" s="379"/>
    </row>
    <row r="32" spans="1:34" ht="27" customHeight="1" x14ac:dyDescent="0.5">
      <c r="A32" s="379"/>
      <c r="B32" s="380"/>
      <c r="C32" s="393"/>
      <c r="D32" s="389" t="s">
        <v>94</v>
      </c>
      <c r="E32" s="418" t="s">
        <v>31</v>
      </c>
      <c r="F32" s="418"/>
      <c r="G32" s="387">
        <v>7.3</v>
      </c>
      <c r="H32" s="392"/>
      <c r="I32" s="391"/>
      <c r="J32" s="379"/>
      <c r="K32" s="379"/>
      <c r="L32" s="379"/>
      <c r="M32" s="379"/>
      <c r="N32" s="379"/>
      <c r="O32" s="379"/>
      <c r="P32" s="379"/>
      <c r="Q32" s="379"/>
      <c r="R32" s="379"/>
      <c r="S32" s="379"/>
      <c r="T32" s="379"/>
      <c r="U32" s="379"/>
      <c r="V32" s="379"/>
      <c r="W32" s="379"/>
      <c r="X32" s="379"/>
      <c r="Y32" s="379"/>
      <c r="Z32" s="379"/>
      <c r="AA32" s="379"/>
      <c r="AB32" s="379"/>
      <c r="AC32" s="379"/>
      <c r="AD32" s="379"/>
      <c r="AE32" s="379"/>
      <c r="AF32" s="379"/>
      <c r="AG32" s="379"/>
      <c r="AH32" s="379"/>
    </row>
    <row r="33" spans="1:34" ht="27" customHeight="1" thickBot="1" x14ac:dyDescent="0.55000000000000004">
      <c r="A33" s="379"/>
      <c r="B33" s="380"/>
      <c r="C33" s="398"/>
      <c r="D33" s="383" t="s">
        <v>95</v>
      </c>
      <c r="E33" s="418" t="s">
        <v>31</v>
      </c>
      <c r="F33" s="418"/>
      <c r="G33" s="381">
        <v>20</v>
      </c>
      <c r="H33" s="392"/>
      <c r="I33" s="391"/>
      <c r="J33" s="379"/>
      <c r="K33" s="379"/>
      <c r="L33" s="379"/>
      <c r="M33" s="379"/>
      <c r="N33" s="379"/>
      <c r="O33" s="379"/>
      <c r="P33" s="379"/>
      <c r="Q33" s="379"/>
      <c r="R33" s="379"/>
      <c r="S33" s="379"/>
      <c r="T33" s="379"/>
      <c r="U33" s="379"/>
      <c r="V33" s="379"/>
      <c r="W33" s="379"/>
      <c r="X33" s="379"/>
      <c r="Y33" s="379"/>
      <c r="Z33" s="379"/>
      <c r="AA33" s="379"/>
      <c r="AB33" s="379"/>
      <c r="AC33" s="379"/>
      <c r="AD33" s="379"/>
      <c r="AE33" s="379"/>
      <c r="AF33" s="379"/>
      <c r="AG33" s="379"/>
      <c r="AH33" s="379"/>
    </row>
    <row r="34" spans="1:34" ht="27" customHeight="1" x14ac:dyDescent="0.5">
      <c r="A34" s="379"/>
      <c r="B34" s="380"/>
      <c r="C34" s="397" t="s">
        <v>96</v>
      </c>
      <c r="D34" s="396" t="s">
        <v>97</v>
      </c>
      <c r="E34" s="395" t="s">
        <v>31</v>
      </c>
      <c r="F34" s="395"/>
      <c r="G34" s="394">
        <v>14</v>
      </c>
      <c r="H34" s="392"/>
      <c r="I34" s="391"/>
      <c r="J34" s="379"/>
      <c r="K34" s="379"/>
      <c r="L34" s="379"/>
      <c r="M34" s="379"/>
      <c r="N34" s="379"/>
      <c r="O34" s="379"/>
      <c r="P34" s="379"/>
      <c r="Q34" s="379"/>
      <c r="R34" s="379"/>
      <c r="S34" s="379"/>
      <c r="T34" s="379"/>
      <c r="U34" s="379"/>
      <c r="V34" s="379"/>
      <c r="W34" s="379"/>
      <c r="X34" s="379"/>
      <c r="Y34" s="379"/>
      <c r="Z34" s="379"/>
      <c r="AA34" s="379"/>
      <c r="AB34" s="379"/>
      <c r="AC34" s="379"/>
      <c r="AD34" s="379"/>
      <c r="AE34" s="379"/>
      <c r="AF34" s="379"/>
      <c r="AG34" s="379"/>
      <c r="AH34" s="379"/>
    </row>
    <row r="35" spans="1:34" ht="27" customHeight="1" x14ac:dyDescent="0.5">
      <c r="A35" s="379"/>
      <c r="B35" s="380"/>
      <c r="C35" s="393"/>
      <c r="D35" s="389" t="s">
        <v>98</v>
      </c>
      <c r="E35" s="418" t="s">
        <v>31</v>
      </c>
      <c r="F35" s="418"/>
      <c r="G35" s="387">
        <v>25</v>
      </c>
      <c r="H35" s="392"/>
      <c r="I35" s="391"/>
      <c r="J35" s="379"/>
      <c r="K35" s="379"/>
      <c r="L35" s="379"/>
      <c r="M35" s="379"/>
      <c r="N35" s="379"/>
      <c r="O35" s="379"/>
      <c r="P35" s="379"/>
      <c r="Q35" s="379"/>
      <c r="R35" s="379"/>
      <c r="S35" s="379"/>
      <c r="T35" s="379"/>
      <c r="U35" s="379"/>
      <c r="V35" s="379"/>
      <c r="W35" s="379"/>
      <c r="X35" s="379"/>
      <c r="Y35" s="379"/>
      <c r="Z35" s="379"/>
      <c r="AA35" s="379"/>
      <c r="AB35" s="379"/>
      <c r="AC35" s="379"/>
      <c r="AD35" s="379"/>
      <c r="AE35" s="379"/>
      <c r="AF35" s="379"/>
      <c r="AG35" s="379"/>
      <c r="AH35" s="379"/>
    </row>
    <row r="36" spans="1:34" ht="27" customHeight="1" thickBot="1" x14ac:dyDescent="0.55000000000000004">
      <c r="A36" s="379"/>
      <c r="B36" s="380"/>
      <c r="C36" s="393"/>
      <c r="D36" s="389" t="s">
        <v>99</v>
      </c>
      <c r="E36" s="418" t="s">
        <v>31</v>
      </c>
      <c r="F36" s="418"/>
      <c r="G36" s="387">
        <v>12</v>
      </c>
      <c r="H36" s="392"/>
      <c r="I36" s="391"/>
      <c r="J36" s="379"/>
      <c r="K36" s="379"/>
      <c r="L36" s="379"/>
      <c r="M36" s="379"/>
      <c r="N36" s="379"/>
      <c r="O36" s="379"/>
      <c r="P36" s="379"/>
      <c r="Q36" s="379"/>
      <c r="R36" s="379"/>
      <c r="S36" s="379"/>
      <c r="T36" s="379"/>
      <c r="U36" s="379"/>
      <c r="V36" s="379"/>
      <c r="W36" s="379"/>
      <c r="X36" s="379"/>
      <c r="Y36" s="379"/>
      <c r="Z36" s="379"/>
      <c r="AA36" s="379"/>
      <c r="AB36" s="379"/>
      <c r="AC36" s="379"/>
      <c r="AD36" s="379"/>
      <c r="AE36" s="379"/>
      <c r="AF36" s="379"/>
      <c r="AG36" s="379"/>
      <c r="AH36" s="379"/>
    </row>
    <row r="37" spans="1:34" ht="27" customHeight="1" x14ac:dyDescent="0.5">
      <c r="A37" s="379"/>
      <c r="B37" s="380"/>
      <c r="C37" s="397" t="s">
        <v>100</v>
      </c>
      <c r="D37" s="396" t="s">
        <v>101</v>
      </c>
      <c r="E37" s="395" t="s">
        <v>31</v>
      </c>
      <c r="F37" s="395"/>
      <c r="G37" s="394">
        <v>60</v>
      </c>
      <c r="H37" s="392"/>
      <c r="I37" s="391"/>
      <c r="J37" s="379"/>
      <c r="K37" s="379"/>
      <c r="L37" s="379"/>
      <c r="M37" s="379"/>
      <c r="N37" s="379"/>
      <c r="O37" s="379"/>
      <c r="P37" s="379"/>
      <c r="Q37" s="379"/>
      <c r="R37" s="379"/>
      <c r="S37" s="379"/>
      <c r="T37" s="379"/>
      <c r="U37" s="379"/>
      <c r="V37" s="379"/>
      <c r="W37" s="379"/>
      <c r="X37" s="379"/>
      <c r="Y37" s="379"/>
      <c r="Z37" s="379"/>
      <c r="AA37" s="379"/>
      <c r="AB37" s="379"/>
      <c r="AC37" s="379"/>
      <c r="AD37" s="379"/>
      <c r="AE37" s="379"/>
      <c r="AF37" s="379"/>
      <c r="AG37" s="379"/>
      <c r="AH37" s="379"/>
    </row>
    <row r="38" spans="1:34" ht="27" customHeight="1" x14ac:dyDescent="0.5">
      <c r="A38" s="379"/>
      <c r="B38" s="380"/>
      <c r="C38" s="393"/>
      <c r="D38" s="389" t="s">
        <v>102</v>
      </c>
      <c r="E38" s="418" t="s">
        <v>31</v>
      </c>
      <c r="F38" s="418"/>
      <c r="G38" s="387">
        <v>28</v>
      </c>
      <c r="H38" s="392"/>
      <c r="I38" s="391"/>
      <c r="J38" s="379"/>
      <c r="K38" s="379"/>
      <c r="L38" s="379"/>
      <c r="M38" s="379"/>
      <c r="N38" s="379"/>
      <c r="O38" s="379"/>
      <c r="P38" s="379"/>
      <c r="Q38" s="379"/>
      <c r="R38" s="379"/>
      <c r="S38" s="379"/>
      <c r="T38" s="379"/>
      <c r="U38" s="379"/>
      <c r="V38" s="379"/>
      <c r="W38" s="379"/>
      <c r="X38" s="379"/>
      <c r="Y38" s="379"/>
      <c r="Z38" s="379"/>
      <c r="AA38" s="379"/>
      <c r="AB38" s="379"/>
      <c r="AC38" s="379"/>
      <c r="AD38" s="379"/>
      <c r="AE38" s="379"/>
      <c r="AF38" s="379"/>
      <c r="AG38" s="379"/>
      <c r="AH38" s="379"/>
    </row>
    <row r="39" spans="1:34" ht="27" customHeight="1" x14ac:dyDescent="0.5">
      <c r="A39" s="379"/>
      <c r="B39" s="380"/>
      <c r="C39" s="393"/>
      <c r="D39" s="389" t="s">
        <v>103</v>
      </c>
      <c r="E39" s="418" t="s">
        <v>31</v>
      </c>
      <c r="F39" s="418"/>
      <c r="G39" s="387">
        <v>35</v>
      </c>
      <c r="H39" s="392"/>
      <c r="I39" s="391"/>
      <c r="J39" s="379"/>
      <c r="K39" s="379"/>
      <c r="L39" s="379"/>
      <c r="M39" s="379"/>
      <c r="N39" s="379"/>
      <c r="O39" s="379"/>
      <c r="P39" s="379"/>
      <c r="Q39" s="379"/>
      <c r="R39" s="379"/>
      <c r="S39" s="379"/>
      <c r="T39" s="379"/>
      <c r="U39" s="379"/>
      <c r="V39" s="379"/>
      <c r="W39" s="379"/>
      <c r="X39" s="379"/>
      <c r="Y39" s="379"/>
      <c r="Z39" s="379"/>
      <c r="AA39" s="379"/>
      <c r="AB39" s="379"/>
      <c r="AC39" s="379"/>
      <c r="AD39" s="379"/>
      <c r="AE39" s="379"/>
      <c r="AF39" s="379"/>
      <c r="AG39" s="379"/>
      <c r="AH39" s="379"/>
    </row>
    <row r="40" spans="1:34" ht="27" customHeight="1" x14ac:dyDescent="0.5">
      <c r="A40" s="379"/>
      <c r="B40" s="380"/>
      <c r="C40" s="393"/>
      <c r="D40" s="389" t="s">
        <v>104</v>
      </c>
      <c r="E40" s="418" t="s">
        <v>31</v>
      </c>
      <c r="F40" s="418"/>
      <c r="G40" s="387">
        <v>27</v>
      </c>
      <c r="H40" s="392"/>
      <c r="I40" s="391"/>
      <c r="J40" s="379"/>
      <c r="K40" s="379"/>
      <c r="L40" s="379"/>
      <c r="M40" s="379"/>
      <c r="N40" s="379"/>
      <c r="O40" s="379"/>
      <c r="P40" s="379"/>
      <c r="Q40" s="379"/>
      <c r="R40" s="379"/>
      <c r="S40" s="379"/>
      <c r="T40" s="379"/>
      <c r="U40" s="379"/>
      <c r="V40" s="379"/>
      <c r="W40" s="379"/>
      <c r="X40" s="379"/>
      <c r="Y40" s="379"/>
      <c r="Z40" s="379"/>
      <c r="AA40" s="379"/>
      <c r="AB40" s="379"/>
      <c r="AC40" s="379"/>
      <c r="AD40" s="379"/>
      <c r="AE40" s="379"/>
      <c r="AF40" s="379"/>
      <c r="AG40" s="379"/>
      <c r="AH40" s="379"/>
    </row>
    <row r="41" spans="1:34" ht="27" customHeight="1" x14ac:dyDescent="0.5">
      <c r="A41" s="379"/>
      <c r="B41" s="380"/>
      <c r="C41" s="393"/>
      <c r="D41" s="389" t="s">
        <v>105</v>
      </c>
      <c r="E41" s="418" t="s">
        <v>31</v>
      </c>
      <c r="F41" s="418"/>
      <c r="G41" s="387">
        <v>27</v>
      </c>
      <c r="H41" s="392"/>
      <c r="I41" s="391"/>
      <c r="J41" s="379"/>
      <c r="K41" s="379"/>
      <c r="L41" s="379"/>
      <c r="M41" s="379"/>
      <c r="N41" s="379"/>
      <c r="O41" s="379"/>
      <c r="P41" s="379"/>
      <c r="Q41" s="379"/>
      <c r="R41" s="379"/>
      <c r="S41" s="379"/>
      <c r="T41" s="379"/>
      <c r="U41" s="379"/>
      <c r="V41" s="379"/>
      <c r="W41" s="379"/>
      <c r="X41" s="379"/>
      <c r="Y41" s="379"/>
      <c r="Z41" s="379"/>
      <c r="AA41" s="379"/>
      <c r="AB41" s="379"/>
      <c r="AC41" s="379"/>
      <c r="AD41" s="379"/>
      <c r="AE41" s="379"/>
      <c r="AF41" s="379"/>
      <c r="AG41" s="379"/>
      <c r="AH41" s="379"/>
    </row>
    <row r="42" spans="1:34" ht="27" customHeight="1" x14ac:dyDescent="0.5">
      <c r="A42" s="379"/>
      <c r="B42" s="380"/>
      <c r="C42" s="393"/>
      <c r="D42" s="389" t="s">
        <v>106</v>
      </c>
      <c r="E42" s="418" t="s">
        <v>31</v>
      </c>
      <c r="F42" s="418"/>
      <c r="G42" s="387">
        <v>30</v>
      </c>
      <c r="H42" s="392"/>
      <c r="I42" s="391"/>
      <c r="J42" s="379"/>
      <c r="K42" s="379"/>
      <c r="L42" s="379"/>
      <c r="M42" s="379"/>
      <c r="N42" s="379"/>
      <c r="O42" s="379"/>
      <c r="P42" s="379"/>
      <c r="Q42" s="379"/>
      <c r="R42" s="379"/>
      <c r="S42" s="379"/>
      <c r="T42" s="379"/>
      <c r="U42" s="379"/>
      <c r="V42" s="379"/>
      <c r="W42" s="379"/>
      <c r="X42" s="379"/>
      <c r="Y42" s="379"/>
      <c r="Z42" s="379"/>
      <c r="AA42" s="379"/>
      <c r="AB42" s="379"/>
      <c r="AC42" s="379"/>
      <c r="AD42" s="379"/>
      <c r="AE42" s="379"/>
      <c r="AF42" s="379"/>
      <c r="AG42" s="379"/>
      <c r="AH42" s="379"/>
    </row>
    <row r="43" spans="1:34" ht="27" customHeight="1" x14ac:dyDescent="0.5">
      <c r="A43" s="379"/>
      <c r="B43" s="380"/>
      <c r="C43" s="393"/>
      <c r="D43" s="389" t="s">
        <v>107</v>
      </c>
      <c r="E43" s="418" t="s">
        <v>31</v>
      </c>
      <c r="F43" s="418"/>
      <c r="G43" s="387">
        <v>30</v>
      </c>
      <c r="H43" s="392"/>
      <c r="I43" s="391"/>
      <c r="J43" s="379"/>
      <c r="K43" s="379"/>
      <c r="L43" s="379"/>
      <c r="M43" s="379"/>
      <c r="N43" s="379"/>
      <c r="O43" s="379"/>
      <c r="P43" s="379"/>
      <c r="Q43" s="379"/>
      <c r="R43" s="379"/>
      <c r="S43" s="379"/>
      <c r="T43" s="379"/>
      <c r="U43" s="379"/>
      <c r="V43" s="379"/>
      <c r="W43" s="379"/>
      <c r="X43" s="379"/>
      <c r="Y43" s="379"/>
      <c r="Z43" s="379"/>
      <c r="AA43" s="379"/>
      <c r="AB43" s="379"/>
      <c r="AC43" s="379"/>
      <c r="AD43" s="379"/>
      <c r="AE43" s="379"/>
      <c r="AF43" s="379"/>
      <c r="AG43" s="379"/>
      <c r="AH43" s="379"/>
    </row>
    <row r="44" spans="1:34" ht="27" customHeight="1" thickBot="1" x14ac:dyDescent="0.55000000000000004">
      <c r="A44" s="379"/>
      <c r="B44" s="380"/>
      <c r="C44" s="398"/>
      <c r="D44" s="383" t="s">
        <v>108</v>
      </c>
      <c r="E44" s="418" t="s">
        <v>31</v>
      </c>
      <c r="F44" s="418"/>
      <c r="G44" s="381">
        <v>7.92</v>
      </c>
      <c r="H44" s="392"/>
      <c r="I44" s="391"/>
      <c r="J44" s="379"/>
      <c r="K44" s="379"/>
      <c r="L44" s="379"/>
      <c r="M44" s="379"/>
      <c r="N44" s="379"/>
      <c r="O44" s="379"/>
      <c r="P44" s="379"/>
      <c r="Q44" s="379"/>
      <c r="R44" s="379"/>
      <c r="S44" s="379"/>
      <c r="T44" s="379"/>
      <c r="U44" s="379"/>
      <c r="V44" s="379"/>
      <c r="W44" s="379"/>
      <c r="X44" s="379"/>
      <c r="Y44" s="379"/>
      <c r="Z44" s="379"/>
      <c r="AA44" s="379"/>
      <c r="AB44" s="379"/>
      <c r="AC44" s="379"/>
      <c r="AD44" s="379"/>
      <c r="AE44" s="379"/>
      <c r="AF44" s="379"/>
      <c r="AG44" s="379"/>
      <c r="AH44" s="379"/>
    </row>
    <row r="45" spans="1:34" ht="27" customHeight="1" thickBot="1" x14ac:dyDescent="0.55000000000000004">
      <c r="A45" s="379"/>
      <c r="B45" s="380"/>
      <c r="C45" s="406" t="s">
        <v>109</v>
      </c>
      <c r="D45" s="405" t="s">
        <v>109</v>
      </c>
      <c r="E45" s="404" t="s">
        <v>31</v>
      </c>
      <c r="F45" s="404"/>
      <c r="G45" s="403">
        <v>29.25</v>
      </c>
      <c r="H45" s="392"/>
      <c r="I45" s="391"/>
      <c r="J45" s="379"/>
      <c r="K45" s="379"/>
      <c r="L45" s="379"/>
      <c r="M45" s="379"/>
      <c r="N45" s="379"/>
      <c r="O45" s="379"/>
      <c r="P45" s="379"/>
      <c r="Q45" s="379"/>
      <c r="R45" s="379"/>
      <c r="S45" s="379"/>
      <c r="T45" s="379"/>
      <c r="U45" s="379"/>
      <c r="V45" s="379"/>
      <c r="W45" s="379"/>
      <c r="X45" s="379"/>
      <c r="Y45" s="379"/>
      <c r="Z45" s="379"/>
      <c r="AA45" s="379"/>
      <c r="AB45" s="379"/>
      <c r="AC45" s="379"/>
      <c r="AD45" s="379"/>
      <c r="AE45" s="379"/>
      <c r="AF45" s="379"/>
      <c r="AG45" s="379"/>
      <c r="AH45" s="379"/>
    </row>
    <row r="46" spans="1:34" ht="27" customHeight="1" x14ac:dyDescent="0.5">
      <c r="A46" s="379"/>
      <c r="B46" s="380"/>
      <c r="C46" s="417" t="s">
        <v>110</v>
      </c>
      <c r="D46" s="416" t="s">
        <v>111</v>
      </c>
      <c r="E46" s="415" t="s">
        <v>31</v>
      </c>
      <c r="F46" s="415"/>
      <c r="G46" s="387">
        <v>15</v>
      </c>
      <c r="H46" s="392"/>
      <c r="I46" s="391"/>
      <c r="J46" s="379"/>
      <c r="K46" s="379"/>
      <c r="L46" s="379"/>
      <c r="M46" s="379"/>
      <c r="N46" s="379"/>
      <c r="O46" s="379"/>
      <c r="P46" s="379"/>
      <c r="Q46" s="379"/>
      <c r="R46" s="379"/>
      <c r="S46" s="379"/>
      <c r="T46" s="379"/>
      <c r="U46" s="379"/>
      <c r="V46" s="379"/>
      <c r="W46" s="379"/>
      <c r="X46" s="379"/>
      <c r="Y46" s="379"/>
      <c r="Z46" s="379"/>
      <c r="AA46" s="379"/>
      <c r="AB46" s="379"/>
      <c r="AC46" s="379"/>
      <c r="AD46" s="379"/>
      <c r="AE46" s="379"/>
      <c r="AF46" s="379"/>
      <c r="AG46" s="379"/>
      <c r="AH46" s="379"/>
    </row>
    <row r="47" spans="1:34" ht="27" customHeight="1" x14ac:dyDescent="0.5">
      <c r="A47" s="379"/>
      <c r="B47" s="380"/>
      <c r="C47" s="393"/>
      <c r="D47" s="389" t="s">
        <v>112</v>
      </c>
      <c r="E47" s="415" t="s">
        <v>31</v>
      </c>
      <c r="F47" s="415"/>
      <c r="G47" s="387">
        <v>10</v>
      </c>
      <c r="H47" s="392"/>
      <c r="I47" s="391"/>
      <c r="J47" s="379"/>
      <c r="K47" s="379"/>
      <c r="L47" s="379"/>
      <c r="M47" s="379"/>
      <c r="N47" s="379"/>
      <c r="O47" s="379"/>
      <c r="P47" s="379"/>
      <c r="Q47" s="379"/>
      <c r="R47" s="379"/>
      <c r="S47" s="379"/>
      <c r="T47" s="379"/>
      <c r="U47" s="379"/>
      <c r="V47" s="379"/>
      <c r="W47" s="379"/>
      <c r="X47" s="379"/>
      <c r="Y47" s="379"/>
      <c r="Z47" s="379"/>
      <c r="AA47" s="379"/>
      <c r="AB47" s="379"/>
      <c r="AC47" s="379"/>
      <c r="AD47" s="379"/>
      <c r="AE47" s="379"/>
      <c r="AF47" s="379"/>
      <c r="AG47" s="379"/>
      <c r="AH47" s="379"/>
    </row>
    <row r="48" spans="1:34" ht="27" customHeight="1" x14ac:dyDescent="0.5">
      <c r="A48" s="379"/>
      <c r="B48" s="380"/>
      <c r="C48" s="393"/>
      <c r="D48" s="389" t="s">
        <v>113</v>
      </c>
      <c r="E48" s="415" t="s">
        <v>31</v>
      </c>
      <c r="F48" s="415"/>
      <c r="G48" s="387">
        <v>29.25</v>
      </c>
      <c r="H48" s="392"/>
      <c r="I48" s="391"/>
      <c r="J48" s="379"/>
      <c r="K48" s="379"/>
      <c r="L48" s="379"/>
      <c r="M48" s="379"/>
      <c r="N48" s="379"/>
      <c r="O48" s="379"/>
      <c r="P48" s="379"/>
      <c r="Q48" s="379"/>
      <c r="R48" s="379"/>
      <c r="S48" s="379"/>
      <c r="T48" s="379"/>
      <c r="U48" s="379"/>
      <c r="V48" s="379"/>
      <c r="W48" s="379"/>
      <c r="X48" s="379"/>
      <c r="Y48" s="379"/>
      <c r="Z48" s="379"/>
      <c r="AA48" s="379"/>
      <c r="AB48" s="379"/>
      <c r="AC48" s="379"/>
      <c r="AD48" s="379"/>
      <c r="AE48" s="379"/>
      <c r="AF48" s="379"/>
      <c r="AG48" s="379"/>
      <c r="AH48" s="379"/>
    </row>
    <row r="49" spans="1:34" ht="27" customHeight="1" x14ac:dyDescent="0.5">
      <c r="A49" s="379"/>
      <c r="B49" s="380"/>
      <c r="C49" s="393"/>
      <c r="D49" s="389" t="s">
        <v>114</v>
      </c>
      <c r="E49" s="415" t="s">
        <v>31</v>
      </c>
      <c r="F49" s="415"/>
      <c r="G49" s="387">
        <v>29.25</v>
      </c>
      <c r="H49" s="392"/>
      <c r="I49" s="391"/>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row>
    <row r="50" spans="1:34" ht="27" customHeight="1" thickBot="1" x14ac:dyDescent="0.55000000000000004">
      <c r="A50" s="379"/>
      <c r="B50" s="380"/>
      <c r="C50" s="398"/>
      <c r="D50" s="383" t="s">
        <v>115</v>
      </c>
      <c r="E50" s="415" t="s">
        <v>31</v>
      </c>
      <c r="F50" s="415"/>
      <c r="G50" s="381">
        <v>8</v>
      </c>
      <c r="H50" s="392"/>
      <c r="I50" s="391"/>
      <c r="J50" s="379"/>
      <c r="K50" s="379"/>
      <c r="L50" s="379"/>
      <c r="M50" s="379"/>
      <c r="N50" s="379"/>
      <c r="O50" s="379"/>
      <c r="P50" s="379"/>
      <c r="Q50" s="379"/>
      <c r="R50" s="379"/>
      <c r="S50" s="379"/>
      <c r="T50" s="379"/>
      <c r="U50" s="379"/>
      <c r="V50" s="379"/>
      <c r="W50" s="379"/>
      <c r="X50" s="379"/>
      <c r="Y50" s="379"/>
      <c r="Z50" s="379"/>
      <c r="AA50" s="379"/>
      <c r="AB50" s="379"/>
      <c r="AC50" s="379"/>
      <c r="AD50" s="379"/>
      <c r="AE50" s="379"/>
      <c r="AF50" s="379"/>
      <c r="AG50" s="379"/>
      <c r="AH50" s="379"/>
    </row>
    <row r="51" spans="1:34" ht="27" customHeight="1" x14ac:dyDescent="0.5">
      <c r="A51" s="379"/>
      <c r="B51" s="380"/>
      <c r="C51" s="397" t="s">
        <v>116</v>
      </c>
      <c r="D51" s="396" t="s">
        <v>117</v>
      </c>
      <c r="E51" s="395" t="s">
        <v>31</v>
      </c>
      <c r="F51" s="395"/>
      <c r="G51" s="394">
        <v>9</v>
      </c>
      <c r="H51" s="392"/>
      <c r="I51" s="391"/>
      <c r="J51" s="379"/>
      <c r="K51" s="379"/>
      <c r="L51" s="379"/>
      <c r="M51" s="379"/>
      <c r="N51" s="379"/>
      <c r="O51" s="379"/>
      <c r="P51" s="379"/>
      <c r="Q51" s="379"/>
      <c r="R51" s="379"/>
      <c r="S51" s="379"/>
      <c r="T51" s="379"/>
      <c r="U51" s="379"/>
      <c r="V51" s="379"/>
      <c r="W51" s="379"/>
      <c r="X51" s="379"/>
      <c r="Y51" s="379"/>
      <c r="Z51" s="379"/>
      <c r="AA51" s="379"/>
      <c r="AB51" s="379"/>
      <c r="AC51" s="379"/>
      <c r="AD51" s="379"/>
      <c r="AE51" s="379"/>
      <c r="AF51" s="379"/>
      <c r="AG51" s="379"/>
      <c r="AH51" s="379"/>
    </row>
    <row r="52" spans="1:34" ht="27" customHeight="1" thickBot="1" x14ac:dyDescent="0.55000000000000004">
      <c r="A52" s="379"/>
      <c r="B52" s="380"/>
      <c r="C52" s="398"/>
      <c r="D52" s="383" t="s">
        <v>118</v>
      </c>
      <c r="E52" s="382" t="s">
        <v>31</v>
      </c>
      <c r="F52" s="382"/>
      <c r="G52" s="381">
        <v>22.5</v>
      </c>
      <c r="H52" s="392"/>
      <c r="I52" s="391"/>
      <c r="J52" s="379"/>
      <c r="K52" s="379"/>
      <c r="L52" s="379"/>
      <c r="M52" s="379"/>
      <c r="N52" s="379"/>
      <c r="O52" s="379"/>
      <c r="P52" s="379"/>
      <c r="Q52" s="379"/>
      <c r="R52" s="379"/>
      <c r="S52" s="379"/>
      <c r="T52" s="379"/>
      <c r="U52" s="379"/>
      <c r="V52" s="379"/>
      <c r="W52" s="379"/>
      <c r="X52" s="379"/>
      <c r="Y52" s="379"/>
      <c r="Z52" s="379"/>
      <c r="AA52" s="379"/>
      <c r="AB52" s="379"/>
      <c r="AC52" s="379"/>
      <c r="AD52" s="379"/>
      <c r="AE52" s="379"/>
      <c r="AF52" s="379"/>
      <c r="AG52" s="379"/>
      <c r="AH52" s="379"/>
    </row>
    <row r="53" spans="1:34" ht="27" customHeight="1" x14ac:dyDescent="0.5">
      <c r="A53" s="379"/>
      <c r="B53" s="380"/>
      <c r="C53" s="588" t="s">
        <v>119</v>
      </c>
      <c r="D53" s="589" t="s">
        <v>120</v>
      </c>
      <c r="E53" s="590" t="s">
        <v>31</v>
      </c>
      <c r="F53" s="590"/>
      <c r="G53" s="591">
        <v>12.8</v>
      </c>
      <c r="H53" s="392"/>
      <c r="I53" s="391"/>
      <c r="J53" s="379"/>
      <c r="K53" s="379"/>
      <c r="L53" s="379"/>
      <c r="M53" s="379"/>
      <c r="N53" s="379"/>
      <c r="O53" s="379"/>
      <c r="P53" s="379"/>
      <c r="Q53" s="379"/>
      <c r="R53" s="379"/>
      <c r="S53" s="379"/>
      <c r="T53" s="379"/>
      <c r="U53" s="379"/>
      <c r="V53" s="379"/>
      <c r="W53" s="379"/>
      <c r="X53" s="379"/>
      <c r="Y53" s="379"/>
      <c r="Z53" s="379"/>
      <c r="AA53" s="379"/>
      <c r="AB53" s="379"/>
      <c r="AC53" s="379"/>
      <c r="AD53" s="379"/>
      <c r="AE53" s="379"/>
      <c r="AF53" s="379"/>
      <c r="AG53" s="379"/>
      <c r="AH53" s="379"/>
    </row>
    <row r="54" spans="1:34" ht="27" customHeight="1" x14ac:dyDescent="0.5">
      <c r="A54" s="379"/>
      <c r="B54" s="380"/>
      <c r="C54" s="393"/>
      <c r="D54" s="389" t="s">
        <v>121</v>
      </c>
      <c r="E54" s="415" t="s">
        <v>31</v>
      </c>
      <c r="F54" s="415"/>
      <c r="G54" s="387">
        <v>12.83</v>
      </c>
      <c r="H54" s="392"/>
      <c r="I54" s="391"/>
      <c r="J54" s="379"/>
      <c r="K54" s="379"/>
      <c r="L54" s="379"/>
      <c r="M54" s="379"/>
      <c r="N54" s="379"/>
      <c r="O54" s="379"/>
      <c r="P54" s="379"/>
      <c r="Q54" s="379"/>
      <c r="R54" s="379"/>
      <c r="S54" s="379"/>
      <c r="T54" s="379"/>
      <c r="U54" s="379"/>
      <c r="V54" s="379"/>
      <c r="W54" s="379"/>
      <c r="X54" s="379"/>
      <c r="Y54" s="379"/>
      <c r="Z54" s="379"/>
      <c r="AA54" s="379"/>
      <c r="AB54" s="379"/>
      <c r="AC54" s="379"/>
      <c r="AD54" s="379"/>
      <c r="AE54" s="379"/>
      <c r="AF54" s="379"/>
      <c r="AG54" s="379"/>
      <c r="AH54" s="379"/>
    </row>
    <row r="55" spans="1:34" ht="27" customHeight="1" x14ac:dyDescent="0.5">
      <c r="A55" s="379"/>
      <c r="B55" s="380"/>
      <c r="C55" s="393"/>
      <c r="D55" s="389" t="s">
        <v>122</v>
      </c>
      <c r="E55" s="415" t="s">
        <v>31</v>
      </c>
      <c r="F55" s="415"/>
      <c r="G55" s="387">
        <v>16.25</v>
      </c>
      <c r="H55" s="392"/>
      <c r="I55" s="391"/>
      <c r="J55" s="379"/>
      <c r="K55" s="379"/>
      <c r="L55" s="379"/>
      <c r="M55" s="379"/>
      <c r="N55" s="379"/>
      <c r="O55" s="379"/>
      <c r="P55" s="379"/>
      <c r="Q55" s="379"/>
      <c r="R55" s="379"/>
      <c r="S55" s="379"/>
      <c r="T55" s="379"/>
      <c r="U55" s="379"/>
      <c r="V55" s="379"/>
      <c r="W55" s="379"/>
      <c r="X55" s="379"/>
      <c r="Y55" s="379"/>
      <c r="Z55" s="379"/>
      <c r="AA55" s="379"/>
      <c r="AB55" s="379"/>
      <c r="AC55" s="379"/>
      <c r="AD55" s="379"/>
      <c r="AE55" s="379"/>
      <c r="AF55" s="379"/>
      <c r="AG55" s="379"/>
      <c r="AH55" s="379"/>
    </row>
    <row r="56" spans="1:34" ht="27" customHeight="1" thickBot="1" x14ac:dyDescent="0.55000000000000004">
      <c r="A56" s="379"/>
      <c r="B56" s="380"/>
      <c r="C56" s="398"/>
      <c r="D56" s="383" t="s">
        <v>123</v>
      </c>
      <c r="E56" s="382" t="s">
        <v>31</v>
      </c>
      <c r="F56" s="382"/>
      <c r="G56" s="381">
        <v>6.84</v>
      </c>
      <c r="H56" s="392"/>
      <c r="I56" s="391"/>
      <c r="J56" s="379"/>
      <c r="K56" s="379"/>
      <c r="L56" s="379"/>
      <c r="M56" s="379"/>
      <c r="N56" s="379"/>
      <c r="O56" s="379"/>
      <c r="P56" s="379"/>
      <c r="Q56" s="379"/>
      <c r="R56" s="379"/>
      <c r="S56" s="379"/>
      <c r="T56" s="379"/>
      <c r="U56" s="379"/>
      <c r="V56" s="379"/>
      <c r="W56" s="379"/>
      <c r="X56" s="379"/>
      <c r="Y56" s="379"/>
      <c r="Z56" s="379"/>
      <c r="AA56" s="379"/>
      <c r="AB56" s="379"/>
      <c r="AC56" s="379"/>
      <c r="AD56" s="379"/>
      <c r="AE56" s="379"/>
      <c r="AF56" s="379"/>
      <c r="AG56" s="379"/>
      <c r="AH56" s="379"/>
    </row>
    <row r="57" spans="1:34" ht="27" customHeight="1" x14ac:dyDescent="0.5">
      <c r="A57" s="379"/>
      <c r="B57" s="380"/>
      <c r="C57" s="397" t="s">
        <v>124</v>
      </c>
      <c r="D57" s="414" t="s">
        <v>125</v>
      </c>
      <c r="E57" s="413"/>
      <c r="F57" s="413" t="s">
        <v>31</v>
      </c>
      <c r="G57" s="394">
        <v>25</v>
      </c>
      <c r="H57" s="392"/>
      <c r="I57" s="391"/>
      <c r="J57" s="379"/>
      <c r="K57" s="379"/>
      <c r="L57" s="379"/>
      <c r="M57" s="379"/>
      <c r="N57" s="379"/>
      <c r="O57" s="379"/>
      <c r="P57" s="379"/>
      <c r="Q57" s="379"/>
      <c r="R57" s="379"/>
      <c r="S57" s="379"/>
      <c r="T57" s="379"/>
      <c r="U57" s="379"/>
      <c r="V57" s="379"/>
      <c r="W57" s="379"/>
      <c r="X57" s="379"/>
      <c r="Y57" s="379"/>
      <c r="Z57" s="379"/>
      <c r="AA57" s="379"/>
      <c r="AB57" s="379"/>
      <c r="AC57" s="379"/>
      <c r="AD57" s="379"/>
      <c r="AE57" s="379"/>
      <c r="AF57" s="379"/>
      <c r="AG57" s="379"/>
      <c r="AH57" s="379"/>
    </row>
    <row r="58" spans="1:34" ht="27" customHeight="1" thickBot="1" x14ac:dyDescent="0.55000000000000004">
      <c r="A58" s="379"/>
      <c r="B58" s="380"/>
      <c r="C58" s="398"/>
      <c r="D58" s="412" t="s">
        <v>126</v>
      </c>
      <c r="E58" s="411"/>
      <c r="F58" s="411" t="s">
        <v>31</v>
      </c>
      <c r="G58" s="381">
        <v>13</v>
      </c>
      <c r="H58" s="392"/>
      <c r="I58" s="391"/>
      <c r="J58" s="379"/>
      <c r="K58" s="379"/>
      <c r="L58" s="379"/>
      <c r="M58" s="379"/>
      <c r="N58" s="379"/>
      <c r="O58" s="379"/>
      <c r="P58" s="379"/>
      <c r="Q58" s="379"/>
      <c r="R58" s="379"/>
      <c r="S58" s="379"/>
      <c r="T58" s="379"/>
      <c r="U58" s="379"/>
      <c r="V58" s="379"/>
      <c r="W58" s="379"/>
      <c r="X58" s="379"/>
      <c r="Y58" s="379"/>
      <c r="Z58" s="379"/>
      <c r="AA58" s="379"/>
      <c r="AB58" s="379"/>
      <c r="AC58" s="379"/>
      <c r="AD58" s="379"/>
      <c r="AE58" s="379"/>
      <c r="AF58" s="379"/>
      <c r="AG58" s="379"/>
      <c r="AH58" s="379"/>
    </row>
    <row r="59" spans="1:34" ht="27" customHeight="1" x14ac:dyDescent="0.5">
      <c r="A59" s="379"/>
      <c r="B59" s="380"/>
      <c r="C59" s="402" t="s">
        <v>127</v>
      </c>
      <c r="D59" s="401" t="s">
        <v>128</v>
      </c>
      <c r="E59" s="400"/>
      <c r="F59" s="400" t="s">
        <v>31</v>
      </c>
      <c r="G59" s="399">
        <v>10</v>
      </c>
      <c r="H59" s="392"/>
      <c r="I59" s="391"/>
      <c r="J59" s="379"/>
      <c r="K59" s="379"/>
      <c r="L59" s="379"/>
      <c r="M59" s="379"/>
      <c r="N59" s="379"/>
      <c r="O59" s="379"/>
      <c r="P59" s="379"/>
      <c r="Q59" s="379"/>
      <c r="R59" s="379"/>
      <c r="S59" s="379"/>
      <c r="T59" s="379"/>
      <c r="U59" s="379"/>
      <c r="V59" s="379"/>
      <c r="W59" s="379"/>
      <c r="X59" s="379"/>
      <c r="Y59" s="379"/>
      <c r="Z59" s="379"/>
      <c r="AA59" s="379"/>
      <c r="AB59" s="379"/>
      <c r="AC59" s="379"/>
      <c r="AD59" s="379"/>
      <c r="AE59" s="379"/>
      <c r="AF59" s="379"/>
      <c r="AG59" s="379"/>
      <c r="AH59" s="379"/>
    </row>
    <row r="60" spans="1:34" ht="27" customHeight="1" thickBot="1" x14ac:dyDescent="0.55000000000000004">
      <c r="A60" s="379"/>
      <c r="B60" s="380"/>
      <c r="C60" s="398"/>
      <c r="D60" s="383" t="s">
        <v>129</v>
      </c>
      <c r="E60" s="382"/>
      <c r="F60" s="382" t="s">
        <v>31</v>
      </c>
      <c r="G60" s="381">
        <v>10.26</v>
      </c>
      <c r="H60" s="392"/>
      <c r="I60" s="391"/>
      <c r="J60" s="379"/>
      <c r="K60" s="379"/>
      <c r="L60" s="379"/>
      <c r="M60" s="379"/>
      <c r="N60" s="379"/>
      <c r="O60" s="379"/>
      <c r="P60" s="379"/>
      <c r="Q60" s="379"/>
      <c r="R60" s="379"/>
      <c r="S60" s="379"/>
      <c r="T60" s="379"/>
      <c r="U60" s="379"/>
      <c r="V60" s="379"/>
      <c r="W60" s="379"/>
      <c r="X60" s="379"/>
      <c r="Y60" s="379"/>
      <c r="Z60" s="379"/>
      <c r="AA60" s="379"/>
      <c r="AB60" s="379"/>
      <c r="AC60" s="379"/>
      <c r="AD60" s="379"/>
      <c r="AE60" s="379"/>
      <c r="AF60" s="379"/>
      <c r="AG60" s="379"/>
      <c r="AH60" s="379"/>
    </row>
    <row r="61" spans="1:34" ht="27" customHeight="1" x14ac:dyDescent="0.5">
      <c r="A61" s="379"/>
      <c r="B61" s="380"/>
      <c r="C61" s="402" t="s">
        <v>130</v>
      </c>
      <c r="D61" s="401" t="s">
        <v>131</v>
      </c>
      <c r="E61" s="400" t="s">
        <v>31</v>
      </c>
      <c r="F61" s="400" t="s">
        <v>31</v>
      </c>
      <c r="G61" s="399">
        <v>11.4</v>
      </c>
      <c r="H61" s="392"/>
      <c r="I61" s="391"/>
      <c r="J61" s="379"/>
      <c r="K61" s="379"/>
      <c r="L61" s="379"/>
      <c r="M61" s="379"/>
      <c r="N61" s="379"/>
      <c r="O61" s="379"/>
      <c r="P61" s="379"/>
      <c r="Q61" s="379"/>
      <c r="R61" s="379"/>
      <c r="S61" s="379"/>
      <c r="T61" s="379"/>
      <c r="U61" s="379"/>
      <c r="V61" s="379"/>
      <c r="W61" s="379"/>
      <c r="X61" s="379"/>
      <c r="Y61" s="379"/>
      <c r="Z61" s="379"/>
      <c r="AA61" s="379"/>
      <c r="AB61" s="379"/>
      <c r="AC61" s="379"/>
      <c r="AD61" s="379"/>
      <c r="AE61" s="379"/>
      <c r="AF61" s="379"/>
      <c r="AG61" s="379"/>
      <c r="AH61" s="379"/>
    </row>
    <row r="62" spans="1:34" ht="27" customHeight="1" x14ac:dyDescent="0.5">
      <c r="A62" s="379"/>
      <c r="B62" s="380"/>
      <c r="C62" s="393"/>
      <c r="D62" s="389" t="s">
        <v>132</v>
      </c>
      <c r="E62" s="388" t="s">
        <v>31</v>
      </c>
      <c r="F62" s="388" t="s">
        <v>31</v>
      </c>
      <c r="G62" s="387">
        <v>11.4</v>
      </c>
      <c r="H62" s="392"/>
      <c r="I62" s="391"/>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row>
    <row r="63" spans="1:34" ht="27" customHeight="1" thickBot="1" x14ac:dyDescent="0.55000000000000004">
      <c r="A63" s="379"/>
      <c r="B63" s="380"/>
      <c r="C63" s="398"/>
      <c r="D63" s="383" t="s">
        <v>133</v>
      </c>
      <c r="E63" s="382" t="s">
        <v>31</v>
      </c>
      <c r="F63" s="382" t="s">
        <v>31</v>
      </c>
      <c r="G63" s="381">
        <v>10.26</v>
      </c>
      <c r="H63" s="392"/>
      <c r="I63" s="391"/>
      <c r="J63" s="379"/>
      <c r="K63" s="379"/>
      <c r="L63" s="379"/>
      <c r="M63" s="379"/>
      <c r="N63" s="379"/>
      <c r="O63" s="379"/>
      <c r="P63" s="379"/>
      <c r="Q63" s="379"/>
      <c r="R63" s="379"/>
      <c r="S63" s="379"/>
      <c r="T63" s="379"/>
      <c r="U63" s="379"/>
      <c r="V63" s="379"/>
      <c r="W63" s="379"/>
      <c r="X63" s="379"/>
      <c r="Y63" s="379"/>
      <c r="Z63" s="379"/>
      <c r="AA63" s="379"/>
      <c r="AB63" s="379"/>
      <c r="AC63" s="379"/>
      <c r="AD63" s="379"/>
      <c r="AE63" s="379"/>
      <c r="AF63" s="379"/>
      <c r="AG63" s="379"/>
      <c r="AH63" s="379"/>
    </row>
    <row r="64" spans="1:34" ht="27" customHeight="1" thickBot="1" x14ac:dyDescent="0.55000000000000004">
      <c r="A64" s="379"/>
      <c r="B64" s="380"/>
      <c r="C64" s="406" t="s">
        <v>134</v>
      </c>
      <c r="D64" s="405" t="s">
        <v>135</v>
      </c>
      <c r="E64" s="404" t="s">
        <v>31</v>
      </c>
      <c r="F64" s="404" t="s">
        <v>31</v>
      </c>
      <c r="G64" s="403">
        <v>15</v>
      </c>
      <c r="H64" s="392"/>
      <c r="I64" s="391"/>
      <c r="J64" s="379"/>
      <c r="K64" s="379"/>
      <c r="L64" s="379"/>
      <c r="M64" s="379"/>
      <c r="N64" s="379"/>
      <c r="O64" s="379"/>
      <c r="P64" s="379"/>
      <c r="Q64" s="379"/>
      <c r="R64" s="379"/>
      <c r="S64" s="379"/>
      <c r="T64" s="379"/>
      <c r="U64" s="379"/>
      <c r="V64" s="379"/>
      <c r="W64" s="379"/>
      <c r="X64" s="379"/>
      <c r="Y64" s="379"/>
      <c r="Z64" s="379"/>
      <c r="AA64" s="379"/>
      <c r="AB64" s="379"/>
      <c r="AC64" s="379"/>
      <c r="AD64" s="379"/>
      <c r="AE64" s="379"/>
      <c r="AF64" s="379"/>
      <c r="AG64" s="379"/>
      <c r="AH64" s="379"/>
    </row>
    <row r="65" spans="1:34" ht="27" customHeight="1" x14ac:dyDescent="0.5">
      <c r="A65" s="379"/>
      <c r="B65" s="380"/>
      <c r="C65" s="397" t="s">
        <v>136</v>
      </c>
      <c r="D65" s="396" t="s">
        <v>137</v>
      </c>
      <c r="E65" s="395"/>
      <c r="F65" s="395" t="s">
        <v>31</v>
      </c>
      <c r="G65" s="394">
        <v>22.8</v>
      </c>
      <c r="H65" s="392"/>
      <c r="I65" s="391"/>
      <c r="J65" s="379"/>
      <c r="K65" s="379"/>
      <c r="L65" s="379"/>
      <c r="M65" s="379"/>
      <c r="N65" s="379"/>
      <c r="O65" s="379"/>
      <c r="P65" s="379"/>
      <c r="Q65" s="379"/>
      <c r="R65" s="379"/>
      <c r="S65" s="379"/>
      <c r="T65" s="379"/>
      <c r="U65" s="379"/>
      <c r="V65" s="379"/>
      <c r="W65" s="379"/>
      <c r="X65" s="379"/>
      <c r="Y65" s="379"/>
      <c r="Z65" s="379"/>
      <c r="AA65" s="379"/>
      <c r="AB65" s="379"/>
      <c r="AC65" s="379"/>
      <c r="AD65" s="379"/>
      <c r="AE65" s="379"/>
      <c r="AF65" s="379"/>
      <c r="AG65" s="379"/>
      <c r="AH65" s="379"/>
    </row>
    <row r="66" spans="1:34" ht="27" customHeight="1" x14ac:dyDescent="0.5">
      <c r="A66" s="379"/>
      <c r="B66" s="380"/>
      <c r="C66" s="390"/>
      <c r="D66" s="389" t="s">
        <v>138</v>
      </c>
      <c r="E66" s="388"/>
      <c r="F66" s="388" t="s">
        <v>31</v>
      </c>
      <c r="G66" s="387">
        <v>22.5</v>
      </c>
      <c r="H66" s="392"/>
      <c r="I66" s="391"/>
      <c r="J66" s="379"/>
      <c r="K66" s="379"/>
      <c r="L66" s="379"/>
      <c r="M66" s="379"/>
      <c r="N66" s="379"/>
      <c r="O66" s="379"/>
      <c r="P66" s="379"/>
      <c r="Q66" s="379"/>
      <c r="R66" s="379"/>
      <c r="S66" s="379"/>
      <c r="T66" s="379"/>
      <c r="U66" s="379"/>
      <c r="V66" s="379"/>
      <c r="W66" s="379"/>
      <c r="X66" s="379"/>
      <c r="Y66" s="379"/>
      <c r="Z66" s="379"/>
      <c r="AA66" s="379"/>
      <c r="AB66" s="379"/>
      <c r="AC66" s="379"/>
      <c r="AD66" s="379"/>
      <c r="AE66" s="379"/>
      <c r="AF66" s="379"/>
      <c r="AG66" s="379"/>
      <c r="AH66" s="379"/>
    </row>
    <row r="67" spans="1:34" ht="27" customHeight="1" thickBot="1" x14ac:dyDescent="0.55000000000000004">
      <c r="A67" s="379"/>
      <c r="B67" s="380"/>
      <c r="C67" s="410"/>
      <c r="D67" s="409" t="s">
        <v>139</v>
      </c>
      <c r="E67" s="408"/>
      <c r="F67" s="408" t="s">
        <v>31</v>
      </c>
      <c r="G67" s="407">
        <v>17.600000000000001</v>
      </c>
      <c r="H67" s="392"/>
      <c r="I67" s="391"/>
      <c r="J67" s="379"/>
      <c r="K67" s="379"/>
      <c r="L67" s="379"/>
      <c r="M67" s="379"/>
      <c r="N67" s="379"/>
      <c r="O67" s="379"/>
      <c r="P67" s="379"/>
      <c r="Q67" s="379"/>
      <c r="R67" s="379"/>
      <c r="S67" s="379"/>
      <c r="T67" s="379"/>
      <c r="U67" s="379"/>
      <c r="V67" s="379"/>
      <c r="W67" s="379"/>
      <c r="X67" s="379"/>
      <c r="Y67" s="379"/>
      <c r="Z67" s="379"/>
      <c r="AA67" s="379"/>
      <c r="AB67" s="379"/>
      <c r="AC67" s="379"/>
      <c r="AD67" s="379"/>
      <c r="AE67" s="379"/>
      <c r="AF67" s="379"/>
      <c r="AG67" s="379"/>
      <c r="AH67" s="379"/>
    </row>
    <row r="68" spans="1:34" ht="27" customHeight="1" thickBot="1" x14ac:dyDescent="0.55000000000000004">
      <c r="A68" s="379"/>
      <c r="B68" s="380"/>
      <c r="C68" s="587" t="s">
        <v>140</v>
      </c>
      <c r="D68" s="409" t="s">
        <v>141</v>
      </c>
      <c r="E68" s="408" t="s">
        <v>31</v>
      </c>
      <c r="F68" s="408"/>
      <c r="G68" s="586">
        <v>7.92</v>
      </c>
      <c r="H68" s="392"/>
      <c r="I68" s="391"/>
      <c r="J68" s="379"/>
      <c r="K68" s="379"/>
      <c r="L68" s="379"/>
      <c r="M68" s="379"/>
      <c r="N68" s="379"/>
      <c r="O68" s="379"/>
      <c r="P68" s="379"/>
      <c r="Q68" s="379"/>
      <c r="R68" s="379"/>
      <c r="S68" s="379"/>
      <c r="T68" s="379"/>
      <c r="U68" s="379"/>
      <c r="V68" s="379"/>
      <c r="W68" s="379"/>
      <c r="X68" s="379"/>
      <c r="Y68" s="379"/>
      <c r="Z68" s="379"/>
      <c r="AA68" s="379"/>
      <c r="AB68" s="379"/>
      <c r="AC68" s="379"/>
      <c r="AD68" s="379"/>
      <c r="AE68" s="379"/>
      <c r="AF68" s="379"/>
      <c r="AG68" s="379"/>
      <c r="AH68" s="379"/>
    </row>
    <row r="69" spans="1:34" ht="27" customHeight="1" thickBot="1" x14ac:dyDescent="0.55000000000000004">
      <c r="A69" s="379"/>
      <c r="B69" s="380"/>
      <c r="C69" s="410"/>
      <c r="D69" s="389" t="s">
        <v>142</v>
      </c>
      <c r="E69" s="408" t="s">
        <v>31</v>
      </c>
      <c r="F69" s="408"/>
      <c r="G69" s="586">
        <v>8.73</v>
      </c>
      <c r="H69" s="392"/>
      <c r="I69" s="391"/>
      <c r="J69" s="379"/>
      <c r="K69" s="379"/>
      <c r="L69" s="379"/>
      <c r="M69" s="379"/>
      <c r="N69" s="379"/>
      <c r="O69" s="379"/>
      <c r="P69" s="379"/>
      <c r="Q69" s="379"/>
      <c r="R69" s="379"/>
      <c r="S69" s="379"/>
      <c r="T69" s="379"/>
      <c r="U69" s="379"/>
      <c r="V69" s="379"/>
      <c r="W69" s="379"/>
      <c r="X69" s="379"/>
      <c r="Y69" s="379"/>
      <c r="Z69" s="379"/>
      <c r="AA69" s="379"/>
      <c r="AB69" s="379"/>
      <c r="AC69" s="379"/>
      <c r="AD69" s="379"/>
      <c r="AE69" s="379"/>
      <c r="AF69" s="379"/>
      <c r="AG69" s="379"/>
      <c r="AH69" s="379"/>
    </row>
    <row r="70" spans="1:34" ht="27" customHeight="1" thickBot="1" x14ac:dyDescent="0.55000000000000004">
      <c r="A70" s="379"/>
      <c r="B70" s="380"/>
      <c r="C70" s="406" t="s">
        <v>143</v>
      </c>
      <c r="D70" s="405" t="s">
        <v>143</v>
      </c>
      <c r="E70" s="404" t="s">
        <v>31</v>
      </c>
      <c r="F70" s="404" t="s">
        <v>31</v>
      </c>
      <c r="G70" s="403">
        <v>6.84</v>
      </c>
      <c r="H70" s="392"/>
      <c r="I70" s="391"/>
      <c r="J70" s="379"/>
      <c r="K70" s="379"/>
      <c r="L70" s="379"/>
      <c r="M70" s="379"/>
      <c r="N70" s="379"/>
      <c r="O70" s="379"/>
      <c r="P70" s="379"/>
      <c r="Q70" s="379"/>
      <c r="R70" s="379"/>
      <c r="S70" s="379"/>
      <c r="T70" s="379"/>
      <c r="U70" s="379"/>
      <c r="V70" s="379"/>
      <c r="W70" s="379"/>
      <c r="X70" s="379"/>
      <c r="Y70" s="379"/>
      <c r="Z70" s="379"/>
      <c r="AA70" s="379"/>
      <c r="AB70" s="379"/>
      <c r="AC70" s="379"/>
      <c r="AD70" s="379"/>
      <c r="AE70" s="379"/>
      <c r="AF70" s="379"/>
      <c r="AG70" s="379"/>
      <c r="AH70" s="379"/>
    </row>
    <row r="71" spans="1:34" ht="27" customHeight="1" x14ac:dyDescent="0.5">
      <c r="A71" s="379"/>
      <c r="B71" s="380"/>
      <c r="C71" s="397" t="s">
        <v>144</v>
      </c>
      <c r="D71" s="396" t="s">
        <v>145</v>
      </c>
      <c r="E71" s="395"/>
      <c r="F71" s="395" t="s">
        <v>31</v>
      </c>
      <c r="G71" s="394">
        <v>23.75</v>
      </c>
      <c r="H71" s="392"/>
      <c r="I71" s="391"/>
      <c r="J71" s="379"/>
      <c r="K71" s="379"/>
      <c r="L71" s="379"/>
      <c r="M71" s="379"/>
      <c r="N71" s="379"/>
      <c r="O71" s="379"/>
      <c r="P71" s="379"/>
      <c r="Q71" s="379"/>
      <c r="R71" s="379"/>
      <c r="S71" s="379"/>
      <c r="T71" s="379"/>
      <c r="U71" s="379"/>
      <c r="V71" s="379"/>
      <c r="W71" s="379"/>
      <c r="X71" s="379"/>
      <c r="Y71" s="379"/>
      <c r="Z71" s="379"/>
      <c r="AA71" s="379"/>
      <c r="AB71" s="379"/>
      <c r="AC71" s="379"/>
      <c r="AD71" s="379"/>
      <c r="AE71" s="379"/>
      <c r="AF71" s="379"/>
      <c r="AG71" s="379"/>
      <c r="AH71" s="379"/>
    </row>
    <row r="72" spans="1:34" ht="27" customHeight="1" x14ac:dyDescent="0.5">
      <c r="A72" s="379"/>
      <c r="B72" s="380"/>
      <c r="C72" s="393"/>
      <c r="D72" s="389" t="s">
        <v>146</v>
      </c>
      <c r="E72" s="388"/>
      <c r="F72" s="388" t="s">
        <v>31</v>
      </c>
      <c r="G72" s="387">
        <v>14.25</v>
      </c>
      <c r="H72" s="392"/>
      <c r="I72" s="391"/>
      <c r="J72" s="379"/>
      <c r="K72" s="379"/>
      <c r="L72" s="379"/>
      <c r="M72" s="379"/>
      <c r="N72" s="379"/>
      <c r="O72" s="379"/>
      <c r="P72" s="379"/>
      <c r="Q72" s="379"/>
      <c r="R72" s="379"/>
      <c r="S72" s="379"/>
      <c r="T72" s="379"/>
      <c r="U72" s="379"/>
      <c r="V72" s="379"/>
      <c r="W72" s="379"/>
      <c r="X72" s="379"/>
      <c r="Y72" s="379"/>
      <c r="Z72" s="379"/>
      <c r="AA72" s="379"/>
      <c r="AB72" s="379"/>
      <c r="AC72" s="379"/>
      <c r="AD72" s="379"/>
      <c r="AE72" s="379"/>
      <c r="AF72" s="379"/>
      <c r="AG72" s="379"/>
      <c r="AH72" s="379"/>
    </row>
    <row r="73" spans="1:34" ht="27" customHeight="1" x14ac:dyDescent="0.5">
      <c r="A73" s="379"/>
      <c r="B73" s="380"/>
      <c r="C73" s="390"/>
      <c r="D73" s="389" t="s">
        <v>147</v>
      </c>
      <c r="E73" s="388"/>
      <c r="F73" s="388" t="s">
        <v>31</v>
      </c>
      <c r="G73" s="387">
        <v>23.75</v>
      </c>
      <c r="H73" s="392"/>
      <c r="I73" s="391"/>
      <c r="J73" s="379"/>
      <c r="K73" s="379"/>
      <c r="L73" s="379"/>
      <c r="M73" s="379"/>
      <c r="N73" s="379"/>
      <c r="O73" s="379"/>
      <c r="P73" s="379"/>
      <c r="Q73" s="379"/>
      <c r="R73" s="379"/>
      <c r="S73" s="379"/>
      <c r="T73" s="379"/>
      <c r="U73" s="379"/>
      <c r="V73" s="379"/>
      <c r="W73" s="379"/>
      <c r="X73" s="379"/>
      <c r="Y73" s="379"/>
      <c r="Z73" s="379"/>
      <c r="AA73" s="379"/>
      <c r="AB73" s="379"/>
      <c r="AC73" s="379"/>
      <c r="AD73" s="379"/>
      <c r="AE73" s="379"/>
      <c r="AF73" s="379"/>
      <c r="AG73" s="379"/>
      <c r="AH73" s="379"/>
    </row>
    <row r="74" spans="1:34" ht="27" customHeight="1" x14ac:dyDescent="0.5">
      <c r="A74" s="379"/>
      <c r="B74" s="380"/>
      <c r="C74" s="390"/>
      <c r="D74" s="389" t="s">
        <v>148</v>
      </c>
      <c r="E74" s="388"/>
      <c r="F74" s="388" t="s">
        <v>31</v>
      </c>
      <c r="G74" s="387">
        <v>7.22</v>
      </c>
      <c r="H74" s="386"/>
      <c r="I74" s="385"/>
      <c r="J74" s="379"/>
      <c r="K74" s="379"/>
      <c r="L74" s="379"/>
      <c r="M74" s="379"/>
      <c r="N74" s="379"/>
      <c r="O74" s="379"/>
      <c r="P74" s="379"/>
      <c r="Q74" s="379"/>
      <c r="R74" s="379"/>
      <c r="S74" s="379"/>
      <c r="T74" s="379"/>
      <c r="U74" s="379"/>
      <c r="V74" s="379"/>
      <c r="W74" s="379"/>
      <c r="X74" s="379"/>
      <c r="Y74" s="379"/>
      <c r="Z74" s="379"/>
      <c r="AA74" s="379"/>
      <c r="AB74" s="379"/>
      <c r="AC74" s="379"/>
      <c r="AD74" s="379"/>
      <c r="AE74" s="379"/>
      <c r="AF74" s="379"/>
      <c r="AG74" s="379"/>
      <c r="AH74" s="379"/>
    </row>
    <row r="75" spans="1:34" ht="27" customHeight="1" x14ac:dyDescent="0.5">
      <c r="A75" s="379"/>
      <c r="B75" s="380"/>
      <c r="C75" s="390"/>
      <c r="D75" s="389" t="s">
        <v>149</v>
      </c>
      <c r="E75" s="388"/>
      <c r="F75" s="388" t="s">
        <v>31</v>
      </c>
      <c r="G75" s="387">
        <v>30</v>
      </c>
      <c r="H75" s="380"/>
      <c r="I75" s="379"/>
      <c r="J75" s="379"/>
      <c r="K75" s="379"/>
      <c r="L75" s="379"/>
      <c r="M75" s="379"/>
      <c r="N75" s="379"/>
      <c r="O75" s="379"/>
      <c r="P75" s="379"/>
      <c r="Q75" s="379"/>
      <c r="R75" s="379"/>
      <c r="S75" s="379"/>
      <c r="T75" s="379"/>
      <c r="U75" s="379"/>
      <c r="V75" s="379"/>
      <c r="W75" s="379"/>
      <c r="X75" s="379"/>
      <c r="Y75" s="379"/>
      <c r="Z75" s="379"/>
      <c r="AA75" s="379"/>
      <c r="AB75" s="379"/>
      <c r="AC75" s="379"/>
      <c r="AD75" s="379"/>
      <c r="AE75" s="379"/>
      <c r="AF75" s="379"/>
      <c r="AG75" s="379"/>
      <c r="AH75" s="379"/>
    </row>
    <row r="76" spans="1:34" ht="27" customHeight="1" thickBot="1" x14ac:dyDescent="0.55000000000000004">
      <c r="A76" s="379"/>
      <c r="B76" s="380"/>
      <c r="C76" s="384"/>
      <c r="D76" s="383" t="s">
        <v>150</v>
      </c>
      <c r="E76" s="382"/>
      <c r="F76" s="382" t="s">
        <v>31</v>
      </c>
      <c r="G76" s="381">
        <v>6.84</v>
      </c>
      <c r="H76" s="380"/>
      <c r="I76" s="379"/>
      <c r="J76" s="379"/>
      <c r="K76" s="379"/>
      <c r="L76" s="379"/>
      <c r="M76" s="379"/>
      <c r="N76" s="379"/>
      <c r="O76" s="379"/>
      <c r="P76" s="379"/>
      <c r="Q76" s="379"/>
      <c r="R76" s="379"/>
      <c r="S76" s="379"/>
      <c r="T76" s="379"/>
      <c r="U76" s="379"/>
      <c r="V76" s="379"/>
      <c r="W76" s="379"/>
      <c r="X76" s="379"/>
      <c r="Y76" s="379"/>
      <c r="Z76" s="379"/>
      <c r="AA76" s="379"/>
      <c r="AB76" s="379"/>
      <c r="AC76" s="379"/>
      <c r="AD76" s="379"/>
      <c r="AE76" s="379"/>
      <c r="AF76" s="379"/>
      <c r="AG76" s="379"/>
      <c r="AH76" s="379"/>
    </row>
    <row r="77" spans="1:34" ht="27" customHeight="1" x14ac:dyDescent="0.5">
      <c r="A77" s="379"/>
      <c r="B77" s="380"/>
      <c r="C77" s="380"/>
      <c r="D77" s="380"/>
      <c r="E77" s="380"/>
      <c r="F77" s="380"/>
      <c r="G77" s="380"/>
      <c r="H77" s="380"/>
      <c r="I77" s="379"/>
      <c r="J77" s="379"/>
      <c r="K77" s="379"/>
      <c r="L77" s="379"/>
      <c r="M77" s="379"/>
      <c r="N77" s="379"/>
      <c r="O77" s="379"/>
      <c r="P77" s="379"/>
      <c r="Q77" s="379"/>
      <c r="R77" s="379"/>
      <c r="S77" s="379"/>
      <c r="T77" s="379"/>
      <c r="U77" s="379"/>
      <c r="V77" s="379"/>
      <c r="W77" s="379"/>
      <c r="X77" s="379"/>
      <c r="Y77" s="379"/>
      <c r="Z77" s="379"/>
      <c r="AA77" s="379"/>
      <c r="AB77" s="379"/>
      <c r="AC77" s="379"/>
      <c r="AD77" s="379"/>
      <c r="AE77" s="379"/>
      <c r="AF77" s="379"/>
      <c r="AG77" s="379"/>
      <c r="AH77" s="379"/>
    </row>
    <row r="78" spans="1:34" ht="27" customHeight="1" x14ac:dyDescent="0.5">
      <c r="A78" s="379"/>
      <c r="B78" s="379"/>
      <c r="C78" s="379"/>
      <c r="D78" s="379"/>
      <c r="E78" s="379"/>
      <c r="F78" s="379"/>
      <c r="G78" s="379"/>
      <c r="H78" s="379"/>
      <c r="I78" s="379"/>
      <c r="J78" s="379"/>
      <c r="K78" s="379"/>
      <c r="L78" s="379"/>
      <c r="M78" s="379"/>
      <c r="N78" s="379"/>
      <c r="O78" s="379"/>
      <c r="P78" s="379"/>
      <c r="Q78" s="379"/>
      <c r="R78" s="379"/>
      <c r="S78" s="379"/>
      <c r="T78" s="379"/>
      <c r="U78" s="379"/>
      <c r="V78" s="379"/>
      <c r="W78" s="379"/>
      <c r="X78" s="379"/>
      <c r="Y78" s="379"/>
      <c r="Z78" s="379"/>
      <c r="AA78" s="379"/>
      <c r="AB78" s="379"/>
      <c r="AC78" s="379"/>
      <c r="AD78" s="379"/>
      <c r="AE78" s="379"/>
      <c r="AF78" s="379"/>
      <c r="AG78" s="379"/>
      <c r="AH78" s="379"/>
    </row>
    <row r="79" spans="1:34" ht="27" customHeight="1" x14ac:dyDescent="0.5">
      <c r="A79" s="379"/>
      <c r="B79" s="379"/>
      <c r="C79" s="379"/>
      <c r="D79" s="379"/>
      <c r="E79" s="379"/>
      <c r="F79" s="379"/>
      <c r="G79" s="379"/>
      <c r="H79" s="379"/>
      <c r="I79" s="379"/>
      <c r="J79" s="379"/>
      <c r="K79" s="379"/>
      <c r="L79" s="379"/>
      <c r="M79" s="379"/>
      <c r="N79" s="379"/>
      <c r="O79" s="379"/>
      <c r="P79" s="379"/>
      <c r="Q79" s="379"/>
      <c r="R79" s="379"/>
      <c r="S79" s="379"/>
      <c r="T79" s="379"/>
      <c r="U79" s="379"/>
      <c r="V79" s="379"/>
      <c r="W79" s="379"/>
      <c r="X79" s="379"/>
      <c r="Y79" s="379"/>
      <c r="Z79" s="379"/>
      <c r="AA79" s="379"/>
      <c r="AB79" s="379"/>
      <c r="AC79" s="379"/>
      <c r="AD79" s="379"/>
      <c r="AE79" s="379"/>
      <c r="AF79" s="379"/>
      <c r="AG79" s="379"/>
      <c r="AH79" s="379"/>
    </row>
    <row r="80" spans="1:34" ht="27" customHeight="1" x14ac:dyDescent="0.5">
      <c r="A80" s="379"/>
      <c r="B80" s="379"/>
      <c r="C80" s="379"/>
      <c r="D80" s="379"/>
      <c r="E80" s="379"/>
      <c r="F80" s="379"/>
      <c r="G80" s="379"/>
      <c r="H80" s="379"/>
      <c r="I80" s="379"/>
      <c r="J80" s="379"/>
      <c r="K80" s="379"/>
      <c r="L80" s="379"/>
      <c r="M80" s="379"/>
      <c r="N80" s="379"/>
      <c r="O80" s="379"/>
      <c r="P80" s="379"/>
      <c r="Q80" s="379"/>
      <c r="R80" s="379"/>
      <c r="S80" s="379"/>
      <c r="T80" s="379"/>
      <c r="U80" s="379"/>
      <c r="V80" s="379"/>
      <c r="W80" s="379"/>
      <c r="X80" s="379"/>
      <c r="Y80" s="379"/>
      <c r="Z80" s="379"/>
      <c r="AA80" s="379"/>
      <c r="AB80" s="379"/>
      <c r="AC80" s="379"/>
      <c r="AD80" s="379"/>
      <c r="AE80" s="379"/>
      <c r="AF80" s="379"/>
      <c r="AG80" s="379"/>
      <c r="AH80" s="379"/>
    </row>
    <row r="81" spans="1:34" ht="27" customHeight="1" x14ac:dyDescent="0.5">
      <c r="A81" s="379"/>
      <c r="B81" s="379"/>
      <c r="C81" s="379"/>
      <c r="D81" s="379"/>
      <c r="E81" s="379"/>
      <c r="F81" s="379"/>
      <c r="G81" s="379"/>
      <c r="H81" s="379"/>
      <c r="I81" s="379"/>
      <c r="J81" s="379"/>
      <c r="K81" s="379"/>
      <c r="L81" s="379"/>
      <c r="M81" s="379"/>
      <c r="N81" s="379"/>
      <c r="O81" s="379"/>
      <c r="P81" s="379"/>
      <c r="Q81" s="379"/>
      <c r="R81" s="379"/>
      <c r="S81" s="379"/>
      <c r="T81" s="379"/>
      <c r="U81" s="379"/>
      <c r="V81" s="379"/>
      <c r="W81" s="379"/>
      <c r="X81" s="379"/>
      <c r="Y81" s="379"/>
      <c r="Z81" s="379"/>
      <c r="AA81" s="379"/>
      <c r="AB81" s="379"/>
      <c r="AC81" s="379"/>
      <c r="AD81" s="379"/>
      <c r="AE81" s="379"/>
      <c r="AF81" s="379"/>
      <c r="AG81" s="379"/>
      <c r="AH81" s="379"/>
    </row>
    <row r="82" spans="1:34" ht="27" customHeight="1" x14ac:dyDescent="0.5">
      <c r="A82" s="379"/>
      <c r="B82" s="379"/>
      <c r="C82" s="379"/>
      <c r="D82" s="379"/>
      <c r="E82" s="379"/>
      <c r="F82" s="379"/>
      <c r="G82" s="379"/>
      <c r="H82" s="379"/>
      <c r="I82" s="379"/>
      <c r="J82" s="379"/>
      <c r="K82" s="379"/>
      <c r="L82" s="379"/>
      <c r="M82" s="379"/>
      <c r="N82" s="379"/>
      <c r="O82" s="379"/>
      <c r="P82" s="379"/>
      <c r="Q82" s="379"/>
      <c r="R82" s="379"/>
      <c r="S82" s="379"/>
      <c r="T82" s="379"/>
      <c r="U82" s="379"/>
      <c r="V82" s="379"/>
      <c r="W82" s="379"/>
      <c r="X82" s="379"/>
      <c r="Y82" s="379"/>
      <c r="Z82" s="379"/>
      <c r="AA82" s="379"/>
      <c r="AB82" s="379"/>
      <c r="AC82" s="379"/>
      <c r="AD82" s="379"/>
      <c r="AE82" s="379"/>
      <c r="AF82" s="379"/>
      <c r="AG82" s="379"/>
      <c r="AH82" s="379"/>
    </row>
    <row r="83" spans="1:34" ht="27" customHeight="1" x14ac:dyDescent="0.5">
      <c r="A83" s="379"/>
      <c r="B83" s="379"/>
      <c r="C83" s="379"/>
      <c r="D83" s="379"/>
      <c r="E83" s="379"/>
      <c r="F83" s="379"/>
      <c r="G83" s="379"/>
      <c r="H83" s="379"/>
      <c r="I83" s="379"/>
      <c r="J83" s="379"/>
      <c r="K83" s="379"/>
      <c r="L83" s="379"/>
      <c r="M83" s="379"/>
      <c r="N83" s="379"/>
      <c r="O83" s="379"/>
      <c r="P83" s="379"/>
      <c r="Q83" s="379"/>
      <c r="R83" s="379"/>
      <c r="S83" s="379"/>
      <c r="T83" s="379"/>
      <c r="U83" s="379"/>
      <c r="V83" s="379"/>
      <c r="W83" s="379"/>
      <c r="X83" s="379"/>
      <c r="Y83" s="379"/>
      <c r="Z83" s="379"/>
      <c r="AA83" s="379"/>
      <c r="AB83" s="379"/>
      <c r="AC83" s="379"/>
      <c r="AD83" s="379"/>
      <c r="AE83" s="379"/>
      <c r="AF83" s="379"/>
      <c r="AG83" s="379"/>
      <c r="AH83" s="379"/>
    </row>
    <row r="84" spans="1:34" ht="27" customHeight="1" x14ac:dyDescent="0.5">
      <c r="A84" s="379"/>
      <c r="B84" s="379"/>
      <c r="C84" s="379"/>
      <c r="D84" s="379"/>
      <c r="E84" s="379"/>
      <c r="F84" s="379"/>
      <c r="G84" s="379"/>
      <c r="H84" s="379"/>
      <c r="I84" s="379"/>
      <c r="J84" s="379"/>
      <c r="K84" s="379"/>
      <c r="L84" s="379"/>
      <c r="M84" s="379"/>
      <c r="N84" s="379"/>
      <c r="O84" s="379"/>
      <c r="P84" s="379"/>
      <c r="Q84" s="379"/>
      <c r="R84" s="379"/>
      <c r="S84" s="379"/>
      <c r="T84" s="379"/>
      <c r="U84" s="379"/>
      <c r="V84" s="379"/>
      <c r="W84" s="379"/>
      <c r="X84" s="379"/>
      <c r="Y84" s="379"/>
      <c r="Z84" s="379"/>
      <c r="AA84" s="379"/>
      <c r="AB84" s="379"/>
      <c r="AC84" s="379"/>
      <c r="AD84" s="379"/>
      <c r="AE84" s="379"/>
      <c r="AF84" s="379"/>
      <c r="AG84" s="379"/>
      <c r="AH84" s="379"/>
    </row>
    <row r="85" spans="1:34" ht="27" customHeight="1" x14ac:dyDescent="0.5">
      <c r="A85" s="379"/>
      <c r="B85" s="379"/>
      <c r="C85" s="379"/>
      <c r="D85" s="379"/>
      <c r="E85" s="379"/>
      <c r="F85" s="379"/>
      <c r="G85" s="379"/>
      <c r="H85" s="379"/>
      <c r="I85" s="379"/>
      <c r="J85" s="379"/>
      <c r="K85" s="379"/>
      <c r="L85" s="379"/>
      <c r="M85" s="379"/>
      <c r="N85" s="379"/>
      <c r="O85" s="379"/>
      <c r="P85" s="379"/>
      <c r="Q85" s="379"/>
      <c r="R85" s="379"/>
      <c r="S85" s="379"/>
      <c r="T85" s="379"/>
      <c r="U85" s="379"/>
      <c r="V85" s="379"/>
      <c r="W85" s="379"/>
      <c r="X85" s="379"/>
      <c r="Y85" s="379"/>
      <c r="Z85" s="379"/>
      <c r="AA85" s="379"/>
      <c r="AB85" s="379"/>
      <c r="AC85" s="379"/>
      <c r="AD85" s="379"/>
      <c r="AE85" s="379"/>
      <c r="AF85" s="379"/>
      <c r="AG85" s="379"/>
      <c r="AH85" s="379"/>
    </row>
    <row r="86" spans="1:34" ht="27" customHeight="1" x14ac:dyDescent="0.5">
      <c r="A86" s="379"/>
      <c r="B86" s="379"/>
      <c r="C86" s="379"/>
      <c r="D86" s="379"/>
      <c r="E86" s="379"/>
      <c r="F86" s="379"/>
      <c r="G86" s="379"/>
      <c r="H86" s="379"/>
      <c r="I86" s="379"/>
      <c r="J86" s="379"/>
      <c r="K86" s="379"/>
      <c r="L86" s="379"/>
      <c r="M86" s="379"/>
      <c r="N86" s="379"/>
      <c r="O86" s="379"/>
      <c r="P86" s="379"/>
      <c r="Q86" s="379"/>
      <c r="R86" s="379"/>
      <c r="S86" s="379"/>
      <c r="T86" s="379"/>
      <c r="U86" s="379"/>
      <c r="V86" s="379"/>
      <c r="W86" s="379"/>
      <c r="X86" s="379"/>
      <c r="Y86" s="379"/>
      <c r="Z86" s="379"/>
      <c r="AA86" s="379"/>
      <c r="AB86" s="379"/>
      <c r="AC86" s="379"/>
      <c r="AD86" s="379"/>
      <c r="AE86" s="379"/>
      <c r="AF86" s="379"/>
      <c r="AG86" s="379"/>
      <c r="AH86" s="379"/>
    </row>
    <row r="87" spans="1:34" ht="27" customHeight="1" x14ac:dyDescent="0.5">
      <c r="A87" s="379"/>
      <c r="B87" s="379"/>
      <c r="C87" s="379"/>
      <c r="D87" s="379"/>
      <c r="E87" s="379"/>
      <c r="F87" s="379"/>
      <c r="G87" s="379"/>
      <c r="H87" s="379"/>
      <c r="I87" s="379"/>
      <c r="J87" s="379"/>
      <c r="K87" s="379"/>
      <c r="L87" s="379"/>
      <c r="M87" s="379"/>
      <c r="N87" s="379"/>
      <c r="O87" s="379"/>
      <c r="P87" s="379"/>
      <c r="Q87" s="379"/>
      <c r="R87" s="379"/>
      <c r="S87" s="379"/>
      <c r="T87" s="379"/>
      <c r="U87" s="379"/>
      <c r="V87" s="379"/>
      <c r="W87" s="379"/>
      <c r="X87" s="379"/>
      <c r="Y87" s="379"/>
      <c r="Z87" s="379"/>
      <c r="AA87" s="379"/>
      <c r="AB87" s="379"/>
      <c r="AC87" s="379"/>
      <c r="AD87" s="379"/>
      <c r="AE87" s="379"/>
      <c r="AF87" s="379"/>
      <c r="AG87" s="379"/>
      <c r="AH87" s="379"/>
    </row>
    <row r="88" spans="1:34" ht="27" customHeight="1" x14ac:dyDescent="0.5">
      <c r="A88" s="379"/>
      <c r="B88" s="379"/>
      <c r="C88" s="379"/>
      <c r="D88" s="379"/>
      <c r="E88" s="379"/>
      <c r="F88" s="379"/>
      <c r="G88" s="379"/>
      <c r="H88" s="379"/>
      <c r="I88" s="379"/>
      <c r="J88" s="379"/>
      <c r="K88" s="379"/>
      <c r="L88" s="379"/>
      <c r="M88" s="379"/>
      <c r="N88" s="379"/>
      <c r="O88" s="379"/>
      <c r="P88" s="379"/>
      <c r="Q88" s="379"/>
      <c r="R88" s="379"/>
      <c r="S88" s="379"/>
      <c r="T88" s="379"/>
      <c r="U88" s="379"/>
      <c r="V88" s="379"/>
      <c r="W88" s="379"/>
      <c r="X88" s="379"/>
      <c r="Y88" s="379"/>
      <c r="Z88" s="379"/>
      <c r="AA88" s="379"/>
      <c r="AB88" s="379"/>
      <c r="AC88" s="379"/>
      <c r="AD88" s="379"/>
      <c r="AE88" s="379"/>
      <c r="AF88" s="379"/>
      <c r="AG88" s="379"/>
      <c r="AH88" s="379"/>
    </row>
    <row r="89" spans="1:34" ht="27" customHeight="1" x14ac:dyDescent="0.5">
      <c r="A89" s="379"/>
      <c r="B89" s="379"/>
      <c r="C89" s="379"/>
      <c r="D89" s="379"/>
      <c r="E89" s="379"/>
      <c r="F89" s="379"/>
      <c r="G89" s="379"/>
      <c r="H89" s="379"/>
      <c r="I89" s="379"/>
      <c r="J89" s="379"/>
      <c r="K89" s="379"/>
      <c r="L89" s="379"/>
      <c r="M89" s="379"/>
      <c r="N89" s="379"/>
      <c r="O89" s="379"/>
      <c r="P89" s="379"/>
      <c r="Q89" s="379"/>
      <c r="R89" s="379"/>
      <c r="S89" s="379"/>
      <c r="T89" s="379"/>
      <c r="U89" s="379"/>
      <c r="V89" s="379"/>
      <c r="W89" s="379"/>
      <c r="X89" s="379"/>
      <c r="Y89" s="379"/>
      <c r="Z89" s="379"/>
      <c r="AA89" s="379"/>
      <c r="AB89" s="379"/>
      <c r="AC89" s="379"/>
      <c r="AD89" s="379"/>
      <c r="AE89" s="379"/>
      <c r="AF89" s="379"/>
      <c r="AG89" s="379"/>
      <c r="AH89" s="379"/>
    </row>
    <row r="90" spans="1:34" ht="27" customHeight="1" x14ac:dyDescent="0.5">
      <c r="A90" s="379"/>
      <c r="B90" s="379"/>
      <c r="C90" s="379"/>
      <c r="D90" s="379"/>
      <c r="E90" s="379"/>
      <c r="F90" s="379"/>
      <c r="G90" s="379"/>
      <c r="H90" s="379"/>
      <c r="I90" s="379"/>
      <c r="J90" s="379"/>
      <c r="K90" s="379"/>
      <c r="L90" s="379"/>
      <c r="M90" s="379"/>
      <c r="N90" s="379"/>
      <c r="O90" s="379"/>
      <c r="P90" s="379"/>
      <c r="Q90" s="379"/>
      <c r="R90" s="379"/>
      <c r="S90" s="379"/>
      <c r="T90" s="379"/>
      <c r="U90" s="379"/>
      <c r="V90" s="379"/>
      <c r="W90" s="379"/>
      <c r="X90" s="379"/>
      <c r="Y90" s="379"/>
      <c r="Z90" s="379"/>
      <c r="AA90" s="379"/>
      <c r="AB90" s="379"/>
      <c r="AC90" s="379"/>
      <c r="AD90" s="379"/>
      <c r="AE90" s="379"/>
      <c r="AF90" s="379"/>
      <c r="AG90" s="379"/>
      <c r="AH90" s="379"/>
    </row>
    <row r="91" spans="1:34" ht="27" customHeight="1" x14ac:dyDescent="0.5">
      <c r="A91" s="379"/>
      <c r="B91" s="379"/>
      <c r="C91" s="379"/>
      <c r="D91" s="379"/>
      <c r="E91" s="379"/>
      <c r="F91" s="379"/>
      <c r="G91" s="379"/>
      <c r="H91" s="379"/>
      <c r="I91" s="379"/>
      <c r="J91" s="379"/>
      <c r="K91" s="379"/>
      <c r="L91" s="379"/>
      <c r="M91" s="379"/>
      <c r="N91" s="379"/>
      <c r="O91" s="379"/>
      <c r="P91" s="379"/>
      <c r="Q91" s="379"/>
      <c r="R91" s="379"/>
      <c r="S91" s="379"/>
      <c r="T91" s="379"/>
      <c r="U91" s="379"/>
      <c r="V91" s="379"/>
      <c r="W91" s="379"/>
      <c r="X91" s="379"/>
      <c r="Y91" s="379"/>
      <c r="Z91" s="379"/>
      <c r="AA91" s="379"/>
      <c r="AB91" s="379"/>
      <c r="AC91" s="379"/>
      <c r="AD91" s="379"/>
      <c r="AE91" s="379"/>
      <c r="AF91" s="379"/>
      <c r="AG91" s="379"/>
      <c r="AH91" s="379"/>
    </row>
    <row r="92" spans="1:34" ht="27" customHeight="1" x14ac:dyDescent="0.5">
      <c r="A92" s="379"/>
      <c r="B92" s="379"/>
      <c r="C92" s="379"/>
      <c r="D92" s="379"/>
      <c r="E92" s="379"/>
      <c r="F92" s="379"/>
      <c r="G92" s="379"/>
      <c r="H92" s="379"/>
      <c r="I92" s="379"/>
      <c r="J92" s="379"/>
      <c r="K92" s="379"/>
      <c r="L92" s="379"/>
      <c r="M92" s="379"/>
      <c r="N92" s="379"/>
      <c r="O92" s="379"/>
      <c r="P92" s="379"/>
      <c r="Q92" s="379"/>
      <c r="R92" s="379"/>
      <c r="S92" s="379"/>
      <c r="T92" s="379"/>
      <c r="U92" s="379"/>
      <c r="V92" s="379"/>
      <c r="W92" s="379"/>
      <c r="X92" s="379"/>
      <c r="Y92" s="379"/>
      <c r="Z92" s="379"/>
      <c r="AA92" s="379"/>
      <c r="AB92" s="379"/>
      <c r="AC92" s="379"/>
      <c r="AD92" s="379"/>
      <c r="AE92" s="379"/>
      <c r="AF92" s="379"/>
      <c r="AG92" s="379"/>
      <c r="AH92" s="379"/>
    </row>
    <row r="93" spans="1:34" ht="27" customHeight="1" x14ac:dyDescent="0.5">
      <c r="A93" s="379"/>
      <c r="B93" s="379"/>
      <c r="C93" s="379"/>
      <c r="D93" s="379"/>
      <c r="E93" s="379"/>
      <c r="F93" s="379"/>
      <c r="G93" s="379"/>
      <c r="H93" s="379"/>
      <c r="I93" s="379"/>
      <c r="J93" s="379"/>
      <c r="K93" s="379"/>
      <c r="L93" s="379"/>
      <c r="M93" s="379"/>
      <c r="N93" s="379"/>
      <c r="O93" s="379"/>
      <c r="P93" s="379"/>
      <c r="Q93" s="379"/>
      <c r="R93" s="379"/>
      <c r="S93" s="379"/>
      <c r="T93" s="379"/>
      <c r="U93" s="379"/>
      <c r="V93" s="379"/>
      <c r="W93" s="379"/>
      <c r="X93" s="379"/>
      <c r="Y93" s="379"/>
      <c r="Z93" s="379"/>
      <c r="AA93" s="379"/>
      <c r="AB93" s="379"/>
      <c r="AC93" s="379"/>
      <c r="AD93" s="379"/>
      <c r="AE93" s="379"/>
      <c r="AF93" s="379"/>
      <c r="AG93" s="379"/>
      <c r="AH93" s="379"/>
    </row>
    <row r="94" spans="1:34" ht="27" customHeight="1" x14ac:dyDescent="0.5">
      <c r="A94" s="379"/>
      <c r="B94" s="379"/>
      <c r="C94" s="379"/>
      <c r="D94" s="379"/>
      <c r="E94" s="379"/>
      <c r="F94" s="379"/>
      <c r="G94" s="379"/>
      <c r="H94" s="379"/>
      <c r="I94" s="379"/>
      <c r="J94" s="379"/>
      <c r="K94" s="379"/>
      <c r="L94" s="379"/>
      <c r="M94" s="379"/>
      <c r="N94" s="379"/>
      <c r="O94" s="379"/>
      <c r="P94" s="379"/>
      <c r="Q94" s="379"/>
      <c r="R94" s="379"/>
      <c r="S94" s="379"/>
      <c r="T94" s="379"/>
      <c r="U94" s="379"/>
      <c r="V94" s="379"/>
      <c r="W94" s="379"/>
      <c r="X94" s="379"/>
      <c r="Y94" s="379"/>
      <c r="Z94" s="379"/>
      <c r="AA94" s="379"/>
      <c r="AB94" s="379"/>
      <c r="AC94" s="379"/>
      <c r="AD94" s="379"/>
      <c r="AE94" s="379"/>
      <c r="AF94" s="379"/>
      <c r="AG94" s="379"/>
      <c r="AH94" s="379"/>
    </row>
    <row r="95" spans="1:34" ht="27" customHeight="1" x14ac:dyDescent="0.5">
      <c r="A95" s="379"/>
      <c r="B95" s="379"/>
      <c r="C95" s="379"/>
      <c r="D95" s="379"/>
      <c r="E95" s="379"/>
      <c r="F95" s="379"/>
      <c r="G95" s="379"/>
      <c r="H95" s="379"/>
      <c r="I95" s="379"/>
      <c r="J95" s="379"/>
      <c r="K95" s="379"/>
      <c r="L95" s="379"/>
      <c r="M95" s="379"/>
      <c r="N95" s="379"/>
      <c r="O95" s="379"/>
      <c r="P95" s="379"/>
      <c r="Q95" s="379"/>
      <c r="R95" s="379"/>
      <c r="S95" s="379"/>
      <c r="T95" s="379"/>
      <c r="U95" s="379"/>
      <c r="V95" s="379"/>
      <c r="W95" s="379"/>
      <c r="X95" s="379"/>
      <c r="Y95" s="379"/>
      <c r="Z95" s="379"/>
      <c r="AA95" s="379"/>
      <c r="AB95" s="379"/>
      <c r="AC95" s="379"/>
      <c r="AD95" s="379"/>
      <c r="AE95" s="379"/>
      <c r="AF95" s="379"/>
      <c r="AG95" s="379"/>
      <c r="AH95" s="379"/>
    </row>
    <row r="96" spans="1:34" ht="27" customHeight="1" x14ac:dyDescent="0.5">
      <c r="A96" s="379"/>
      <c r="B96" s="379"/>
      <c r="C96" s="379"/>
      <c r="D96" s="379"/>
      <c r="E96" s="379"/>
      <c r="F96" s="379"/>
      <c r="G96" s="379"/>
      <c r="H96" s="379"/>
      <c r="I96" s="379"/>
      <c r="J96" s="379"/>
      <c r="K96" s="379"/>
      <c r="L96" s="379"/>
      <c r="M96" s="379"/>
      <c r="N96" s="379"/>
      <c r="O96" s="379"/>
      <c r="P96" s="379"/>
      <c r="Q96" s="379"/>
      <c r="R96" s="379"/>
      <c r="S96" s="379"/>
      <c r="T96" s="379"/>
      <c r="U96" s="379"/>
      <c r="V96" s="379"/>
      <c r="W96" s="379"/>
      <c r="X96" s="379"/>
      <c r="Y96" s="379"/>
      <c r="Z96" s="379"/>
      <c r="AA96" s="379"/>
      <c r="AB96" s="379"/>
      <c r="AC96" s="379"/>
      <c r="AD96" s="379"/>
      <c r="AE96" s="379"/>
      <c r="AF96" s="379"/>
      <c r="AG96" s="379"/>
      <c r="AH96" s="379"/>
    </row>
    <row r="97" spans="1:34" ht="27" customHeight="1" x14ac:dyDescent="0.5">
      <c r="A97" s="379"/>
      <c r="B97" s="379"/>
      <c r="C97" s="379"/>
      <c r="D97" s="379"/>
      <c r="E97" s="379"/>
      <c r="F97" s="379"/>
      <c r="G97" s="379"/>
      <c r="H97" s="379"/>
      <c r="I97" s="379"/>
      <c r="J97" s="379"/>
      <c r="K97" s="379"/>
      <c r="L97" s="379"/>
      <c r="M97" s="379"/>
      <c r="N97" s="379"/>
      <c r="O97" s="379"/>
      <c r="P97" s="379"/>
      <c r="Q97" s="379"/>
      <c r="R97" s="379"/>
      <c r="S97" s="379"/>
      <c r="T97" s="379"/>
      <c r="U97" s="379"/>
      <c r="V97" s="379"/>
      <c r="W97" s="379"/>
      <c r="X97" s="379"/>
      <c r="Y97" s="379"/>
      <c r="Z97" s="379"/>
      <c r="AA97" s="379"/>
      <c r="AB97" s="379"/>
      <c r="AC97" s="379"/>
      <c r="AD97" s="379"/>
      <c r="AE97" s="379"/>
      <c r="AF97" s="379"/>
      <c r="AG97" s="379"/>
      <c r="AH97" s="379"/>
    </row>
    <row r="98" spans="1:34" ht="27" customHeight="1" x14ac:dyDescent="0.5">
      <c r="A98" s="379"/>
      <c r="B98" s="379"/>
      <c r="C98" s="379"/>
      <c r="D98" s="379"/>
      <c r="E98" s="379"/>
      <c r="F98" s="379"/>
      <c r="G98" s="379"/>
      <c r="H98" s="379"/>
      <c r="I98" s="379"/>
      <c r="J98" s="379"/>
      <c r="K98" s="379"/>
      <c r="L98" s="379"/>
      <c r="M98" s="379"/>
      <c r="N98" s="379"/>
      <c r="O98" s="379"/>
      <c r="P98" s="379"/>
      <c r="Q98" s="379"/>
      <c r="R98" s="379"/>
      <c r="S98" s="379"/>
      <c r="T98" s="379"/>
      <c r="U98" s="379"/>
      <c r="V98" s="379"/>
      <c r="W98" s="379"/>
      <c r="X98" s="379"/>
      <c r="Y98" s="379"/>
      <c r="Z98" s="379"/>
      <c r="AA98" s="379"/>
      <c r="AB98" s="379"/>
      <c r="AC98" s="379"/>
      <c r="AD98" s="379"/>
      <c r="AE98" s="379"/>
      <c r="AF98" s="379"/>
      <c r="AG98" s="379"/>
      <c r="AH98" s="379"/>
    </row>
    <row r="99" spans="1:34" ht="27" customHeight="1" x14ac:dyDescent="0.5">
      <c r="A99" s="379"/>
      <c r="B99" s="379"/>
      <c r="C99" s="379"/>
      <c r="D99" s="379"/>
      <c r="E99" s="379"/>
      <c r="F99" s="379"/>
      <c r="G99" s="379"/>
      <c r="H99" s="379"/>
      <c r="I99" s="379"/>
      <c r="J99" s="379"/>
      <c r="K99" s="379"/>
      <c r="L99" s="379"/>
      <c r="M99" s="379"/>
      <c r="N99" s="379"/>
      <c r="O99" s="379"/>
      <c r="P99" s="379"/>
      <c r="Q99" s="379"/>
      <c r="R99" s="379"/>
      <c r="S99" s="379"/>
      <c r="T99" s="379"/>
      <c r="U99" s="379"/>
      <c r="V99" s="379"/>
      <c r="W99" s="379"/>
      <c r="X99" s="379"/>
      <c r="Y99" s="379"/>
      <c r="Z99" s="379"/>
      <c r="AA99" s="379"/>
      <c r="AB99" s="379"/>
      <c r="AC99" s="379"/>
      <c r="AD99" s="379"/>
      <c r="AE99" s="379"/>
      <c r="AF99" s="379"/>
      <c r="AG99" s="379"/>
      <c r="AH99" s="379"/>
    </row>
    <row r="100" spans="1:34" ht="27" customHeight="1" x14ac:dyDescent="0.5">
      <c r="A100" s="379"/>
      <c r="B100" s="379"/>
      <c r="C100" s="379"/>
      <c r="D100" s="379"/>
      <c r="E100" s="379"/>
      <c r="F100" s="379"/>
      <c r="G100" s="379"/>
      <c r="H100" s="379"/>
      <c r="I100" s="379"/>
      <c r="J100" s="379"/>
      <c r="K100" s="379"/>
      <c r="L100" s="379"/>
      <c r="M100" s="379"/>
      <c r="N100" s="379"/>
      <c r="O100" s="379"/>
      <c r="P100" s="379"/>
      <c r="Q100" s="379"/>
      <c r="R100" s="379"/>
      <c r="S100" s="379"/>
      <c r="T100" s="379"/>
      <c r="U100" s="379"/>
      <c r="V100" s="379"/>
      <c r="W100" s="379"/>
      <c r="X100" s="379"/>
      <c r="Y100" s="379"/>
      <c r="Z100" s="379"/>
      <c r="AA100" s="379"/>
      <c r="AB100" s="379"/>
      <c r="AC100" s="379"/>
      <c r="AD100" s="379"/>
      <c r="AE100" s="379"/>
      <c r="AF100" s="379"/>
      <c r="AG100" s="379"/>
      <c r="AH100" s="379"/>
    </row>
    <row r="101" spans="1:34" ht="27" customHeight="1" x14ac:dyDescent="0.5">
      <c r="A101" s="379"/>
      <c r="B101" s="379"/>
      <c r="C101" s="379"/>
      <c r="D101" s="379"/>
      <c r="E101" s="379"/>
      <c r="F101" s="379"/>
      <c r="G101" s="379"/>
      <c r="H101" s="379"/>
      <c r="I101" s="379"/>
      <c r="J101" s="379"/>
      <c r="K101" s="379"/>
      <c r="L101" s="379"/>
      <c r="M101" s="379"/>
      <c r="N101" s="379"/>
      <c r="O101" s="379"/>
      <c r="P101" s="379"/>
      <c r="Q101" s="379"/>
      <c r="R101" s="379"/>
      <c r="S101" s="379"/>
      <c r="T101" s="379"/>
      <c r="U101" s="379"/>
      <c r="V101" s="379"/>
      <c r="W101" s="379"/>
      <c r="X101" s="379"/>
      <c r="Y101" s="379"/>
      <c r="Z101" s="379"/>
      <c r="AA101" s="379"/>
      <c r="AB101" s="379"/>
      <c r="AC101" s="379"/>
      <c r="AD101" s="379"/>
      <c r="AE101" s="379"/>
      <c r="AF101" s="379"/>
      <c r="AG101" s="379"/>
      <c r="AH101" s="379"/>
    </row>
    <row r="102" spans="1:34" ht="27" customHeight="1" x14ac:dyDescent="0.5">
      <c r="A102" s="379"/>
      <c r="B102" s="379"/>
      <c r="C102" s="379"/>
      <c r="D102" s="379"/>
      <c r="E102" s="379"/>
      <c r="F102" s="379"/>
      <c r="G102" s="379"/>
      <c r="H102" s="379"/>
      <c r="I102" s="379"/>
      <c r="J102" s="379"/>
      <c r="K102" s="379"/>
      <c r="L102" s="379"/>
      <c r="M102" s="379"/>
      <c r="N102" s="379"/>
      <c r="O102" s="379"/>
      <c r="P102" s="379"/>
      <c r="Q102" s="379"/>
      <c r="R102" s="379"/>
      <c r="S102" s="379"/>
      <c r="T102" s="379"/>
      <c r="U102" s="379"/>
      <c r="V102" s="379"/>
      <c r="W102" s="379"/>
      <c r="X102" s="379"/>
      <c r="Y102" s="379"/>
      <c r="Z102" s="379"/>
      <c r="AA102" s="379"/>
      <c r="AB102" s="379"/>
      <c r="AC102" s="379"/>
      <c r="AD102" s="379"/>
      <c r="AE102" s="379"/>
      <c r="AF102" s="379"/>
      <c r="AG102" s="379"/>
      <c r="AH102" s="379"/>
    </row>
    <row r="103" spans="1:34" ht="27" customHeight="1" x14ac:dyDescent="0.5">
      <c r="A103" s="379"/>
      <c r="B103" s="379"/>
      <c r="C103" s="379"/>
      <c r="D103" s="379"/>
      <c r="E103" s="379"/>
      <c r="F103" s="379"/>
      <c r="G103" s="379"/>
      <c r="H103" s="379"/>
      <c r="I103" s="379"/>
      <c r="J103" s="379"/>
      <c r="K103" s="379"/>
      <c r="L103" s="379"/>
      <c r="M103" s="379"/>
      <c r="N103" s="379"/>
      <c r="O103" s="379"/>
      <c r="P103" s="379"/>
      <c r="Q103" s="379"/>
      <c r="R103" s="379"/>
      <c r="S103" s="379"/>
      <c r="T103" s="379"/>
      <c r="U103" s="379"/>
      <c r="V103" s="379"/>
      <c r="W103" s="379"/>
      <c r="X103" s="379"/>
      <c r="Y103" s="379"/>
      <c r="Z103" s="379"/>
      <c r="AA103" s="379"/>
      <c r="AB103" s="379"/>
      <c r="AC103" s="379"/>
      <c r="AD103" s="379"/>
      <c r="AE103" s="379"/>
      <c r="AF103" s="379"/>
      <c r="AG103" s="379"/>
      <c r="AH103" s="379"/>
    </row>
    <row r="104" spans="1:34" ht="27" customHeight="1" x14ac:dyDescent="0.5">
      <c r="A104" s="379"/>
      <c r="B104" s="379"/>
      <c r="C104" s="379"/>
      <c r="D104" s="379"/>
      <c r="E104" s="379"/>
      <c r="F104" s="379"/>
      <c r="G104" s="379"/>
      <c r="H104" s="379"/>
      <c r="I104" s="379"/>
      <c r="J104" s="379"/>
      <c r="K104" s="379"/>
      <c r="L104" s="379"/>
      <c r="M104" s="379"/>
      <c r="N104" s="379"/>
      <c r="O104" s="379"/>
      <c r="P104" s="379"/>
      <c r="Q104" s="379"/>
      <c r="R104" s="379"/>
      <c r="S104" s="379"/>
      <c r="T104" s="379"/>
      <c r="U104" s="379"/>
      <c r="V104" s="379"/>
      <c r="W104" s="379"/>
      <c r="X104" s="379"/>
      <c r="Y104" s="379"/>
      <c r="Z104" s="379"/>
      <c r="AA104" s="379"/>
      <c r="AB104" s="379"/>
      <c r="AC104" s="379"/>
      <c r="AD104" s="379"/>
      <c r="AE104" s="379"/>
      <c r="AF104" s="379"/>
      <c r="AG104" s="379"/>
      <c r="AH104" s="379"/>
    </row>
    <row r="105" spans="1:34" ht="27" customHeight="1" x14ac:dyDescent="0.5">
      <c r="A105" s="379"/>
      <c r="B105" s="379"/>
      <c r="C105" s="379"/>
      <c r="D105" s="379"/>
      <c r="E105" s="379"/>
      <c r="F105" s="379"/>
      <c r="G105" s="379"/>
      <c r="H105" s="379"/>
      <c r="I105" s="379"/>
      <c r="J105" s="379"/>
      <c r="K105" s="379"/>
      <c r="L105" s="379"/>
      <c r="M105" s="379"/>
      <c r="N105" s="379"/>
      <c r="O105" s="379"/>
      <c r="P105" s="379"/>
      <c r="Q105" s="379"/>
      <c r="R105" s="379"/>
      <c r="S105" s="379"/>
      <c r="T105" s="379"/>
      <c r="U105" s="379"/>
      <c r="V105" s="379"/>
      <c r="W105" s="379"/>
      <c r="X105" s="379"/>
      <c r="Y105" s="379"/>
      <c r="Z105" s="379"/>
      <c r="AA105" s="379"/>
      <c r="AB105" s="379"/>
      <c r="AC105" s="379"/>
      <c r="AD105" s="379"/>
      <c r="AE105" s="379"/>
      <c r="AF105" s="379"/>
      <c r="AG105" s="379"/>
      <c r="AH105" s="379"/>
    </row>
    <row r="106" spans="1:34" ht="27" customHeight="1" x14ac:dyDescent="0.5">
      <c r="A106" s="379"/>
      <c r="B106" s="379"/>
      <c r="C106" s="379"/>
      <c r="D106" s="379"/>
      <c r="E106" s="379"/>
      <c r="F106" s="379"/>
      <c r="G106" s="379"/>
      <c r="H106" s="379"/>
      <c r="I106" s="379"/>
      <c r="J106" s="379"/>
      <c r="K106" s="379"/>
      <c r="L106" s="379"/>
      <c r="M106" s="379"/>
      <c r="N106" s="379"/>
      <c r="O106" s="379"/>
      <c r="P106" s="379"/>
      <c r="Q106" s="379"/>
      <c r="R106" s="379"/>
      <c r="S106" s="379"/>
      <c r="T106" s="379"/>
      <c r="U106" s="379"/>
      <c r="V106" s="379"/>
      <c r="W106" s="379"/>
      <c r="X106" s="379"/>
      <c r="Y106" s="379"/>
      <c r="Z106" s="379"/>
      <c r="AA106" s="379"/>
      <c r="AB106" s="379"/>
      <c r="AC106" s="379"/>
      <c r="AD106" s="379"/>
      <c r="AE106" s="379"/>
      <c r="AF106" s="379"/>
      <c r="AG106" s="379"/>
      <c r="AH106" s="379"/>
    </row>
    <row r="107" spans="1:34" ht="27" customHeight="1" x14ac:dyDescent="0.5">
      <c r="A107" s="379"/>
      <c r="B107" s="379"/>
      <c r="C107" s="379"/>
      <c r="D107" s="379"/>
      <c r="E107" s="379"/>
      <c r="F107" s="379"/>
      <c r="G107" s="379"/>
      <c r="H107" s="379"/>
      <c r="I107" s="379"/>
      <c r="J107" s="379"/>
      <c r="K107" s="379"/>
      <c r="L107" s="379"/>
      <c r="M107" s="379"/>
      <c r="N107" s="379"/>
      <c r="O107" s="379"/>
      <c r="P107" s="379"/>
      <c r="Q107" s="379"/>
      <c r="R107" s="379"/>
      <c r="S107" s="379"/>
      <c r="T107" s="379"/>
      <c r="U107" s="379"/>
      <c r="V107" s="379"/>
      <c r="W107" s="379"/>
      <c r="X107" s="379"/>
      <c r="Y107" s="379"/>
      <c r="Z107" s="379"/>
      <c r="AA107" s="379"/>
      <c r="AB107" s="379"/>
      <c r="AC107" s="379"/>
      <c r="AD107" s="379"/>
      <c r="AE107" s="379"/>
      <c r="AF107" s="379"/>
      <c r="AG107" s="379"/>
      <c r="AH107" s="379"/>
    </row>
    <row r="108" spans="1:34" ht="27" customHeight="1" x14ac:dyDescent="0.5">
      <c r="A108" s="379"/>
      <c r="B108" s="379"/>
      <c r="C108" s="379"/>
      <c r="D108" s="379"/>
      <c r="E108" s="379"/>
      <c r="F108" s="379"/>
      <c r="G108" s="379"/>
      <c r="H108" s="379"/>
      <c r="I108" s="379"/>
      <c r="J108" s="379"/>
      <c r="K108" s="379"/>
      <c r="L108" s="379"/>
      <c r="M108" s="379"/>
      <c r="N108" s="379"/>
      <c r="O108" s="379"/>
      <c r="P108" s="379"/>
      <c r="Q108" s="379"/>
      <c r="R108" s="379"/>
      <c r="S108" s="379"/>
      <c r="T108" s="379"/>
      <c r="U108" s="379"/>
      <c r="V108" s="379"/>
      <c r="W108" s="379"/>
      <c r="X108" s="379"/>
      <c r="Y108" s="379"/>
      <c r="Z108" s="379"/>
      <c r="AA108" s="379"/>
      <c r="AB108" s="379"/>
      <c r="AC108" s="379"/>
      <c r="AD108" s="379"/>
      <c r="AE108" s="379"/>
      <c r="AF108" s="379"/>
      <c r="AG108" s="379"/>
      <c r="AH108" s="379"/>
    </row>
    <row r="109" spans="1:34" ht="27" customHeight="1" x14ac:dyDescent="0.5">
      <c r="A109" s="379"/>
      <c r="B109" s="379"/>
      <c r="C109" s="379"/>
      <c r="D109" s="379"/>
      <c r="E109" s="379"/>
      <c r="F109" s="379"/>
      <c r="G109" s="379"/>
      <c r="H109" s="379"/>
      <c r="I109" s="379"/>
      <c r="J109" s="379"/>
      <c r="K109" s="379"/>
      <c r="L109" s="379"/>
      <c r="M109" s="379"/>
      <c r="N109" s="379"/>
      <c r="O109" s="379"/>
      <c r="P109" s="379"/>
      <c r="Q109" s="379"/>
      <c r="R109" s="379"/>
      <c r="S109" s="379"/>
      <c r="T109" s="379"/>
      <c r="U109" s="379"/>
      <c r="V109" s="379"/>
      <c r="W109" s="379"/>
      <c r="X109" s="379"/>
      <c r="Y109" s="379"/>
      <c r="Z109" s="379"/>
      <c r="AA109" s="379"/>
      <c r="AB109" s="379"/>
      <c r="AC109" s="379"/>
      <c r="AD109" s="379"/>
      <c r="AE109" s="379"/>
      <c r="AF109" s="379"/>
      <c r="AG109" s="379"/>
      <c r="AH109" s="379"/>
    </row>
    <row r="110" spans="1:34" ht="27" customHeight="1" x14ac:dyDescent="0.5">
      <c r="A110" s="379"/>
      <c r="B110" s="379"/>
      <c r="C110" s="379"/>
      <c r="D110" s="379"/>
      <c r="E110" s="379"/>
      <c r="F110" s="379"/>
      <c r="G110" s="379"/>
      <c r="H110" s="379"/>
      <c r="I110" s="379"/>
      <c r="J110" s="379"/>
      <c r="K110" s="379"/>
      <c r="L110" s="379"/>
      <c r="M110" s="379"/>
      <c r="N110" s="379"/>
      <c r="O110" s="379"/>
      <c r="P110" s="379"/>
      <c r="Q110" s="379"/>
      <c r="R110" s="379"/>
      <c r="S110" s="379"/>
      <c r="T110" s="379"/>
      <c r="U110" s="379"/>
      <c r="V110" s="379"/>
      <c r="W110" s="379"/>
      <c r="X110" s="379"/>
      <c r="Y110" s="379"/>
      <c r="Z110" s="379"/>
      <c r="AA110" s="379"/>
      <c r="AB110" s="379"/>
      <c r="AC110" s="379"/>
      <c r="AD110" s="379"/>
      <c r="AE110" s="379"/>
      <c r="AF110" s="379"/>
      <c r="AG110" s="379"/>
      <c r="AH110" s="379"/>
    </row>
    <row r="111" spans="1:34" ht="27" customHeight="1" x14ac:dyDescent="0.5">
      <c r="A111" s="379"/>
      <c r="B111" s="379"/>
      <c r="C111" s="379"/>
      <c r="D111" s="379"/>
      <c r="E111" s="379"/>
      <c r="F111" s="379"/>
      <c r="G111" s="379"/>
      <c r="H111" s="379"/>
      <c r="I111" s="379"/>
      <c r="J111" s="379"/>
      <c r="K111" s="379"/>
      <c r="L111" s="379"/>
      <c r="M111" s="379"/>
      <c r="N111" s="379"/>
      <c r="O111" s="379"/>
      <c r="P111" s="379"/>
      <c r="Q111" s="379"/>
      <c r="R111" s="379"/>
      <c r="S111" s="379"/>
      <c r="T111" s="379"/>
      <c r="U111" s="379"/>
      <c r="V111" s="379"/>
      <c r="W111" s="379"/>
      <c r="X111" s="379"/>
      <c r="Y111" s="379"/>
      <c r="Z111" s="379"/>
      <c r="AA111" s="379"/>
      <c r="AB111" s="379"/>
      <c r="AC111" s="379"/>
      <c r="AD111" s="379"/>
      <c r="AE111" s="379"/>
      <c r="AF111" s="379"/>
      <c r="AG111" s="379"/>
      <c r="AH111" s="379"/>
    </row>
    <row r="112" spans="1:34" ht="27" customHeight="1" x14ac:dyDescent="0.5">
      <c r="A112" s="379"/>
      <c r="B112" s="379"/>
      <c r="C112" s="379"/>
      <c r="D112" s="379"/>
      <c r="E112" s="379"/>
      <c r="F112" s="379"/>
      <c r="G112" s="379"/>
      <c r="H112" s="379"/>
      <c r="I112" s="379"/>
      <c r="J112" s="379"/>
      <c r="K112" s="379"/>
      <c r="L112" s="379"/>
      <c r="M112" s="379"/>
      <c r="N112" s="379"/>
      <c r="O112" s="379"/>
      <c r="P112" s="379"/>
      <c r="Q112" s="379"/>
      <c r="R112" s="379"/>
      <c r="S112" s="379"/>
      <c r="T112" s="379"/>
      <c r="U112" s="379"/>
      <c r="V112" s="379"/>
      <c r="W112" s="379"/>
      <c r="X112" s="379"/>
      <c r="Y112" s="379"/>
      <c r="Z112" s="379"/>
      <c r="AA112" s="379"/>
      <c r="AB112" s="379"/>
      <c r="AC112" s="379"/>
      <c r="AD112" s="379"/>
      <c r="AE112" s="379"/>
      <c r="AF112" s="379"/>
      <c r="AG112" s="379"/>
      <c r="AH112" s="379"/>
    </row>
    <row r="113" spans="1:34" ht="27" customHeight="1" x14ac:dyDescent="0.5">
      <c r="A113" s="379"/>
      <c r="B113" s="379"/>
      <c r="C113" s="379"/>
      <c r="D113" s="379"/>
      <c r="E113" s="379"/>
      <c r="F113" s="379"/>
      <c r="G113" s="379"/>
      <c r="H113" s="379"/>
      <c r="I113" s="379"/>
      <c r="J113" s="379"/>
      <c r="K113" s="379"/>
      <c r="L113" s="379"/>
      <c r="M113" s="379"/>
      <c r="N113" s="379"/>
      <c r="O113" s="379"/>
      <c r="P113" s="379"/>
      <c r="Q113" s="379"/>
      <c r="R113" s="379"/>
      <c r="S113" s="379"/>
      <c r="T113" s="379"/>
      <c r="U113" s="379"/>
      <c r="V113" s="379"/>
      <c r="W113" s="379"/>
      <c r="X113" s="379"/>
      <c r="Y113" s="379"/>
      <c r="Z113" s="379"/>
      <c r="AA113" s="379"/>
      <c r="AB113" s="379"/>
      <c r="AC113" s="379"/>
      <c r="AD113" s="379"/>
      <c r="AE113" s="379"/>
      <c r="AF113" s="379"/>
      <c r="AG113" s="379"/>
      <c r="AH113" s="379"/>
    </row>
    <row r="114" spans="1:34" ht="27" customHeight="1" x14ac:dyDescent="0.5">
      <c r="A114" s="379"/>
      <c r="B114" s="379"/>
      <c r="C114" s="379"/>
      <c r="D114" s="379"/>
      <c r="E114" s="379"/>
      <c r="F114" s="379"/>
      <c r="G114" s="379"/>
      <c r="H114" s="379"/>
      <c r="I114" s="379"/>
      <c r="J114" s="379"/>
      <c r="K114" s="379"/>
      <c r="L114" s="379"/>
      <c r="M114" s="379"/>
      <c r="N114" s="379"/>
      <c r="O114" s="379"/>
      <c r="P114" s="379"/>
      <c r="Q114" s="379"/>
      <c r="R114" s="379"/>
      <c r="S114" s="379"/>
      <c r="T114" s="379"/>
      <c r="U114" s="379"/>
      <c r="V114" s="379"/>
      <c r="W114" s="379"/>
      <c r="X114" s="379"/>
      <c r="Y114" s="379"/>
      <c r="Z114" s="379"/>
      <c r="AA114" s="379"/>
      <c r="AB114" s="379"/>
      <c r="AC114" s="379"/>
      <c r="AD114" s="379"/>
      <c r="AE114" s="379"/>
      <c r="AF114" s="379"/>
      <c r="AG114" s="379"/>
      <c r="AH114" s="379"/>
    </row>
    <row r="115" spans="1:34" ht="27" customHeight="1" x14ac:dyDescent="0.5">
      <c r="A115" s="379"/>
      <c r="B115" s="379"/>
      <c r="C115" s="379"/>
      <c r="D115" s="379"/>
      <c r="E115" s="379"/>
      <c r="F115" s="379"/>
      <c r="G115" s="379"/>
      <c r="H115" s="379"/>
      <c r="I115" s="379"/>
      <c r="J115" s="379"/>
      <c r="K115" s="379"/>
      <c r="L115" s="379"/>
      <c r="M115" s="379"/>
      <c r="N115" s="379"/>
      <c r="O115" s="379"/>
      <c r="P115" s="379"/>
      <c r="Q115" s="379"/>
      <c r="R115" s="379"/>
      <c r="S115" s="379"/>
      <c r="T115" s="379"/>
      <c r="U115" s="379"/>
      <c r="V115" s="379"/>
      <c r="W115" s="379"/>
      <c r="X115" s="379"/>
      <c r="Y115" s="379"/>
      <c r="Z115" s="379"/>
      <c r="AA115" s="379"/>
      <c r="AB115" s="379"/>
      <c r="AC115" s="379"/>
      <c r="AD115" s="379"/>
      <c r="AE115" s="379"/>
      <c r="AF115" s="379"/>
      <c r="AG115" s="379"/>
      <c r="AH115" s="379"/>
    </row>
    <row r="116" spans="1:34" ht="27" customHeight="1" x14ac:dyDescent="0.5">
      <c r="A116" s="379"/>
      <c r="B116" s="379"/>
      <c r="C116" s="379"/>
      <c r="D116" s="379"/>
      <c r="E116" s="379"/>
      <c r="F116" s="379"/>
      <c r="G116" s="379"/>
      <c r="H116" s="379"/>
      <c r="I116" s="379"/>
      <c r="J116" s="379"/>
      <c r="K116" s="379"/>
      <c r="L116" s="379"/>
      <c r="M116" s="379"/>
      <c r="N116" s="379"/>
      <c r="O116" s="379"/>
      <c r="P116" s="379"/>
      <c r="Q116" s="379"/>
      <c r="R116" s="379"/>
      <c r="S116" s="379"/>
      <c r="T116" s="379"/>
      <c r="U116" s="379"/>
      <c r="V116" s="379"/>
      <c r="W116" s="379"/>
      <c r="X116" s="379"/>
      <c r="Y116" s="379"/>
      <c r="Z116" s="379"/>
      <c r="AA116" s="379"/>
      <c r="AB116" s="379"/>
      <c r="AC116" s="379"/>
      <c r="AD116" s="379"/>
      <c r="AE116" s="379"/>
      <c r="AF116" s="379"/>
      <c r="AG116" s="379"/>
      <c r="AH116" s="379"/>
    </row>
    <row r="117" spans="1:34" ht="27" customHeight="1" x14ac:dyDescent="0.5">
      <c r="A117" s="379"/>
      <c r="B117" s="379"/>
      <c r="C117" s="379"/>
      <c r="D117" s="379"/>
      <c r="E117" s="379"/>
      <c r="F117" s="379"/>
      <c r="G117" s="379"/>
      <c r="H117" s="379"/>
      <c r="I117" s="379"/>
      <c r="J117" s="379"/>
      <c r="K117" s="379"/>
      <c r="L117" s="379"/>
      <c r="M117" s="379"/>
      <c r="N117" s="379"/>
      <c r="O117" s="379"/>
      <c r="P117" s="379"/>
      <c r="Q117" s="379"/>
      <c r="R117" s="379"/>
      <c r="S117" s="379"/>
      <c r="T117" s="379"/>
      <c r="U117" s="379"/>
      <c r="V117" s="379"/>
      <c r="W117" s="379"/>
      <c r="X117" s="379"/>
      <c r="Y117" s="379"/>
      <c r="Z117" s="379"/>
      <c r="AA117" s="379"/>
      <c r="AB117" s="379"/>
      <c r="AC117" s="379"/>
      <c r="AD117" s="379"/>
      <c r="AE117" s="379"/>
      <c r="AF117" s="379"/>
      <c r="AG117" s="379"/>
      <c r="AH117" s="379"/>
    </row>
    <row r="118" spans="1:34" ht="27" customHeight="1" x14ac:dyDescent="0.5">
      <c r="A118" s="379"/>
      <c r="B118" s="379"/>
      <c r="C118" s="379"/>
      <c r="D118" s="379"/>
      <c r="E118" s="379"/>
      <c r="F118" s="379"/>
      <c r="G118" s="379"/>
      <c r="H118" s="379"/>
      <c r="I118" s="379"/>
      <c r="J118" s="379"/>
      <c r="K118" s="379"/>
      <c r="L118" s="379"/>
      <c r="M118" s="379"/>
      <c r="N118" s="379"/>
      <c r="O118" s="379"/>
      <c r="P118" s="379"/>
      <c r="Q118" s="379"/>
      <c r="R118" s="379"/>
      <c r="S118" s="379"/>
      <c r="T118" s="379"/>
      <c r="U118" s="379"/>
      <c r="V118" s="379"/>
      <c r="W118" s="379"/>
      <c r="X118" s="379"/>
      <c r="Y118" s="379"/>
      <c r="Z118" s="379"/>
      <c r="AA118" s="379"/>
      <c r="AB118" s="379"/>
      <c r="AC118" s="379"/>
      <c r="AD118" s="379"/>
      <c r="AE118" s="379"/>
      <c r="AF118" s="379"/>
      <c r="AG118" s="379"/>
      <c r="AH118" s="379"/>
    </row>
    <row r="119" spans="1:34" ht="27" customHeight="1" x14ac:dyDescent="0.5">
      <c r="A119" s="379"/>
      <c r="B119" s="379"/>
      <c r="C119" s="379"/>
      <c r="D119" s="379"/>
      <c r="E119" s="379"/>
      <c r="F119" s="379"/>
      <c r="G119" s="379"/>
      <c r="H119" s="379"/>
      <c r="I119" s="379"/>
      <c r="J119" s="379"/>
      <c r="K119" s="379"/>
      <c r="L119" s="379"/>
      <c r="M119" s="379"/>
      <c r="N119" s="379"/>
      <c r="O119" s="379"/>
      <c r="P119" s="379"/>
      <c r="Q119" s="379"/>
      <c r="R119" s="379"/>
      <c r="S119" s="379"/>
      <c r="T119" s="379"/>
      <c r="U119" s="379"/>
      <c r="V119" s="379"/>
      <c r="W119" s="379"/>
      <c r="X119" s="379"/>
      <c r="Y119" s="379"/>
      <c r="Z119" s="379"/>
      <c r="AA119" s="379"/>
      <c r="AB119" s="379"/>
      <c r="AC119" s="379"/>
      <c r="AD119" s="379"/>
      <c r="AE119" s="379"/>
      <c r="AF119" s="379"/>
      <c r="AG119" s="379"/>
      <c r="AH119" s="379"/>
    </row>
    <row r="120" spans="1:34" ht="27" customHeight="1" x14ac:dyDescent="0.5">
      <c r="A120" s="379"/>
      <c r="B120" s="379"/>
      <c r="C120" s="379"/>
      <c r="D120" s="379"/>
      <c r="E120" s="379"/>
      <c r="F120" s="379"/>
      <c r="G120" s="379"/>
      <c r="H120" s="379"/>
      <c r="I120" s="379"/>
      <c r="J120" s="379"/>
      <c r="K120" s="379"/>
      <c r="L120" s="379"/>
      <c r="M120" s="379"/>
      <c r="N120" s="379"/>
      <c r="O120" s="379"/>
      <c r="P120" s="379"/>
      <c r="Q120" s="379"/>
      <c r="R120" s="379"/>
      <c r="S120" s="379"/>
      <c r="T120" s="379"/>
      <c r="U120" s="379"/>
      <c r="V120" s="379"/>
      <c r="W120" s="379"/>
      <c r="X120" s="379"/>
      <c r="Y120" s="379"/>
      <c r="Z120" s="379"/>
      <c r="AA120" s="379"/>
      <c r="AB120" s="379"/>
      <c r="AC120" s="379"/>
      <c r="AD120" s="379"/>
      <c r="AE120" s="379"/>
      <c r="AF120" s="379"/>
      <c r="AG120" s="379"/>
      <c r="AH120" s="379"/>
    </row>
    <row r="121" spans="1:34" ht="27" customHeight="1" x14ac:dyDescent="0.5">
      <c r="A121" s="379"/>
      <c r="B121" s="379"/>
      <c r="C121" s="379"/>
      <c r="D121" s="379"/>
      <c r="E121" s="379"/>
      <c r="F121" s="379"/>
      <c r="G121" s="379"/>
      <c r="H121" s="379"/>
      <c r="I121" s="379"/>
      <c r="J121" s="379"/>
      <c r="K121" s="379"/>
      <c r="L121" s="379"/>
      <c r="M121" s="379"/>
      <c r="N121" s="379"/>
      <c r="O121" s="379"/>
      <c r="P121" s="379"/>
      <c r="Q121" s="379"/>
      <c r="R121" s="379"/>
      <c r="S121" s="379"/>
      <c r="T121" s="379"/>
      <c r="U121" s="379"/>
      <c r="V121" s="379"/>
      <c r="W121" s="379"/>
      <c r="X121" s="379"/>
      <c r="Y121" s="379"/>
      <c r="Z121" s="379"/>
      <c r="AA121" s="379"/>
      <c r="AB121" s="379"/>
      <c r="AC121" s="379"/>
      <c r="AD121" s="379"/>
      <c r="AE121" s="379"/>
      <c r="AF121" s="379"/>
      <c r="AG121" s="379"/>
      <c r="AH121" s="379"/>
    </row>
    <row r="122" spans="1:34" ht="27" customHeight="1" x14ac:dyDescent="0.5">
      <c r="A122" s="379"/>
      <c r="B122" s="379"/>
      <c r="C122" s="379"/>
      <c r="D122" s="379"/>
      <c r="E122" s="379"/>
      <c r="F122" s="379"/>
      <c r="G122" s="379"/>
      <c r="H122" s="379"/>
      <c r="I122" s="379"/>
      <c r="J122" s="379"/>
      <c r="K122" s="379"/>
      <c r="L122" s="379"/>
      <c r="M122" s="379"/>
      <c r="N122" s="379"/>
      <c r="O122" s="379"/>
      <c r="P122" s="379"/>
      <c r="Q122" s="379"/>
      <c r="R122" s="379"/>
      <c r="S122" s="379"/>
      <c r="T122" s="379"/>
      <c r="U122" s="379"/>
      <c r="V122" s="379"/>
      <c r="W122" s="379"/>
      <c r="X122" s="379"/>
      <c r="Y122" s="379"/>
      <c r="Z122" s="379"/>
      <c r="AA122" s="379"/>
      <c r="AB122" s="379"/>
      <c r="AC122" s="379"/>
      <c r="AD122" s="379"/>
      <c r="AE122" s="379"/>
      <c r="AF122" s="379"/>
      <c r="AG122" s="379"/>
      <c r="AH122" s="379"/>
    </row>
    <row r="123" spans="1:34" ht="27" customHeight="1" x14ac:dyDescent="0.5">
      <c r="A123" s="379"/>
      <c r="B123" s="379"/>
      <c r="C123" s="379"/>
      <c r="D123" s="379"/>
      <c r="E123" s="379"/>
      <c r="F123" s="379"/>
      <c r="G123" s="379"/>
      <c r="H123" s="379"/>
      <c r="I123" s="379"/>
      <c r="J123" s="379"/>
      <c r="K123" s="379"/>
      <c r="L123" s="379"/>
      <c r="M123" s="379"/>
      <c r="N123" s="379"/>
      <c r="O123" s="379"/>
      <c r="P123" s="379"/>
      <c r="Q123" s="379"/>
      <c r="R123" s="379"/>
      <c r="S123" s="379"/>
      <c r="T123" s="379"/>
      <c r="U123" s="379"/>
      <c r="V123" s="379"/>
      <c r="W123" s="379"/>
      <c r="X123" s="379"/>
      <c r="Y123" s="379"/>
      <c r="Z123" s="379"/>
      <c r="AA123" s="379"/>
      <c r="AB123" s="379"/>
      <c r="AC123" s="379"/>
      <c r="AD123" s="379"/>
      <c r="AE123" s="379"/>
      <c r="AF123" s="379"/>
      <c r="AG123" s="379"/>
      <c r="AH123" s="379"/>
    </row>
    <row r="124" spans="1:34" ht="27" customHeight="1" x14ac:dyDescent="0.5">
      <c r="A124" s="379"/>
      <c r="B124" s="379"/>
      <c r="C124" s="379"/>
      <c r="D124" s="379"/>
      <c r="E124" s="379"/>
      <c r="F124" s="379"/>
      <c r="G124" s="379"/>
      <c r="H124" s="379"/>
      <c r="I124" s="379"/>
      <c r="J124" s="379"/>
      <c r="K124" s="379"/>
      <c r="L124" s="379"/>
      <c r="M124" s="379"/>
      <c r="N124" s="379"/>
      <c r="O124" s="379"/>
      <c r="P124" s="379"/>
      <c r="Q124" s="379"/>
      <c r="R124" s="379"/>
      <c r="S124" s="379"/>
      <c r="T124" s="379"/>
      <c r="U124" s="379"/>
      <c r="V124" s="379"/>
      <c r="W124" s="379"/>
      <c r="X124" s="379"/>
      <c r="Y124" s="379"/>
      <c r="Z124" s="379"/>
      <c r="AA124" s="379"/>
      <c r="AB124" s="379"/>
      <c r="AC124" s="379"/>
      <c r="AD124" s="379"/>
      <c r="AE124" s="379"/>
      <c r="AF124" s="379"/>
      <c r="AG124" s="379"/>
      <c r="AH124" s="379"/>
    </row>
    <row r="125" spans="1:34" ht="27" customHeight="1" x14ac:dyDescent="0.5">
      <c r="A125" s="379"/>
      <c r="B125" s="379"/>
      <c r="C125" s="379"/>
      <c r="D125" s="379"/>
      <c r="E125" s="379"/>
      <c r="F125" s="379"/>
      <c r="G125" s="379"/>
      <c r="H125" s="379"/>
      <c r="I125" s="379"/>
      <c r="J125" s="379"/>
      <c r="K125" s="379"/>
      <c r="L125" s="379"/>
      <c r="M125" s="379"/>
      <c r="N125" s="379"/>
      <c r="O125" s="379"/>
      <c r="P125" s="379"/>
      <c r="Q125" s="379"/>
      <c r="R125" s="379"/>
      <c r="S125" s="379"/>
      <c r="T125" s="379"/>
      <c r="U125" s="379"/>
      <c r="V125" s="379"/>
      <c r="W125" s="379"/>
      <c r="X125" s="379"/>
      <c r="Y125" s="379"/>
      <c r="Z125" s="379"/>
      <c r="AA125" s="379"/>
      <c r="AB125" s="379"/>
      <c r="AC125" s="379"/>
      <c r="AD125" s="379"/>
      <c r="AE125" s="379"/>
      <c r="AF125" s="379"/>
      <c r="AG125" s="379"/>
      <c r="AH125" s="379"/>
    </row>
    <row r="126" spans="1:34" ht="27" customHeight="1" x14ac:dyDescent="0.5">
      <c r="A126" s="379"/>
      <c r="B126" s="379"/>
      <c r="C126" s="379"/>
      <c r="D126" s="379"/>
      <c r="E126" s="379"/>
      <c r="F126" s="379"/>
      <c r="G126" s="379"/>
      <c r="H126" s="379"/>
      <c r="I126" s="379"/>
      <c r="J126" s="379"/>
      <c r="K126" s="379"/>
      <c r="L126" s="379"/>
      <c r="M126" s="379"/>
      <c r="N126" s="379"/>
      <c r="O126" s="379"/>
      <c r="P126" s="379"/>
      <c r="Q126" s="379"/>
      <c r="R126" s="379"/>
      <c r="S126" s="379"/>
      <c r="T126" s="379"/>
      <c r="U126" s="379"/>
      <c r="V126" s="379"/>
      <c r="W126" s="379"/>
      <c r="X126" s="379"/>
      <c r="Y126" s="379"/>
      <c r="Z126" s="379"/>
      <c r="AA126" s="379"/>
      <c r="AB126" s="379"/>
      <c r="AC126" s="379"/>
      <c r="AD126" s="379"/>
      <c r="AE126" s="379"/>
      <c r="AF126" s="379"/>
      <c r="AG126" s="379"/>
      <c r="AH126" s="379"/>
    </row>
    <row r="127" spans="1:34" ht="27" customHeight="1" x14ac:dyDescent="0.5">
      <c r="A127" s="379"/>
      <c r="B127" s="379"/>
      <c r="C127" s="379"/>
      <c r="D127" s="379"/>
      <c r="E127" s="379"/>
      <c r="F127" s="379"/>
      <c r="G127" s="379"/>
      <c r="H127" s="379"/>
      <c r="I127" s="379"/>
      <c r="J127" s="379"/>
      <c r="K127" s="379"/>
      <c r="L127" s="379"/>
      <c r="M127" s="379"/>
      <c r="N127" s="379"/>
      <c r="O127" s="379"/>
      <c r="P127" s="379"/>
      <c r="Q127" s="379"/>
      <c r="R127" s="379"/>
      <c r="S127" s="379"/>
      <c r="T127" s="379"/>
      <c r="U127" s="379"/>
      <c r="V127" s="379"/>
      <c r="W127" s="379"/>
      <c r="X127" s="379"/>
      <c r="Y127" s="379"/>
      <c r="Z127" s="379"/>
      <c r="AA127" s="379"/>
      <c r="AB127" s="379"/>
      <c r="AC127" s="379"/>
      <c r="AD127" s="379"/>
      <c r="AE127" s="379"/>
      <c r="AF127" s="379"/>
      <c r="AG127" s="379"/>
      <c r="AH127" s="379"/>
    </row>
    <row r="128" spans="1:34" ht="27" customHeight="1" x14ac:dyDescent="0.5">
      <c r="A128" s="379"/>
      <c r="B128" s="379"/>
      <c r="C128" s="379"/>
      <c r="D128" s="379"/>
      <c r="E128" s="379"/>
      <c r="F128" s="379"/>
      <c r="G128" s="379"/>
      <c r="H128" s="379"/>
      <c r="I128" s="379"/>
      <c r="J128" s="379"/>
      <c r="K128" s="379"/>
      <c r="L128" s="379"/>
      <c r="M128" s="379"/>
      <c r="N128" s="379"/>
      <c r="O128" s="379"/>
      <c r="P128" s="379"/>
      <c r="Q128" s="379"/>
      <c r="R128" s="379"/>
      <c r="S128" s="379"/>
      <c r="T128" s="379"/>
      <c r="U128" s="379"/>
      <c r="V128" s="379"/>
      <c r="W128" s="379"/>
      <c r="X128" s="379"/>
      <c r="Y128" s="379"/>
      <c r="Z128" s="379"/>
      <c r="AA128" s="379"/>
      <c r="AB128" s="379"/>
      <c r="AC128" s="379"/>
      <c r="AD128" s="379"/>
      <c r="AE128" s="379"/>
      <c r="AF128" s="379"/>
      <c r="AG128" s="379"/>
      <c r="AH128" s="379"/>
    </row>
    <row r="129" spans="1:34" ht="27" customHeight="1" x14ac:dyDescent="0.5">
      <c r="A129" s="379"/>
      <c r="B129" s="379"/>
      <c r="C129" s="379"/>
      <c r="D129" s="379"/>
      <c r="E129" s="379"/>
      <c r="F129" s="379"/>
      <c r="G129" s="379"/>
      <c r="H129" s="379"/>
      <c r="I129" s="379"/>
      <c r="J129" s="379"/>
      <c r="K129" s="379"/>
      <c r="L129" s="379"/>
      <c r="M129" s="379"/>
      <c r="N129" s="379"/>
      <c r="O129" s="379"/>
      <c r="P129" s="379"/>
      <c r="Q129" s="379"/>
      <c r="R129" s="379"/>
      <c r="S129" s="379"/>
      <c r="T129" s="379"/>
      <c r="U129" s="379"/>
      <c r="V129" s="379"/>
      <c r="W129" s="379"/>
      <c r="X129" s="379"/>
      <c r="Y129" s="379"/>
      <c r="Z129" s="379"/>
      <c r="AA129" s="379"/>
      <c r="AB129" s="379"/>
      <c r="AC129" s="379"/>
      <c r="AD129" s="379"/>
      <c r="AE129" s="379"/>
      <c r="AF129" s="379"/>
      <c r="AG129" s="379"/>
      <c r="AH129" s="379"/>
    </row>
    <row r="130" spans="1:34" ht="27" customHeight="1" x14ac:dyDescent="0.5">
      <c r="A130" s="379"/>
      <c r="B130" s="379"/>
      <c r="C130" s="379"/>
      <c r="D130" s="379"/>
      <c r="E130" s="379"/>
      <c r="F130" s="379"/>
      <c r="G130" s="379"/>
      <c r="H130" s="379"/>
      <c r="I130" s="379"/>
      <c r="J130" s="379"/>
      <c r="K130" s="379"/>
      <c r="L130" s="379"/>
      <c r="M130" s="379"/>
      <c r="N130" s="379"/>
      <c r="O130" s="379"/>
      <c r="P130" s="379"/>
      <c r="Q130" s="379"/>
      <c r="R130" s="379"/>
      <c r="S130" s="379"/>
      <c r="T130" s="379"/>
      <c r="U130" s="379"/>
      <c r="V130" s="379"/>
      <c r="W130" s="379"/>
      <c r="X130" s="379"/>
      <c r="Y130" s="379"/>
      <c r="Z130" s="379"/>
      <c r="AA130" s="379"/>
      <c r="AB130" s="379"/>
      <c r="AC130" s="379"/>
      <c r="AD130" s="379"/>
      <c r="AE130" s="379"/>
      <c r="AF130" s="379"/>
      <c r="AG130" s="379"/>
      <c r="AH130" s="379"/>
    </row>
    <row r="131" spans="1:34" ht="27" customHeight="1" x14ac:dyDescent="0.5">
      <c r="A131" s="379"/>
      <c r="B131" s="379"/>
      <c r="C131" s="379"/>
      <c r="D131" s="379"/>
      <c r="E131" s="379"/>
      <c r="F131" s="379"/>
      <c r="G131" s="379"/>
      <c r="H131" s="379"/>
      <c r="I131" s="379"/>
      <c r="J131" s="379"/>
      <c r="K131" s="379"/>
      <c r="L131" s="379"/>
      <c r="M131" s="379"/>
      <c r="N131" s="379"/>
      <c r="O131" s="379"/>
      <c r="P131" s="379"/>
      <c r="Q131" s="379"/>
      <c r="R131" s="379"/>
      <c r="S131" s="379"/>
      <c r="T131" s="379"/>
      <c r="U131" s="379"/>
      <c r="V131" s="379"/>
      <c r="W131" s="379"/>
      <c r="X131" s="379"/>
      <c r="Y131" s="379"/>
      <c r="Z131" s="379"/>
      <c r="AA131" s="379"/>
      <c r="AB131" s="379"/>
      <c r="AC131" s="379"/>
      <c r="AD131" s="379"/>
      <c r="AE131" s="379"/>
      <c r="AF131" s="379"/>
      <c r="AG131" s="379"/>
      <c r="AH131" s="379"/>
    </row>
    <row r="132" spans="1:34" ht="27" customHeight="1" x14ac:dyDescent="0.5">
      <c r="A132" s="379"/>
      <c r="B132" s="379"/>
      <c r="C132" s="379"/>
      <c r="D132" s="379"/>
      <c r="E132" s="379"/>
      <c r="F132" s="379"/>
      <c r="G132" s="379"/>
      <c r="H132" s="379"/>
      <c r="I132" s="379"/>
      <c r="J132" s="379"/>
      <c r="K132" s="379"/>
      <c r="L132" s="379"/>
      <c r="M132" s="379"/>
      <c r="N132" s="379"/>
      <c r="O132" s="379"/>
      <c r="P132" s="379"/>
      <c r="Q132" s="379"/>
      <c r="R132" s="379"/>
      <c r="S132" s="379"/>
      <c r="T132" s="379"/>
      <c r="U132" s="379"/>
      <c r="V132" s="379"/>
      <c r="W132" s="379"/>
      <c r="X132" s="379"/>
      <c r="Y132" s="379"/>
      <c r="Z132" s="379"/>
      <c r="AA132" s="379"/>
      <c r="AB132" s="379"/>
      <c r="AC132" s="379"/>
      <c r="AD132" s="379"/>
      <c r="AE132" s="379"/>
      <c r="AF132" s="379"/>
      <c r="AG132" s="379"/>
      <c r="AH132" s="379"/>
    </row>
    <row r="133" spans="1:34" ht="27" customHeight="1" x14ac:dyDescent="0.5">
      <c r="A133" s="379"/>
      <c r="B133" s="379"/>
      <c r="C133" s="379"/>
      <c r="D133" s="379"/>
      <c r="E133" s="379"/>
      <c r="F133" s="379"/>
      <c r="G133" s="379"/>
      <c r="H133" s="379"/>
      <c r="I133" s="379"/>
      <c r="J133" s="379"/>
      <c r="K133" s="379"/>
      <c r="L133" s="379"/>
      <c r="M133" s="379"/>
      <c r="N133" s="379"/>
      <c r="O133" s="379"/>
      <c r="P133" s="379"/>
      <c r="Q133" s="379"/>
      <c r="R133" s="379"/>
      <c r="S133" s="379"/>
      <c r="T133" s="379"/>
      <c r="U133" s="379"/>
      <c r="V133" s="379"/>
      <c r="W133" s="379"/>
      <c r="X133" s="379"/>
      <c r="Y133" s="379"/>
      <c r="Z133" s="379"/>
      <c r="AA133" s="379"/>
      <c r="AB133" s="379"/>
      <c r="AC133" s="379"/>
      <c r="AD133" s="379"/>
      <c r="AE133" s="379"/>
      <c r="AF133" s="379"/>
      <c r="AG133" s="379"/>
      <c r="AH133" s="379"/>
    </row>
    <row r="134" spans="1:34" ht="27" customHeight="1" x14ac:dyDescent="0.5">
      <c r="A134" s="379"/>
      <c r="B134" s="379"/>
      <c r="C134" s="379"/>
      <c r="D134" s="379"/>
      <c r="E134" s="379"/>
      <c r="F134" s="379"/>
      <c r="G134" s="379"/>
      <c r="H134" s="379"/>
      <c r="I134" s="379"/>
      <c r="J134" s="379"/>
      <c r="K134" s="379"/>
      <c r="L134" s="379"/>
      <c r="M134" s="379"/>
      <c r="N134" s="379"/>
      <c r="O134" s="379"/>
      <c r="P134" s="379"/>
      <c r="Q134" s="379"/>
      <c r="R134" s="379"/>
      <c r="S134" s="379"/>
      <c r="T134" s="379"/>
      <c r="U134" s="379"/>
      <c r="V134" s="379"/>
      <c r="W134" s="379"/>
      <c r="X134" s="379"/>
      <c r="Y134" s="379"/>
      <c r="Z134" s="379"/>
      <c r="AA134" s="379"/>
      <c r="AB134" s="379"/>
      <c r="AC134" s="379"/>
      <c r="AD134" s="379"/>
      <c r="AE134" s="379"/>
      <c r="AF134" s="379"/>
      <c r="AG134" s="379"/>
      <c r="AH134" s="379"/>
    </row>
    <row r="135" spans="1:34" ht="27" customHeight="1" x14ac:dyDescent="0.5">
      <c r="A135" s="379"/>
      <c r="B135" s="379"/>
      <c r="C135" s="379"/>
      <c r="D135" s="379"/>
      <c r="E135" s="379"/>
      <c r="F135" s="379"/>
      <c r="G135" s="379"/>
      <c r="H135" s="379"/>
      <c r="I135" s="379"/>
      <c r="J135" s="379"/>
      <c r="K135" s="379"/>
      <c r="L135" s="379"/>
      <c r="M135" s="379"/>
      <c r="N135" s="379"/>
      <c r="O135" s="379"/>
      <c r="P135" s="379"/>
      <c r="Q135" s="379"/>
      <c r="R135" s="379"/>
      <c r="S135" s="379"/>
      <c r="T135" s="379"/>
      <c r="U135" s="379"/>
      <c r="V135" s="379"/>
      <c r="W135" s="379"/>
      <c r="X135" s="379"/>
      <c r="Y135" s="379"/>
      <c r="Z135" s="379"/>
      <c r="AA135" s="379"/>
      <c r="AB135" s="379"/>
      <c r="AC135" s="379"/>
      <c r="AD135" s="379"/>
      <c r="AE135" s="379"/>
      <c r="AF135" s="379"/>
      <c r="AG135" s="379"/>
      <c r="AH135" s="379"/>
    </row>
    <row r="136" spans="1:34" ht="27" customHeight="1" x14ac:dyDescent="0.5">
      <c r="A136" s="379"/>
      <c r="B136" s="379"/>
      <c r="C136" s="379"/>
      <c r="D136" s="379"/>
      <c r="E136" s="379"/>
      <c r="F136" s="379"/>
      <c r="G136" s="379"/>
      <c r="H136" s="379"/>
      <c r="I136" s="379"/>
      <c r="J136" s="379"/>
      <c r="K136" s="379"/>
      <c r="L136" s="379"/>
      <c r="M136" s="379"/>
      <c r="N136" s="379"/>
      <c r="O136" s="379"/>
      <c r="P136" s="379"/>
      <c r="Q136" s="379"/>
      <c r="R136" s="379"/>
      <c r="S136" s="379"/>
      <c r="T136" s="379"/>
      <c r="U136" s="379"/>
      <c r="V136" s="379"/>
      <c r="W136" s="379"/>
      <c r="X136" s="379"/>
      <c r="Y136" s="379"/>
      <c r="Z136" s="379"/>
      <c r="AA136" s="379"/>
      <c r="AB136" s="379"/>
      <c r="AC136" s="379"/>
      <c r="AD136" s="379"/>
      <c r="AE136" s="379"/>
      <c r="AF136" s="379"/>
      <c r="AG136" s="379"/>
      <c r="AH136" s="379"/>
    </row>
    <row r="137" spans="1:34" ht="27" customHeight="1" x14ac:dyDescent="0.5">
      <c r="A137" s="379"/>
      <c r="B137" s="379"/>
      <c r="C137" s="379"/>
      <c r="D137" s="379"/>
      <c r="E137" s="379"/>
      <c r="F137" s="379"/>
      <c r="G137" s="379"/>
      <c r="H137" s="379"/>
      <c r="I137" s="379"/>
      <c r="J137" s="379"/>
      <c r="K137" s="379"/>
      <c r="L137" s="379"/>
      <c r="M137" s="379"/>
      <c r="N137" s="379"/>
      <c r="O137" s="379"/>
      <c r="P137" s="379"/>
      <c r="Q137" s="379"/>
      <c r="R137" s="379"/>
      <c r="S137" s="379"/>
      <c r="T137" s="379"/>
      <c r="U137" s="379"/>
      <c r="V137" s="379"/>
      <c r="W137" s="379"/>
      <c r="X137" s="379"/>
      <c r="Y137" s="379"/>
      <c r="Z137" s="379"/>
      <c r="AA137" s="379"/>
      <c r="AB137" s="379"/>
      <c r="AC137" s="379"/>
      <c r="AD137" s="379"/>
      <c r="AE137" s="379"/>
      <c r="AF137" s="379"/>
      <c r="AG137" s="379"/>
      <c r="AH137" s="379"/>
    </row>
    <row r="138" spans="1:34" ht="27" customHeight="1" x14ac:dyDescent="0.5">
      <c r="A138" s="379"/>
      <c r="B138" s="379"/>
      <c r="C138" s="379"/>
      <c r="D138" s="379"/>
      <c r="E138" s="379"/>
      <c r="F138" s="379"/>
      <c r="G138" s="379"/>
      <c r="H138" s="379"/>
      <c r="I138" s="379"/>
      <c r="J138" s="379"/>
      <c r="K138" s="379"/>
      <c r="L138" s="379"/>
      <c r="M138" s="379"/>
      <c r="N138" s="379"/>
      <c r="O138" s="379"/>
      <c r="P138" s="379"/>
      <c r="Q138" s="379"/>
      <c r="R138" s="379"/>
      <c r="S138" s="379"/>
      <c r="T138" s="379"/>
      <c r="U138" s="379"/>
      <c r="V138" s="379"/>
      <c r="W138" s="379"/>
      <c r="X138" s="379"/>
      <c r="Y138" s="379"/>
      <c r="Z138" s="379"/>
      <c r="AA138" s="379"/>
      <c r="AB138" s="379"/>
      <c r="AC138" s="379"/>
      <c r="AD138" s="379"/>
      <c r="AE138" s="379"/>
      <c r="AF138" s="379"/>
      <c r="AG138" s="379"/>
      <c r="AH138" s="379"/>
    </row>
    <row r="139" spans="1:34" ht="27" customHeight="1" x14ac:dyDescent="0.5">
      <c r="A139" s="379"/>
      <c r="B139" s="379"/>
      <c r="C139" s="379"/>
      <c r="D139" s="379"/>
      <c r="E139" s="379"/>
      <c r="F139" s="379"/>
      <c r="G139" s="379"/>
      <c r="H139" s="379"/>
      <c r="I139" s="379"/>
      <c r="J139" s="379"/>
      <c r="K139" s="379"/>
      <c r="L139" s="379"/>
      <c r="M139" s="379"/>
      <c r="N139" s="379"/>
      <c r="O139" s="379"/>
      <c r="P139" s="379"/>
      <c r="Q139" s="379"/>
      <c r="R139" s="379"/>
      <c r="S139" s="379"/>
      <c r="T139" s="379"/>
      <c r="U139" s="379"/>
      <c r="V139" s="379"/>
      <c r="W139" s="379"/>
      <c r="X139" s="379"/>
      <c r="Y139" s="379"/>
      <c r="Z139" s="379"/>
      <c r="AA139" s="379"/>
      <c r="AB139" s="379"/>
      <c r="AC139" s="379"/>
      <c r="AD139" s="379"/>
      <c r="AE139" s="379"/>
      <c r="AF139" s="379"/>
      <c r="AG139" s="379"/>
      <c r="AH139" s="379"/>
    </row>
    <row r="140" spans="1:34" ht="27" customHeight="1" x14ac:dyDescent="0.5">
      <c r="A140" s="379"/>
      <c r="B140" s="379"/>
      <c r="C140" s="379"/>
      <c r="D140" s="379"/>
      <c r="E140" s="379"/>
      <c r="F140" s="379"/>
      <c r="G140" s="379"/>
      <c r="H140" s="379"/>
      <c r="I140" s="379"/>
      <c r="J140" s="379"/>
      <c r="K140" s="379"/>
      <c r="L140" s="379"/>
      <c r="M140" s="379"/>
      <c r="N140" s="379"/>
      <c r="O140" s="379"/>
      <c r="P140" s="379"/>
      <c r="Q140" s="379"/>
      <c r="R140" s="379"/>
      <c r="S140" s="379"/>
      <c r="T140" s="379"/>
      <c r="U140" s="379"/>
      <c r="V140" s="379"/>
      <c r="W140" s="379"/>
      <c r="X140" s="379"/>
      <c r="Y140" s="379"/>
      <c r="Z140" s="379"/>
      <c r="AA140" s="379"/>
      <c r="AB140" s="379"/>
      <c r="AC140" s="379"/>
      <c r="AD140" s="379"/>
      <c r="AE140" s="379"/>
      <c r="AF140" s="379"/>
      <c r="AG140" s="379"/>
      <c r="AH140" s="379"/>
    </row>
    <row r="141" spans="1:34" ht="27" customHeight="1" x14ac:dyDescent="0.5">
      <c r="A141" s="379"/>
      <c r="B141" s="379"/>
      <c r="C141" s="379"/>
      <c r="D141" s="379"/>
      <c r="E141" s="379"/>
      <c r="F141" s="379"/>
      <c r="G141" s="379"/>
      <c r="H141" s="379"/>
      <c r="I141" s="379"/>
      <c r="J141" s="379"/>
      <c r="K141" s="379"/>
      <c r="L141" s="379"/>
      <c r="M141" s="379"/>
      <c r="N141" s="379"/>
      <c r="O141" s="379"/>
      <c r="P141" s="379"/>
      <c r="Q141" s="379"/>
      <c r="R141" s="379"/>
      <c r="S141" s="379"/>
      <c r="T141" s="379"/>
      <c r="U141" s="379"/>
      <c r="V141" s="379"/>
      <c r="W141" s="379"/>
      <c r="X141" s="379"/>
      <c r="Y141" s="379"/>
      <c r="Z141" s="379"/>
      <c r="AA141" s="379"/>
      <c r="AB141" s="379"/>
      <c r="AC141" s="379"/>
      <c r="AD141" s="379"/>
      <c r="AE141" s="379"/>
      <c r="AF141" s="379"/>
      <c r="AG141" s="379"/>
      <c r="AH141" s="379"/>
    </row>
    <row r="142" spans="1:34" ht="27" customHeight="1" x14ac:dyDescent="0.5">
      <c r="A142" s="379"/>
      <c r="B142" s="379"/>
      <c r="C142" s="379"/>
      <c r="D142" s="379"/>
      <c r="E142" s="379"/>
      <c r="F142" s="379"/>
      <c r="G142" s="379"/>
      <c r="H142" s="379"/>
      <c r="I142" s="379"/>
      <c r="J142" s="379"/>
      <c r="K142" s="379"/>
      <c r="L142" s="379"/>
      <c r="M142" s="379"/>
      <c r="N142" s="379"/>
      <c r="O142" s="379"/>
      <c r="P142" s="379"/>
      <c r="Q142" s="379"/>
      <c r="R142" s="379"/>
      <c r="S142" s="379"/>
      <c r="T142" s="379"/>
      <c r="U142" s="379"/>
      <c r="V142" s="379"/>
      <c r="W142" s="379"/>
      <c r="X142" s="379"/>
      <c r="Y142" s="379"/>
      <c r="Z142" s="379"/>
      <c r="AA142" s="379"/>
      <c r="AB142" s="379"/>
      <c r="AC142" s="379"/>
      <c r="AD142" s="379"/>
      <c r="AE142" s="379"/>
      <c r="AF142" s="379"/>
      <c r="AG142" s="379"/>
      <c r="AH142" s="379"/>
    </row>
    <row r="143" spans="1:34" ht="27" customHeight="1" x14ac:dyDescent="0.5">
      <c r="A143" s="379"/>
      <c r="B143" s="379"/>
      <c r="C143" s="379"/>
      <c r="D143" s="379"/>
      <c r="E143" s="379"/>
      <c r="F143" s="379"/>
      <c r="G143" s="379"/>
      <c r="H143" s="379"/>
      <c r="I143" s="379"/>
      <c r="J143" s="379"/>
      <c r="K143" s="379"/>
      <c r="L143" s="379"/>
      <c r="M143" s="379"/>
      <c r="N143" s="379"/>
      <c r="O143" s="379"/>
      <c r="P143" s="379"/>
      <c r="Q143" s="379"/>
      <c r="R143" s="379"/>
      <c r="S143" s="379"/>
      <c r="T143" s="379"/>
      <c r="U143" s="379"/>
      <c r="V143" s="379"/>
      <c r="W143" s="379"/>
      <c r="X143" s="379"/>
      <c r="Y143" s="379"/>
      <c r="Z143" s="379"/>
      <c r="AA143" s="379"/>
      <c r="AB143" s="379"/>
      <c r="AC143" s="379"/>
      <c r="AD143" s="379"/>
      <c r="AE143" s="379"/>
      <c r="AF143" s="379"/>
      <c r="AG143" s="379"/>
      <c r="AH143" s="379"/>
    </row>
    <row r="144" spans="1:34" ht="27" customHeight="1" x14ac:dyDescent="0.5">
      <c r="A144" s="379"/>
      <c r="B144" s="379"/>
      <c r="C144" s="379"/>
      <c r="D144" s="379"/>
      <c r="E144" s="379"/>
      <c r="F144" s="379"/>
      <c r="G144" s="379"/>
      <c r="H144" s="379"/>
      <c r="I144" s="379"/>
      <c r="J144" s="379"/>
      <c r="K144" s="379"/>
      <c r="L144" s="379"/>
      <c r="M144" s="379"/>
      <c r="N144" s="379"/>
      <c r="O144" s="379"/>
      <c r="P144" s="379"/>
      <c r="Q144" s="379"/>
      <c r="R144" s="379"/>
      <c r="S144" s="379"/>
      <c r="T144" s="379"/>
      <c r="U144" s="379"/>
      <c r="V144" s="379"/>
      <c r="W144" s="379"/>
      <c r="X144" s="379"/>
      <c r="Y144" s="379"/>
      <c r="Z144" s="379"/>
      <c r="AA144" s="379"/>
      <c r="AB144" s="379"/>
      <c r="AC144" s="379"/>
      <c r="AD144" s="379"/>
      <c r="AE144" s="379"/>
      <c r="AF144" s="379"/>
      <c r="AG144" s="379"/>
      <c r="AH144" s="379"/>
    </row>
    <row r="145" spans="1:34" ht="27" customHeight="1" x14ac:dyDescent="0.5">
      <c r="A145" s="379"/>
      <c r="B145" s="379"/>
      <c r="C145" s="379"/>
      <c r="D145" s="379"/>
      <c r="E145" s="379"/>
      <c r="F145" s="379"/>
      <c r="G145" s="379"/>
      <c r="H145" s="379"/>
      <c r="I145" s="379"/>
      <c r="J145" s="379"/>
      <c r="K145" s="379"/>
      <c r="L145" s="379"/>
      <c r="M145" s="379"/>
      <c r="N145" s="379"/>
      <c r="O145" s="379"/>
      <c r="P145" s="379"/>
      <c r="Q145" s="379"/>
      <c r="R145" s="379"/>
      <c r="S145" s="379"/>
      <c r="T145" s="379"/>
      <c r="U145" s="379"/>
      <c r="V145" s="379"/>
      <c r="W145" s="379"/>
      <c r="X145" s="379"/>
      <c r="Y145" s="379"/>
      <c r="Z145" s="379"/>
      <c r="AA145" s="379"/>
      <c r="AB145" s="379"/>
      <c r="AC145" s="379"/>
      <c r="AD145" s="379"/>
      <c r="AE145" s="379"/>
      <c r="AF145" s="379"/>
      <c r="AG145" s="379"/>
      <c r="AH145" s="379"/>
    </row>
    <row r="146" spans="1:34" ht="27" customHeight="1" x14ac:dyDescent="0.5">
      <c r="A146" s="379"/>
      <c r="B146" s="379"/>
      <c r="C146" s="379"/>
      <c r="D146" s="379"/>
      <c r="E146" s="379"/>
      <c r="F146" s="379"/>
      <c r="G146" s="379"/>
      <c r="H146" s="379"/>
      <c r="I146" s="379"/>
      <c r="J146" s="379"/>
      <c r="K146" s="379"/>
      <c r="L146" s="379"/>
      <c r="M146" s="379"/>
      <c r="N146" s="379"/>
      <c r="O146" s="379"/>
      <c r="P146" s="379"/>
      <c r="Q146" s="379"/>
      <c r="R146" s="379"/>
      <c r="S146" s="379"/>
      <c r="T146" s="379"/>
      <c r="U146" s="379"/>
      <c r="V146" s="379"/>
      <c r="W146" s="379"/>
      <c r="X146" s="379"/>
      <c r="Y146" s="379"/>
      <c r="Z146" s="379"/>
      <c r="AA146" s="379"/>
      <c r="AB146" s="379"/>
      <c r="AC146" s="379"/>
      <c r="AD146" s="379"/>
      <c r="AE146" s="379"/>
      <c r="AF146" s="379"/>
      <c r="AG146" s="379"/>
      <c r="AH146" s="379"/>
    </row>
    <row r="147" spans="1:34" ht="27" customHeight="1" x14ac:dyDescent="0.5">
      <c r="C147" s="379"/>
      <c r="D147" s="379"/>
      <c r="E147" s="379"/>
      <c r="F147" s="379"/>
      <c r="G147" s="379"/>
    </row>
    <row r="148" spans="1:34" ht="27" customHeight="1" x14ac:dyDescent="0.5">
      <c r="C148" s="379"/>
      <c r="D148" s="379"/>
      <c r="E148" s="379"/>
      <c r="F148" s="379"/>
      <c r="G148" s="379"/>
    </row>
  </sheetData>
  <sheetProtection algorithmName="SHA-512" hashValue="7mo34Px59Ec3Q5yGWNkozU56M35ie/kr2js36EQuQX4Qcj/eZmJ4MB6EXe+5NU0ki3q8tlBEnLoB3PjZLeXViA==" saltValue="WJ/IiV28iEyXXl3eWjNQpw==" spinCount="100000" sheet="1" objects="1" scenarios="1"/>
  <mergeCells count="5">
    <mergeCell ref="K27:N27"/>
    <mergeCell ref="C3:D4"/>
    <mergeCell ref="C5:G5"/>
    <mergeCell ref="J7:N11"/>
    <mergeCell ref="J6:N6"/>
  </mergeCells>
  <dataValidations count="1">
    <dataValidation allowBlank="1" showErrorMessage="1" sqref="D31:F31" xr:uid="{E5329E75-B241-484C-ABEB-3A74B84234D5}"/>
  </dataValidations>
  <pageMargins left="0.70866141732283472" right="0.31496062992125984" top="0.51181102362204722" bottom="0.35433070866141736" header="0.31496062992125984" footer="0.31496062992125984"/>
  <pageSetup paperSize="8" scale="60" fitToHeight="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2DAE76"/>
    <pageSetUpPr fitToPage="1"/>
  </sheetPr>
  <dimension ref="B1:AR45"/>
  <sheetViews>
    <sheetView showGridLines="0" showRowColHeaders="0" zoomScale="115" zoomScaleNormal="115" workbookViewId="0">
      <selection activeCell="N2" sqref="N2"/>
    </sheetView>
  </sheetViews>
  <sheetFormatPr defaultColWidth="9.1796875" defaultRowHeight="16" x14ac:dyDescent="0.5"/>
  <cols>
    <col min="1" max="1" width="3.81640625" style="3" customWidth="1"/>
    <col min="2" max="16384" width="9.1796875" style="3"/>
  </cols>
  <sheetData>
    <row r="1" spans="2:12" ht="16.5" thickBot="1" x14ac:dyDescent="0.55000000000000004"/>
    <row r="2" spans="2:12" ht="54.75" customHeight="1" thickBot="1" x14ac:dyDescent="0.55000000000000004">
      <c r="B2" s="315" t="s">
        <v>431</v>
      </c>
      <c r="C2" s="310"/>
      <c r="D2" s="310"/>
      <c r="E2" s="310"/>
      <c r="F2" s="310"/>
      <c r="G2" s="310"/>
      <c r="H2" s="310"/>
      <c r="I2" s="310"/>
      <c r="J2" s="310"/>
      <c r="K2" s="310"/>
      <c r="L2" s="311"/>
    </row>
    <row r="3" spans="2:12" ht="71.25" customHeight="1" x14ac:dyDescent="0.5">
      <c r="B3" s="759" t="s">
        <v>432</v>
      </c>
      <c r="C3" s="760"/>
      <c r="D3" s="751" t="s">
        <v>433</v>
      </c>
      <c r="E3" s="751"/>
      <c r="F3" s="751"/>
      <c r="G3" s="751"/>
      <c r="H3" s="751"/>
      <c r="I3" s="751"/>
      <c r="J3" s="751"/>
      <c r="K3" s="751"/>
      <c r="L3" s="752"/>
    </row>
    <row r="4" spans="2:12" ht="71.25" customHeight="1" x14ac:dyDescent="0.5">
      <c r="B4" s="761" t="s">
        <v>434</v>
      </c>
      <c r="C4" s="762"/>
      <c r="D4" s="763" t="s">
        <v>435</v>
      </c>
      <c r="E4" s="763"/>
      <c r="F4" s="763"/>
      <c r="G4" s="763"/>
      <c r="H4" s="763"/>
      <c r="I4" s="763"/>
      <c r="J4" s="763"/>
      <c r="K4" s="763"/>
      <c r="L4" s="764"/>
    </row>
    <row r="5" spans="2:12" ht="71.25" customHeight="1" x14ac:dyDescent="0.5">
      <c r="B5" s="761" t="s">
        <v>436</v>
      </c>
      <c r="C5" s="762"/>
      <c r="D5" s="763" t="s">
        <v>437</v>
      </c>
      <c r="E5" s="763"/>
      <c r="F5" s="763"/>
      <c r="G5" s="763"/>
      <c r="H5" s="763"/>
      <c r="I5" s="763"/>
      <c r="J5" s="763"/>
      <c r="K5" s="763"/>
      <c r="L5" s="764"/>
    </row>
    <row r="6" spans="2:12" ht="71.25" customHeight="1" x14ac:dyDescent="0.5">
      <c r="B6" s="761" t="s">
        <v>438</v>
      </c>
      <c r="C6" s="762"/>
      <c r="D6" s="763" t="s">
        <v>439</v>
      </c>
      <c r="E6" s="763"/>
      <c r="F6" s="763"/>
      <c r="G6" s="763"/>
      <c r="H6" s="763"/>
      <c r="I6" s="763"/>
      <c r="J6" s="763"/>
      <c r="K6" s="763"/>
      <c r="L6" s="764"/>
    </row>
    <row r="7" spans="2:12" ht="71.25" customHeight="1" thickBot="1" x14ac:dyDescent="0.55000000000000004">
      <c r="B7" s="765" t="s">
        <v>440</v>
      </c>
      <c r="C7" s="766"/>
      <c r="D7" s="754" t="s">
        <v>441</v>
      </c>
      <c r="E7" s="754"/>
      <c r="F7" s="754"/>
      <c r="G7" s="754"/>
      <c r="H7" s="754"/>
      <c r="I7" s="754"/>
      <c r="J7" s="754"/>
      <c r="K7" s="754"/>
      <c r="L7" s="755"/>
    </row>
    <row r="8" spans="2:12" s="4" customFormat="1" ht="13.5" customHeight="1" thickBot="1" x14ac:dyDescent="0.3">
      <c r="B8" s="248"/>
      <c r="C8" s="249"/>
      <c r="D8" s="249"/>
      <c r="E8" s="249"/>
      <c r="F8" s="249"/>
      <c r="G8" s="249"/>
      <c r="H8" s="249"/>
      <c r="I8" s="249"/>
      <c r="J8" s="249"/>
      <c r="K8" s="249"/>
      <c r="L8" s="250"/>
    </row>
    <row r="10" spans="2:12" s="4" customFormat="1" ht="13.5" customHeight="1" x14ac:dyDescent="0.25"/>
    <row r="11" spans="2:12" s="4" customFormat="1" ht="19.5" customHeight="1" x14ac:dyDescent="0.25">
      <c r="B11" s="247"/>
    </row>
    <row r="42" spans="18:44" x14ac:dyDescent="0.5">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row>
    <row r="44" spans="18:44" x14ac:dyDescent="0.5">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row>
    <row r="45" spans="18:44" x14ac:dyDescent="0.5">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row>
  </sheetData>
  <sheetProtection algorithmName="SHA-512" hashValue="LI2mBXFJvbFpN8FsjKzDKMHm2GxEf2aVJv++XCLURMuTSat/Xvoqbe+j5C7Fp2Vfj8QhSqzcfxx8zmH24Lm5bA==" saltValue="+UpEce0P25DBtS/T/6uojQ==" spinCount="100000" sheet="1" selectLockedCells="1" selectUnlockedCells="1"/>
  <mergeCells count="10">
    <mergeCell ref="D3:L3"/>
    <mergeCell ref="B3:C3"/>
    <mergeCell ref="B6:C6"/>
    <mergeCell ref="D6:L6"/>
    <mergeCell ref="B7:C7"/>
    <mergeCell ref="D7:L7"/>
    <mergeCell ref="B5:C5"/>
    <mergeCell ref="D5:L5"/>
    <mergeCell ref="B4:C4"/>
    <mergeCell ref="D4:L4"/>
  </mergeCells>
  <pageMargins left="0.70866141732283472" right="0.70866141732283472" top="0.74803149606299213" bottom="0.74803149606299213" header="0.31496062992125984" footer="0.31496062992125984"/>
  <pageSetup paperSize="9" scale="78"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2DAE76"/>
    <pageSetUpPr fitToPage="1"/>
  </sheetPr>
  <dimension ref="A1:BD366"/>
  <sheetViews>
    <sheetView showGridLines="0" zoomScaleNormal="100" workbookViewId="0">
      <selection activeCell="I5" sqref="I5"/>
    </sheetView>
  </sheetViews>
  <sheetFormatPr defaultColWidth="8.81640625" defaultRowHeight="12.5" x14ac:dyDescent="0.25"/>
  <cols>
    <col min="1" max="1" width="8.81640625" customWidth="1"/>
    <col min="2" max="3" width="12.54296875" customWidth="1"/>
    <col min="4" max="4" width="76.54296875" customWidth="1"/>
    <col min="5" max="5" width="10.453125" customWidth="1"/>
  </cols>
  <sheetData>
    <row r="1" spans="1:56" ht="13" thickBot="1" x14ac:dyDescent="0.3">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row>
    <row r="2" spans="1:56" ht="15" x14ac:dyDescent="0.3">
      <c r="A2" s="2"/>
      <c r="B2" s="221" t="s">
        <v>387</v>
      </c>
      <c r="C2" s="222" t="s">
        <v>442</v>
      </c>
      <c r="D2" s="223" t="s">
        <v>443</v>
      </c>
      <c r="E2" s="224" t="s">
        <v>444</v>
      </c>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row>
    <row r="3" spans="1:56" ht="26.15" customHeight="1" x14ac:dyDescent="0.25">
      <c r="A3" s="2"/>
      <c r="B3" s="561" t="s">
        <v>445</v>
      </c>
      <c r="C3" s="562">
        <v>38.200000000000003</v>
      </c>
      <c r="D3" s="560" t="s">
        <v>589</v>
      </c>
      <c r="E3" s="563" t="s">
        <v>446</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row>
    <row r="4" spans="1:56" ht="55.5" customHeight="1" x14ac:dyDescent="0.25">
      <c r="A4" s="2"/>
      <c r="B4" s="561" t="s">
        <v>447</v>
      </c>
      <c r="C4" s="562">
        <v>38.1</v>
      </c>
      <c r="D4" s="560" t="s">
        <v>448</v>
      </c>
      <c r="E4" s="563" t="s">
        <v>446</v>
      </c>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row>
    <row r="5" spans="1:56" ht="54" x14ac:dyDescent="0.25">
      <c r="A5" s="2"/>
      <c r="B5" s="561" t="s">
        <v>449</v>
      </c>
      <c r="C5" s="562">
        <v>38</v>
      </c>
      <c r="D5" s="560" t="s">
        <v>450</v>
      </c>
      <c r="E5" s="563" t="s">
        <v>446</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row>
    <row r="6" spans="1:56" ht="13.5" x14ac:dyDescent="0.25">
      <c r="A6" s="2"/>
      <c r="B6" s="561" t="s">
        <v>451</v>
      </c>
      <c r="C6" s="562">
        <v>37.4</v>
      </c>
      <c r="D6" s="560" t="s">
        <v>452</v>
      </c>
      <c r="E6" s="563" t="s">
        <v>446</v>
      </c>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row>
    <row r="7" spans="1:56" ht="13.5" x14ac:dyDescent="0.25">
      <c r="A7" s="2"/>
      <c r="B7" s="561" t="s">
        <v>453</v>
      </c>
      <c r="C7" s="562">
        <v>37.200000000000003</v>
      </c>
      <c r="D7" s="560" t="s">
        <v>454</v>
      </c>
      <c r="E7" s="563" t="s">
        <v>455</v>
      </c>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row>
    <row r="8" spans="1:56" ht="81" x14ac:dyDescent="0.25">
      <c r="A8" s="2"/>
      <c r="B8" s="225">
        <v>45170</v>
      </c>
      <c r="C8" s="226">
        <v>37</v>
      </c>
      <c r="D8" s="227" t="s">
        <v>456</v>
      </c>
      <c r="E8" s="228" t="s">
        <v>455</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row>
    <row r="9" spans="1:56" ht="27" x14ac:dyDescent="0.25">
      <c r="A9" s="2"/>
      <c r="B9" s="225">
        <v>44470</v>
      </c>
      <c r="C9" s="226">
        <v>36.1</v>
      </c>
      <c r="D9" s="227" t="s">
        <v>457</v>
      </c>
      <c r="E9" s="228" t="s">
        <v>458</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row>
    <row r="10" spans="1:56" ht="27" x14ac:dyDescent="0.25">
      <c r="A10" s="2"/>
      <c r="B10" s="225">
        <v>44378</v>
      </c>
      <c r="C10" s="226">
        <v>36</v>
      </c>
      <c r="D10" s="227" t="s">
        <v>459</v>
      </c>
      <c r="E10" s="228" t="s">
        <v>460</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row>
    <row r="11" spans="1:56" ht="81" x14ac:dyDescent="0.25">
      <c r="A11" s="2"/>
      <c r="B11" s="225">
        <v>44044</v>
      </c>
      <c r="C11" s="226">
        <v>35.1</v>
      </c>
      <c r="D11" s="227" t="s">
        <v>461</v>
      </c>
      <c r="E11" s="228" t="s">
        <v>460</v>
      </c>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row>
    <row r="12" spans="1:56" ht="270" x14ac:dyDescent="0.25">
      <c r="A12" s="2"/>
      <c r="B12" s="225">
        <v>44013</v>
      </c>
      <c r="C12" s="226">
        <v>35</v>
      </c>
      <c r="D12" s="227" t="s">
        <v>462</v>
      </c>
      <c r="E12" s="228" t="s">
        <v>460</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row>
    <row r="13" spans="1:56" ht="13.5" x14ac:dyDescent="0.25">
      <c r="A13" s="2"/>
      <c r="B13" s="225">
        <v>43952</v>
      </c>
      <c r="C13" s="226">
        <v>34.1</v>
      </c>
      <c r="D13" s="227" t="s">
        <v>463</v>
      </c>
      <c r="E13" s="228" t="s">
        <v>464</v>
      </c>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row>
    <row r="14" spans="1:56" ht="67.5" x14ac:dyDescent="0.25">
      <c r="A14" s="2"/>
      <c r="B14" s="225">
        <v>43556</v>
      </c>
      <c r="C14" s="226">
        <v>34</v>
      </c>
      <c r="D14" s="227" t="s">
        <v>465</v>
      </c>
      <c r="E14" s="228" t="s">
        <v>466</v>
      </c>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row>
    <row r="15" spans="1:56" ht="13.5" x14ac:dyDescent="0.25">
      <c r="A15" s="2"/>
      <c r="B15" s="225">
        <v>43479</v>
      </c>
      <c r="C15" s="226">
        <v>33.1</v>
      </c>
      <c r="D15" s="227" t="s">
        <v>467</v>
      </c>
      <c r="E15" s="228" t="s">
        <v>468</v>
      </c>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row>
    <row r="16" spans="1:56" ht="162" x14ac:dyDescent="0.25">
      <c r="A16" s="2"/>
      <c r="B16" s="225">
        <v>43221</v>
      </c>
      <c r="C16" s="226">
        <v>33</v>
      </c>
      <c r="D16" s="227" t="s">
        <v>469</v>
      </c>
      <c r="E16" s="228" t="s">
        <v>470</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row>
    <row r="17" spans="1:41" ht="40.5" x14ac:dyDescent="0.25">
      <c r="A17" s="2"/>
      <c r="B17" s="225">
        <v>43009</v>
      </c>
      <c r="C17" s="226">
        <v>32.1</v>
      </c>
      <c r="D17" s="227" t="s">
        <v>471</v>
      </c>
      <c r="E17" s="228" t="s">
        <v>472</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row>
    <row r="18" spans="1:41" ht="40.5" x14ac:dyDescent="0.25">
      <c r="A18" s="2"/>
      <c r="B18" s="225">
        <v>42948</v>
      </c>
      <c r="C18" s="226">
        <v>32</v>
      </c>
      <c r="D18" s="227" t="s">
        <v>473</v>
      </c>
      <c r="E18" s="228" t="s">
        <v>474</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row>
    <row r="19" spans="1:41" ht="13.5" x14ac:dyDescent="0.25">
      <c r="A19" s="2"/>
      <c r="B19" s="229">
        <v>42826</v>
      </c>
      <c r="C19" s="230">
        <v>31.2</v>
      </c>
      <c r="D19" s="231" t="s">
        <v>475</v>
      </c>
      <c r="E19" s="232" t="s">
        <v>474</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row>
    <row r="20" spans="1:41" ht="40.5" x14ac:dyDescent="0.25">
      <c r="A20" s="2"/>
      <c r="B20" s="229">
        <v>42705</v>
      </c>
      <c r="C20" s="230">
        <v>31.1</v>
      </c>
      <c r="D20" s="231" t="s">
        <v>476</v>
      </c>
      <c r="E20" s="232" t="s">
        <v>474</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row>
    <row r="21" spans="1:41" ht="216" x14ac:dyDescent="0.25">
      <c r="A21" s="2"/>
      <c r="B21" s="229">
        <v>42552</v>
      </c>
      <c r="C21" s="230">
        <v>31</v>
      </c>
      <c r="D21" s="231" t="s">
        <v>477</v>
      </c>
      <c r="E21" s="232" t="s">
        <v>478</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row>
    <row r="22" spans="1:41" ht="67.5" x14ac:dyDescent="0.25">
      <c r="A22" s="2"/>
      <c r="B22" s="229">
        <v>42156</v>
      </c>
      <c r="C22" s="230">
        <v>30</v>
      </c>
      <c r="D22" s="231" t="s">
        <v>479</v>
      </c>
      <c r="E22" s="232" t="s">
        <v>385</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row>
    <row r="23" spans="1:41" ht="42.5" x14ac:dyDescent="0.3">
      <c r="A23" s="2"/>
      <c r="B23" s="229">
        <v>41791</v>
      </c>
      <c r="C23" s="230">
        <v>29</v>
      </c>
      <c r="D23" s="233" t="s">
        <v>480</v>
      </c>
      <c r="E23" s="232" t="s">
        <v>385</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row>
    <row r="24" spans="1:41" ht="27" x14ac:dyDescent="0.25">
      <c r="A24" s="2"/>
      <c r="B24" s="234">
        <v>41671</v>
      </c>
      <c r="C24" s="226">
        <v>28.2</v>
      </c>
      <c r="D24" s="227" t="s">
        <v>481</v>
      </c>
      <c r="E24" s="228" t="s">
        <v>482</v>
      </c>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row>
    <row r="25" spans="1:41" ht="27" x14ac:dyDescent="0.25">
      <c r="A25" s="2"/>
      <c r="B25" s="234">
        <v>41609</v>
      </c>
      <c r="C25" s="226">
        <v>28.1</v>
      </c>
      <c r="D25" s="227" t="s">
        <v>483</v>
      </c>
      <c r="E25" s="228" t="s">
        <v>482</v>
      </c>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row>
    <row r="26" spans="1:41" ht="56" x14ac:dyDescent="0.25">
      <c r="A26" s="2"/>
      <c r="B26" s="234">
        <v>41456</v>
      </c>
      <c r="C26" s="226">
        <v>28</v>
      </c>
      <c r="D26" s="227" t="s">
        <v>484</v>
      </c>
      <c r="E26" s="228" t="s">
        <v>482</v>
      </c>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row>
    <row r="27" spans="1:41" ht="27" x14ac:dyDescent="0.25">
      <c r="A27" s="2"/>
      <c r="B27" s="234">
        <v>41333</v>
      </c>
      <c r="C27" s="226">
        <v>27.5</v>
      </c>
      <c r="D27" s="227" t="s">
        <v>485</v>
      </c>
      <c r="E27" s="228" t="s">
        <v>482</v>
      </c>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row>
    <row r="28" spans="1:41" ht="27" x14ac:dyDescent="0.25">
      <c r="A28" s="2"/>
      <c r="B28" s="234">
        <v>41275</v>
      </c>
      <c r="C28" s="226">
        <v>27.1</v>
      </c>
      <c r="D28" s="235" t="s">
        <v>486</v>
      </c>
      <c r="E28" s="228" t="s">
        <v>385</v>
      </c>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row>
    <row r="29" spans="1:41" ht="27" x14ac:dyDescent="0.25">
      <c r="A29" s="2"/>
      <c r="B29" s="234">
        <v>41214</v>
      </c>
      <c r="C29" s="226">
        <v>27</v>
      </c>
      <c r="D29" s="235" t="s">
        <v>487</v>
      </c>
      <c r="E29" s="232" t="s">
        <v>482</v>
      </c>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row>
    <row r="30" spans="1:41" ht="67.5" x14ac:dyDescent="0.25">
      <c r="A30" s="2"/>
      <c r="B30" s="234">
        <v>41091</v>
      </c>
      <c r="C30" s="236">
        <v>26.2</v>
      </c>
      <c r="D30" s="237" t="s">
        <v>488</v>
      </c>
      <c r="E30" s="238" t="s">
        <v>489</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row>
    <row r="31" spans="1:41" ht="13.5" x14ac:dyDescent="0.25">
      <c r="A31" s="2"/>
      <c r="B31" s="239">
        <v>40920</v>
      </c>
      <c r="C31" s="240" t="s">
        <v>490</v>
      </c>
      <c r="D31" s="241" t="s">
        <v>491</v>
      </c>
      <c r="E31" s="242" t="s">
        <v>489</v>
      </c>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row>
    <row r="32" spans="1:41" ht="135.5" thickBot="1" x14ac:dyDescent="0.3">
      <c r="A32" s="2"/>
      <c r="B32" s="243">
        <v>40848</v>
      </c>
      <c r="C32" s="244" t="s">
        <v>492</v>
      </c>
      <c r="D32" s="245" t="s">
        <v>493</v>
      </c>
      <c r="E32" s="246" t="s">
        <v>489</v>
      </c>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row>
    <row r="33" spans="1:4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row>
    <row r="34" spans="1:4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row>
    <row r="35" spans="1:4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row>
    <row r="36" spans="1:4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row>
    <row r="37" spans="1:4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row>
    <row r="38" spans="1:4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row>
    <row r="39" spans="1:4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row>
    <row r="40" spans="1:4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row>
    <row r="41" spans="1:4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row>
    <row r="42" spans="1:4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row>
    <row r="43" spans="1:4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row>
    <row r="44" spans="1:4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row>
    <row r="45" spans="1:4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row>
    <row r="46" spans="1:4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row>
    <row r="47" spans="1:4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row>
    <row r="48" spans="1:4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row>
    <row r="49" spans="1:4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row>
    <row r="50" spans="1:4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row>
    <row r="51" spans="1:4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row>
    <row r="52" spans="1:4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row>
    <row r="53" spans="1:4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row>
    <row r="54" spans="1:4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row>
    <row r="55" spans="1:4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row>
    <row r="56" spans="1:4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row>
    <row r="57" spans="1:4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row>
    <row r="58" spans="1:4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row>
    <row r="59" spans="1:4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row>
    <row r="60" spans="1:4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row>
    <row r="61" spans="1:4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row>
    <row r="62" spans="1:4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row>
    <row r="63" spans="1:4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row>
    <row r="64" spans="1:4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row>
    <row r="65" spans="1:4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row>
    <row r="66" spans="1:4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row>
    <row r="67" spans="1:4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row>
    <row r="68" spans="1:4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row>
    <row r="69" spans="1:4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row>
    <row r="70" spans="1:4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row>
    <row r="71" spans="1:4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row>
    <row r="72" spans="1:4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row>
    <row r="73" spans="1:4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row>
    <row r="74" spans="1:4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row>
    <row r="75" spans="1:4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row>
    <row r="76" spans="1:4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row>
    <row r="77" spans="1:4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row>
    <row r="78" spans="1:4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row>
    <row r="79" spans="1:4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row>
    <row r="80" spans="1:4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row>
    <row r="81" spans="1:4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row>
    <row r="82" spans="1:4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row>
    <row r="83" spans="1:4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row>
    <row r="84" spans="1:4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row>
    <row r="85" spans="1:4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row>
    <row r="86" spans="1:4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row>
    <row r="87" spans="1:4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row>
    <row r="88" spans="1:4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row>
    <row r="89" spans="1:4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row>
    <row r="90" spans="1:4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row>
    <row r="91" spans="1:4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row>
    <row r="92" spans="1:4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row>
    <row r="93" spans="1:4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row>
    <row r="94" spans="1:4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row>
    <row r="95" spans="1:4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row>
    <row r="96" spans="1:4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row>
    <row r="97" spans="1:4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row>
    <row r="98" spans="1:4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row>
    <row r="99" spans="1:4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row>
    <row r="100" spans="1:4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row>
    <row r="101" spans="1:4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row>
    <row r="102" spans="1:4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row>
    <row r="103" spans="1:4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row>
    <row r="104" spans="1:4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row>
    <row r="105" spans="1:4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row>
    <row r="106" spans="1:4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row>
    <row r="107" spans="1:4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row>
    <row r="108" spans="1:4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row>
    <row r="109" spans="1:4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row>
    <row r="110" spans="1:4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row>
    <row r="111" spans="1:4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row>
    <row r="112" spans="1:4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row>
    <row r="113" spans="1:4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row>
    <row r="114" spans="1:4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row>
    <row r="115" spans="1:4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row>
    <row r="116" spans="1:4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row>
    <row r="117" spans="1:4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row>
    <row r="118" spans="1:4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row>
    <row r="119" spans="1:4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row>
    <row r="120" spans="1:4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row>
    <row r="121" spans="1:4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row>
    <row r="122" spans="1:4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row>
    <row r="123" spans="1:4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row>
    <row r="124" spans="1:4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row>
    <row r="125" spans="1:4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row>
    <row r="126" spans="1:4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row>
    <row r="127" spans="1:4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row>
    <row r="128" spans="1:4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row>
    <row r="129" spans="1:4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row>
    <row r="130" spans="1:4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row>
    <row r="131" spans="1:4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row>
    <row r="132" spans="1:4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row>
    <row r="133" spans="1:4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row>
    <row r="134" spans="1:4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row>
    <row r="135" spans="1:4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row>
    <row r="136" spans="1:4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row>
    <row r="137" spans="1:4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row>
    <row r="138" spans="1:4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row>
    <row r="139" spans="1:4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row>
    <row r="140" spans="1:4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row>
    <row r="141" spans="1:4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row>
    <row r="142" spans="1:4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row>
    <row r="143" spans="1:4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row>
    <row r="144" spans="1:4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row>
    <row r="145" spans="1:4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row>
    <row r="146" spans="1:4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row>
    <row r="147" spans="1:4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row>
    <row r="148" spans="1:4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row>
    <row r="149" spans="1:4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row>
    <row r="150" spans="1:4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row>
    <row r="151" spans="1:4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row>
    <row r="152" spans="1:4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row>
    <row r="153" spans="1:4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row>
    <row r="154" spans="1:4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row>
    <row r="155" spans="1:4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row>
    <row r="156" spans="1:4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row>
    <row r="157" spans="1:4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row>
    <row r="158" spans="1:4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row>
    <row r="159" spans="1:4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row>
    <row r="160" spans="1:4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row>
    <row r="161" spans="1:4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row>
    <row r="162" spans="1:4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row>
    <row r="163" spans="1:4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row>
    <row r="164" spans="1:4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row>
    <row r="165" spans="1:4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row>
    <row r="166" spans="1:4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row>
    <row r="167" spans="1:4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row>
    <row r="168" spans="1:4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row>
    <row r="169" spans="1:4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row>
    <row r="170" spans="1:4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row>
    <row r="171" spans="1:4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row>
    <row r="172" spans="1:4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row>
    <row r="173" spans="1:4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row>
    <row r="174" spans="1:4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row>
    <row r="175" spans="1:4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row>
    <row r="176" spans="1:4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row>
    <row r="177" spans="1:4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row>
    <row r="178" spans="1:4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row>
    <row r="179" spans="1:4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row>
    <row r="180" spans="1:4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row>
    <row r="181" spans="1:4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row>
    <row r="182" spans="1:4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row>
    <row r="183" spans="1:4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row>
    <row r="184" spans="1:4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row>
    <row r="185" spans="1:4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row>
    <row r="186" spans="1:4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row>
    <row r="187" spans="1:4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row>
    <row r="188" spans="1:4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row>
    <row r="189" spans="1:4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row>
    <row r="190" spans="1:4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row>
    <row r="191" spans="1:4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row>
    <row r="192" spans="1:4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row>
    <row r="193" spans="1:4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row>
    <row r="194" spans="1:4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row>
    <row r="195" spans="1:4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row>
    <row r="196" spans="1:4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row>
    <row r="197" spans="1:4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row>
    <row r="198" spans="1:4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row>
    <row r="199" spans="1:4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row>
    <row r="200" spans="1:4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row>
    <row r="201" spans="1:4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row>
    <row r="202" spans="1:4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row>
    <row r="203" spans="1:4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row>
    <row r="204" spans="1:4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row>
    <row r="205" spans="1:4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row>
    <row r="206" spans="1:4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row>
    <row r="207" spans="1:4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row>
    <row r="208" spans="1:4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row>
    <row r="209" spans="1:4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row>
    <row r="210" spans="1:4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row>
    <row r="211" spans="1:4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row>
    <row r="212" spans="1:4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row>
    <row r="213" spans="1:4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row>
    <row r="214" spans="1:4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row>
    <row r="215" spans="1:4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row>
    <row r="216" spans="1:4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row>
    <row r="217" spans="1:4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row>
    <row r="218" spans="1:4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row>
    <row r="219" spans="1:4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row>
    <row r="220" spans="1:4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row>
    <row r="221" spans="1:4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row>
    <row r="222" spans="1:4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row>
    <row r="223" spans="1:4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row>
    <row r="224" spans="1:4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row>
    <row r="225" spans="1:4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row>
    <row r="226" spans="1:4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row>
    <row r="227" spans="1:4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row>
    <row r="228" spans="1:4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row>
    <row r="229" spans="1:4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row>
    <row r="230" spans="1:4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row>
    <row r="231" spans="1:4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row>
    <row r="232" spans="1:4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row>
    <row r="233" spans="1:4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row>
    <row r="234" spans="1:4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row>
    <row r="235" spans="1:4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row>
    <row r="236" spans="1:4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row>
    <row r="237" spans="1:4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row>
    <row r="238" spans="1:4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row>
    <row r="239" spans="1:4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row>
    <row r="240" spans="1:4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row>
    <row r="241" spans="1:4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row>
    <row r="242" spans="1:4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row>
    <row r="243" spans="1:4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row>
    <row r="244" spans="1:4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row>
    <row r="245" spans="1:4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row>
    <row r="246" spans="1:4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row>
    <row r="247" spans="1:4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row>
    <row r="248" spans="1:4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row>
    <row r="249" spans="1:4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row>
    <row r="250" spans="1:4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row>
    <row r="251" spans="1:4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row>
    <row r="252" spans="1:4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row>
    <row r="253" spans="1:4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row>
    <row r="254" spans="1:4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row>
    <row r="255" spans="1:4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row>
    <row r="256" spans="1:4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row>
    <row r="257" spans="1:4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row>
    <row r="258" spans="1:4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row>
    <row r="259" spans="1:4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row>
    <row r="260" spans="1:4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row>
    <row r="261" spans="1:4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row>
    <row r="262" spans="1:4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row>
    <row r="263" spans="1:4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row>
    <row r="264" spans="1:4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row>
    <row r="265" spans="1:4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row>
    <row r="266" spans="1:4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row>
    <row r="267" spans="1:4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row>
    <row r="268" spans="1:4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row>
    <row r="269" spans="1:4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row>
    <row r="270" spans="1:4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row>
    <row r="271" spans="1:4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row>
    <row r="272" spans="1:4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row>
    <row r="273" spans="1:4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row>
    <row r="274" spans="1:4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row>
    <row r="275" spans="1:4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row>
    <row r="276" spans="1:4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row>
    <row r="277" spans="1:4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row>
    <row r="278" spans="1:4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row>
    <row r="279" spans="1:4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row>
    <row r="280" spans="1:4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row>
    <row r="281" spans="1:4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row>
    <row r="282" spans="1:4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row>
    <row r="283" spans="1:4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row>
    <row r="284" spans="1:4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row>
    <row r="285" spans="1:4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row>
    <row r="286" spans="1:4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row>
    <row r="287" spans="1:4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row>
    <row r="288" spans="1:4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row>
    <row r="289" spans="1:4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row>
    <row r="290" spans="1:4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row>
    <row r="291" spans="1:4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row>
    <row r="292" spans="1:4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row>
    <row r="293" spans="1:4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row>
    <row r="294" spans="1:4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row>
    <row r="295" spans="1:4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row>
    <row r="296" spans="1:4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row>
    <row r="297" spans="1:4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row>
    <row r="298" spans="1:4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row>
    <row r="299" spans="1:4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row>
    <row r="300" spans="1:4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row>
    <row r="301" spans="1:4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row>
    <row r="302" spans="1:4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row>
    <row r="303" spans="1:4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row>
    <row r="304" spans="1:4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row>
    <row r="305" spans="1:4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row>
    <row r="306" spans="1:4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row>
    <row r="307" spans="1:4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row>
    <row r="308" spans="1:4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row>
    <row r="309" spans="1:4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row>
    <row r="310" spans="1:4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row>
    <row r="311" spans="1:4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row>
    <row r="312" spans="1:4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row>
    <row r="313" spans="1:4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row>
    <row r="314" spans="1:4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row>
    <row r="315" spans="1:4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row>
    <row r="316" spans="1:4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row>
    <row r="317" spans="1:4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row>
    <row r="318" spans="1:4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row>
    <row r="319" spans="1:4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row>
    <row r="320" spans="1:4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row>
    <row r="321" spans="1:4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row>
    <row r="322" spans="1:4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row>
    <row r="323" spans="1:4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row>
    <row r="324" spans="1:4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row>
    <row r="325" spans="1:4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row>
    <row r="326" spans="1:4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row>
    <row r="327" spans="1:4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row>
    <row r="328" spans="1:4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row>
    <row r="329" spans="1:4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row>
    <row r="330" spans="1:4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row>
    <row r="331" spans="1:4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row>
    <row r="332" spans="1:4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row>
    <row r="333" spans="1:4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row>
    <row r="334" spans="1:4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row>
    <row r="335" spans="1:4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row>
    <row r="336" spans="1:4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row>
    <row r="337" spans="1:4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row>
    <row r="338" spans="1:4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row>
    <row r="339" spans="1:4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row>
    <row r="340" spans="1:4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row>
    <row r="341" spans="1:4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row>
    <row r="342" spans="1:4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row>
    <row r="343" spans="1:4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row>
    <row r="344" spans="1:4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row>
    <row r="345" spans="1:4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row>
    <row r="346" spans="1:4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row>
    <row r="347" spans="1:4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row>
    <row r="348" spans="1:4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row>
    <row r="349" spans="1:4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row>
    <row r="350" spans="1:4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row>
    <row r="351" spans="1:4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row>
    <row r="352" spans="1:41" x14ac:dyDescent="0.25">
      <c r="B352" s="2"/>
      <c r="C352" s="2"/>
      <c r="D352" s="2"/>
      <c r="E352" s="2"/>
    </row>
    <row r="353" spans="2:5" x14ac:dyDescent="0.25">
      <c r="B353" s="2"/>
      <c r="C353" s="2"/>
      <c r="D353" s="2"/>
      <c r="E353" s="2"/>
    </row>
    <row r="354" spans="2:5" x14ac:dyDescent="0.25">
      <c r="B354" s="2"/>
      <c r="C354" s="2"/>
      <c r="D354" s="2"/>
      <c r="E354" s="2"/>
    </row>
    <row r="355" spans="2:5" x14ac:dyDescent="0.25">
      <c r="B355" s="2"/>
      <c r="C355" s="2"/>
      <c r="D355" s="2"/>
      <c r="E355" s="2"/>
    </row>
    <row r="356" spans="2:5" x14ac:dyDescent="0.25">
      <c r="B356" s="2"/>
      <c r="C356" s="2"/>
      <c r="D356" s="2"/>
      <c r="E356" s="2"/>
    </row>
    <row r="357" spans="2:5" x14ac:dyDescent="0.25">
      <c r="B357" s="2"/>
      <c r="C357" s="2"/>
      <c r="D357" s="2"/>
      <c r="E357" s="2"/>
    </row>
    <row r="358" spans="2:5" x14ac:dyDescent="0.25">
      <c r="B358" s="2"/>
      <c r="C358" s="2"/>
      <c r="D358" s="2"/>
      <c r="E358" s="2"/>
    </row>
    <row r="359" spans="2:5" x14ac:dyDescent="0.25">
      <c r="B359" s="2"/>
      <c r="C359" s="2"/>
      <c r="D359" s="2"/>
      <c r="E359" s="2"/>
    </row>
    <row r="360" spans="2:5" x14ac:dyDescent="0.25">
      <c r="B360" s="2"/>
      <c r="C360" s="2"/>
      <c r="D360" s="2"/>
      <c r="E360" s="2"/>
    </row>
    <row r="361" spans="2:5" x14ac:dyDescent="0.25">
      <c r="B361" s="2"/>
      <c r="C361" s="2"/>
      <c r="D361" s="2"/>
      <c r="E361" s="2"/>
    </row>
    <row r="362" spans="2:5" x14ac:dyDescent="0.25">
      <c r="B362" s="2"/>
      <c r="C362" s="2"/>
      <c r="D362" s="2"/>
      <c r="E362" s="2"/>
    </row>
    <row r="363" spans="2:5" x14ac:dyDescent="0.25">
      <c r="B363" s="2"/>
      <c r="C363" s="2"/>
      <c r="D363" s="2"/>
      <c r="E363" s="2"/>
    </row>
    <row r="364" spans="2:5" x14ac:dyDescent="0.25">
      <c r="B364" s="2"/>
      <c r="C364" s="2"/>
      <c r="D364" s="2"/>
      <c r="E364" s="2"/>
    </row>
    <row r="365" spans="2:5" x14ac:dyDescent="0.25">
      <c r="B365" s="2"/>
      <c r="C365" s="2"/>
      <c r="D365" s="2"/>
      <c r="E365" s="2"/>
    </row>
    <row r="366" spans="2:5" x14ac:dyDescent="0.25">
      <c r="B366" s="2"/>
      <c r="C366" s="2"/>
      <c r="D366" s="2"/>
      <c r="E366" s="2"/>
    </row>
  </sheetData>
  <sheetProtection algorithmName="SHA-512" hashValue="gYMe4p4tG7GsSTyKEbd1aA8yRUibxXmrWeLEguyNMRYuJGYfQpWw4O/OxjWfysXSfgTBQZmW9Nx1QQvx/5bKOA==" saltValue="l4sDV69dQ4CA0ja2AxEu6A==" spinCount="100000" sheet="1" objects="1" scenarios="1"/>
  <pageMargins left="0.70866141732283472" right="0.70866141732283472" top="0.74803149606299213" bottom="0.74803149606299213" header="0.31496062992125984" footer="0.31496062992125984"/>
  <pageSetup paperSize="9" scale="5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P150"/>
  <sheetViews>
    <sheetView topLeftCell="A11" zoomScaleNormal="90" workbookViewId="0">
      <selection activeCell="B20" sqref="B20"/>
    </sheetView>
  </sheetViews>
  <sheetFormatPr defaultColWidth="9.1796875" defaultRowHeight="13" x14ac:dyDescent="0.3"/>
  <cols>
    <col min="1" max="1" width="27.1796875" style="17" bestFit="1" customWidth="1"/>
    <col min="2" max="3" width="27.81640625" style="24" customWidth="1"/>
    <col min="4" max="4" width="22.1796875" style="17" bestFit="1" customWidth="1"/>
    <col min="5" max="5" width="29.81640625" style="24" bestFit="1" customWidth="1"/>
    <col min="6" max="6" width="30.453125" style="24" bestFit="1" customWidth="1"/>
    <col min="7" max="7" width="43.1796875" style="24" customWidth="1"/>
    <col min="8" max="8" width="22.453125" style="24" customWidth="1"/>
    <col min="9" max="9" width="48" style="24" bestFit="1" customWidth="1"/>
    <col min="10" max="10" width="41.453125" style="24" bestFit="1" customWidth="1"/>
    <col min="11" max="11" width="17.453125" style="24" bestFit="1" customWidth="1"/>
    <col min="12" max="12" width="43.81640625" style="24" bestFit="1" customWidth="1"/>
    <col min="13" max="13" width="32.81640625" style="66" bestFit="1" customWidth="1"/>
    <col min="14" max="14" width="31.54296875" style="24" bestFit="1" customWidth="1"/>
    <col min="15" max="15" width="32.1796875" style="24" bestFit="1" customWidth="1"/>
    <col min="16" max="16" width="22.453125" style="24" bestFit="1" customWidth="1"/>
    <col min="17" max="17" width="24.1796875" style="24" bestFit="1" customWidth="1"/>
    <col min="18" max="18" width="24.453125" style="24" customWidth="1"/>
    <col min="19" max="19" width="31.453125" style="24" customWidth="1"/>
    <col min="20" max="16384" width="9.1796875" style="24"/>
  </cols>
  <sheetData>
    <row r="1" spans="1:16" x14ac:dyDescent="0.3">
      <c r="A1" s="65"/>
      <c r="B1" s="65"/>
    </row>
    <row r="2" spans="1:16" s="25" customFormat="1" ht="21" customHeight="1" x14ac:dyDescent="0.25">
      <c r="A2" s="67" t="s">
        <v>23</v>
      </c>
      <c r="B2" s="67" t="s">
        <v>494</v>
      </c>
      <c r="D2" s="68"/>
      <c r="E2" s="69"/>
      <c r="F2" s="69"/>
      <c r="G2" s="69"/>
      <c r="H2" s="69"/>
      <c r="K2" s="69" t="s">
        <v>495</v>
      </c>
      <c r="L2" s="69" t="s">
        <v>496</v>
      </c>
      <c r="M2" s="70" t="s">
        <v>497</v>
      </c>
      <c r="N2" s="69" t="s">
        <v>498</v>
      </c>
      <c r="P2" s="25" t="s">
        <v>120</v>
      </c>
    </row>
    <row r="3" spans="1:16" ht="18.75" customHeight="1" x14ac:dyDescent="0.3">
      <c r="A3" s="71" t="s">
        <v>192</v>
      </c>
      <c r="B3" s="65" t="s">
        <v>499</v>
      </c>
      <c r="E3" s="66"/>
      <c r="K3" s="24" t="s">
        <v>193</v>
      </c>
      <c r="L3" s="24" t="s">
        <v>500</v>
      </c>
      <c r="M3" s="66">
        <f>'Project Compliance Tool'!D5</f>
        <v>0</v>
      </c>
      <c r="N3" s="24" t="str">
        <f>IF(ISERROR(VLOOKUP(M3,$K$3:$L$9,2,FALSE)),"",VLOOKUP(M3,$K$3:$L$9,2,FALSE))</f>
        <v/>
      </c>
      <c r="P3" s="24" t="s">
        <v>121</v>
      </c>
    </row>
    <row r="4" spans="1:16" ht="18.75" customHeight="1" x14ac:dyDescent="0.3">
      <c r="A4" s="71" t="s">
        <v>56</v>
      </c>
      <c r="B4" s="65" t="s">
        <v>56</v>
      </c>
      <c r="E4" s="66"/>
      <c r="K4" s="24" t="s">
        <v>501</v>
      </c>
      <c r="L4" s="24" t="s">
        <v>502</v>
      </c>
      <c r="P4" s="24" t="s">
        <v>122</v>
      </c>
    </row>
    <row r="5" spans="1:16" ht="18.75" customHeight="1" x14ac:dyDescent="0.3">
      <c r="A5" s="71" t="s">
        <v>74</v>
      </c>
      <c r="B5" s="65" t="s">
        <v>503</v>
      </c>
      <c r="D5" s="68" t="s">
        <v>504</v>
      </c>
      <c r="E5" s="69" t="s">
        <v>505</v>
      </c>
      <c r="F5" s="69" t="s">
        <v>494</v>
      </c>
      <c r="G5" s="69" t="s">
        <v>506</v>
      </c>
      <c r="H5" s="69" t="s">
        <v>507</v>
      </c>
      <c r="I5" s="25" t="s">
        <v>508</v>
      </c>
      <c r="K5" s="24" t="s">
        <v>509</v>
      </c>
      <c r="L5" s="24" t="s">
        <v>510</v>
      </c>
      <c r="P5" s="24" t="s">
        <v>123</v>
      </c>
    </row>
    <row r="6" spans="1:16" ht="18.75" customHeight="1" x14ac:dyDescent="0.3">
      <c r="A6" s="71" t="s">
        <v>511</v>
      </c>
      <c r="B6" s="65" t="s">
        <v>561</v>
      </c>
      <c r="D6" s="17">
        <f>'Project Compliance Tool'!A12</f>
        <v>1</v>
      </c>
      <c r="E6" s="66">
        <f>'Project Compliance Tool'!H12</f>
        <v>0</v>
      </c>
      <c r="F6" s="24" t="str">
        <f t="shared" ref="F6:F37" si="0">IF(ISERROR(VLOOKUP(E6,$A$3:$B$23,2,FALSE)),"",VLOOKUP(E6,$A$3:$B$23,2,FALSE))</f>
        <v/>
      </c>
      <c r="G6" s="24">
        <f>'Project Compliance Tool'!I12</f>
        <v>0</v>
      </c>
      <c r="H6" s="24" t="str">
        <f t="shared" ref="H6:H12" ca="1" si="1">IF(AND(F6&lt;&gt;0,G6=0),"OK",IF(ISERROR(VLOOKUP(G6,INDIRECT(F6),1,FALSE)),"Work Type","OK"))</f>
        <v>OK</v>
      </c>
      <c r="I6" s="24">
        <f ca="1">IF(H6="OK",1,0)</f>
        <v>1</v>
      </c>
      <c r="K6" s="24" t="s">
        <v>196</v>
      </c>
      <c r="L6" s="24" t="s">
        <v>512</v>
      </c>
    </row>
    <row r="7" spans="1:16" ht="18.75" customHeight="1" x14ac:dyDescent="0.3">
      <c r="A7" s="71" t="s">
        <v>86</v>
      </c>
      <c r="B7" s="65" t="s">
        <v>86</v>
      </c>
      <c r="D7" s="17">
        <f>'Project Compliance Tool'!A13</f>
        <v>2</v>
      </c>
      <c r="E7" s="66">
        <f>'Project Compliance Tool'!H13</f>
        <v>0</v>
      </c>
      <c r="F7" s="24" t="str">
        <f t="shared" si="0"/>
        <v/>
      </c>
      <c r="G7" s="24">
        <f>'Project Compliance Tool'!I13</f>
        <v>0</v>
      </c>
      <c r="H7" s="24" t="str">
        <f t="shared" ca="1" si="1"/>
        <v>OK</v>
      </c>
      <c r="I7" s="24">
        <f t="shared" ref="I7:I55" ca="1" si="2">IF(H7="OK",1,0)</f>
        <v>1</v>
      </c>
      <c r="K7" s="24" t="s">
        <v>197</v>
      </c>
      <c r="L7" s="24" t="s">
        <v>197</v>
      </c>
    </row>
    <row r="8" spans="1:16" ht="18.75" customHeight="1" x14ac:dyDescent="0.3">
      <c r="A8" s="71" t="s">
        <v>96</v>
      </c>
      <c r="B8" s="65" t="s">
        <v>513</v>
      </c>
      <c r="D8" s="17">
        <f>'Project Compliance Tool'!A14</f>
        <v>3</v>
      </c>
      <c r="E8" s="66">
        <f>'Project Compliance Tool'!H14</f>
        <v>0</v>
      </c>
      <c r="F8" s="24" t="str">
        <f t="shared" si="0"/>
        <v/>
      </c>
      <c r="G8" s="24">
        <f>'Project Compliance Tool'!I14</f>
        <v>0</v>
      </c>
      <c r="H8" s="24" t="str">
        <f t="shared" ca="1" si="1"/>
        <v>OK</v>
      </c>
      <c r="I8" s="24">
        <f t="shared" ca="1" si="2"/>
        <v>1</v>
      </c>
      <c r="K8" s="24" t="s">
        <v>198</v>
      </c>
      <c r="L8" s="24" t="s">
        <v>514</v>
      </c>
    </row>
    <row r="9" spans="1:16" ht="18.75" customHeight="1" x14ac:dyDescent="0.3">
      <c r="A9" s="72" t="s">
        <v>100</v>
      </c>
      <c r="B9" s="65" t="s">
        <v>515</v>
      </c>
      <c r="D9" s="17">
        <f>'Project Compliance Tool'!A15</f>
        <v>4</v>
      </c>
      <c r="E9" s="66">
        <f>'Project Compliance Tool'!H15</f>
        <v>0</v>
      </c>
      <c r="F9" s="24" t="str">
        <f t="shared" si="0"/>
        <v/>
      </c>
      <c r="G9" s="24">
        <f>'Project Compliance Tool'!I15</f>
        <v>0</v>
      </c>
      <c r="H9" s="24" t="str">
        <f t="shared" ca="1" si="1"/>
        <v>OK</v>
      </c>
      <c r="I9" s="24">
        <f t="shared" ca="1" si="2"/>
        <v>1</v>
      </c>
      <c r="K9" s="24" t="s">
        <v>199</v>
      </c>
      <c r="L9" s="24" t="s">
        <v>516</v>
      </c>
    </row>
    <row r="10" spans="1:16" ht="18.75" customHeight="1" x14ac:dyDescent="0.3">
      <c r="A10" s="71" t="s">
        <v>109</v>
      </c>
      <c r="B10" s="65" t="s">
        <v>517</v>
      </c>
      <c r="D10" s="17">
        <f>'Project Compliance Tool'!A16</f>
        <v>5</v>
      </c>
      <c r="E10" s="66">
        <f>'Project Compliance Tool'!H16</f>
        <v>0</v>
      </c>
      <c r="F10" s="24" t="str">
        <f t="shared" si="0"/>
        <v/>
      </c>
      <c r="G10" s="24">
        <f>'Project Compliance Tool'!I16</f>
        <v>0</v>
      </c>
      <c r="H10" s="24" t="str">
        <f t="shared" ca="1" si="1"/>
        <v>OK</v>
      </c>
      <c r="I10" s="24">
        <f t="shared" ca="1" si="2"/>
        <v>1</v>
      </c>
    </row>
    <row r="11" spans="1:16" ht="18.75" customHeight="1" x14ac:dyDescent="0.3">
      <c r="A11" s="71" t="s">
        <v>110</v>
      </c>
      <c r="B11" s="65" t="s">
        <v>518</v>
      </c>
      <c r="D11" s="17">
        <f>'Project Compliance Tool'!A17</f>
        <v>6</v>
      </c>
      <c r="E11" s="66">
        <f>'Project Compliance Tool'!H17</f>
        <v>0</v>
      </c>
      <c r="F11" s="24" t="str">
        <f t="shared" si="0"/>
        <v/>
      </c>
      <c r="G11" s="24">
        <f>'Project Compliance Tool'!I17</f>
        <v>0</v>
      </c>
      <c r="H11" s="24" t="str">
        <f t="shared" ca="1" si="1"/>
        <v>OK</v>
      </c>
      <c r="I11" s="24">
        <f t="shared" ca="1" si="2"/>
        <v>1</v>
      </c>
    </row>
    <row r="12" spans="1:16" ht="18.75" customHeight="1" x14ac:dyDescent="0.3">
      <c r="A12" s="71" t="s">
        <v>116</v>
      </c>
      <c r="B12" s="65" t="s">
        <v>519</v>
      </c>
      <c r="D12" s="17">
        <f>'Project Compliance Tool'!A18</f>
        <v>7</v>
      </c>
      <c r="E12" s="66">
        <f>'Project Compliance Tool'!H18</f>
        <v>0</v>
      </c>
      <c r="F12" s="24" t="str">
        <f t="shared" si="0"/>
        <v/>
      </c>
      <c r="G12" s="24">
        <f>'Project Compliance Tool'!I18</f>
        <v>0</v>
      </c>
      <c r="H12" s="24" t="str">
        <f t="shared" ca="1" si="1"/>
        <v>OK</v>
      </c>
      <c r="I12" s="24">
        <f t="shared" ca="1" si="2"/>
        <v>1</v>
      </c>
    </row>
    <row r="13" spans="1:16" ht="18.75" customHeight="1" x14ac:dyDescent="0.3">
      <c r="A13" s="71" t="s">
        <v>119</v>
      </c>
      <c r="B13" s="65" t="s">
        <v>520</v>
      </c>
      <c r="D13" s="17">
        <f>'Project Compliance Tool'!A19</f>
        <v>8</v>
      </c>
      <c r="E13" s="66">
        <f>'Project Compliance Tool'!H19</f>
        <v>0</v>
      </c>
      <c r="F13" s="24" t="str">
        <f t="shared" si="0"/>
        <v/>
      </c>
      <c r="G13" s="24">
        <f>'Project Compliance Tool'!I19</f>
        <v>0</v>
      </c>
      <c r="H13" s="24" t="str">
        <f ca="1">IF(AND(F13&lt;&gt;0,G13=0),"OK",IF(ISERROR(VLOOKUP(G13,INDIRECT(F13),1,FALSE)),"Work Type","OK"))</f>
        <v>OK</v>
      </c>
      <c r="I13" s="24">
        <f t="shared" ca="1" si="2"/>
        <v>1</v>
      </c>
    </row>
    <row r="14" spans="1:16" ht="18.75" customHeight="1" x14ac:dyDescent="0.3">
      <c r="A14" s="71" t="s">
        <v>29</v>
      </c>
      <c r="B14" s="24" t="s">
        <v>521</v>
      </c>
      <c r="D14" s="17">
        <f>'Project Compliance Tool'!A20</f>
        <v>9</v>
      </c>
      <c r="E14" s="66">
        <f>'Project Compliance Tool'!H20</f>
        <v>0</v>
      </c>
      <c r="F14" s="24" t="str">
        <f t="shared" si="0"/>
        <v/>
      </c>
      <c r="G14" s="24">
        <f>'Project Compliance Tool'!I20</f>
        <v>0</v>
      </c>
      <c r="H14" s="24" t="str">
        <f t="shared" ref="H14:H55" ca="1" si="3">IF(AND(F14&lt;&gt;0,G14=0),"OK",IF(ISERROR(VLOOKUP(G14,INDIRECT(F14),1,FALSE)),"Work Type","OK"))</f>
        <v>OK</v>
      </c>
      <c r="I14" s="24">
        <f t="shared" ca="1" si="2"/>
        <v>1</v>
      </c>
    </row>
    <row r="15" spans="1:16" ht="18.75" customHeight="1" x14ac:dyDescent="0.3">
      <c r="A15" s="71" t="s">
        <v>124</v>
      </c>
      <c r="B15" s="65" t="s">
        <v>522</v>
      </c>
      <c r="D15" s="17">
        <f>'Project Compliance Tool'!A21</f>
        <v>10</v>
      </c>
      <c r="E15" s="66">
        <f>'Project Compliance Tool'!H21</f>
        <v>0</v>
      </c>
      <c r="F15" s="24" t="str">
        <f t="shared" si="0"/>
        <v/>
      </c>
      <c r="G15" s="24">
        <f>'Project Compliance Tool'!I21</f>
        <v>0</v>
      </c>
      <c r="H15" s="24" t="str">
        <f t="shared" ca="1" si="3"/>
        <v>OK</v>
      </c>
      <c r="I15" s="24">
        <f t="shared" ca="1" si="2"/>
        <v>1</v>
      </c>
    </row>
    <row r="16" spans="1:16" ht="18.75" customHeight="1" x14ac:dyDescent="0.3">
      <c r="A16" s="71" t="s">
        <v>127</v>
      </c>
      <c r="B16" s="65" t="s">
        <v>523</v>
      </c>
      <c r="D16" s="17">
        <f>'Project Compliance Tool'!A22</f>
        <v>11</v>
      </c>
      <c r="E16" s="66">
        <f>'Project Compliance Tool'!H22</f>
        <v>0</v>
      </c>
      <c r="F16" s="24" t="str">
        <f t="shared" si="0"/>
        <v/>
      </c>
      <c r="G16" s="24">
        <f>'Project Compliance Tool'!I22</f>
        <v>0</v>
      </c>
      <c r="H16" s="24" t="str">
        <f t="shared" ca="1" si="3"/>
        <v>OK</v>
      </c>
      <c r="I16" s="24">
        <f t="shared" ca="1" si="2"/>
        <v>1</v>
      </c>
    </row>
    <row r="17" spans="1:9" ht="18.75" customHeight="1" x14ac:dyDescent="0.3">
      <c r="A17" s="71" t="s">
        <v>130</v>
      </c>
      <c r="B17" s="65" t="s">
        <v>524</v>
      </c>
      <c r="D17" s="17">
        <f>'Project Compliance Tool'!A23</f>
        <v>12</v>
      </c>
      <c r="E17" s="66">
        <f>'Project Compliance Tool'!H23</f>
        <v>0</v>
      </c>
      <c r="F17" s="24" t="str">
        <f t="shared" si="0"/>
        <v/>
      </c>
      <c r="G17" s="24">
        <f>'Project Compliance Tool'!I23</f>
        <v>0</v>
      </c>
      <c r="H17" s="24" t="str">
        <f t="shared" ca="1" si="3"/>
        <v>OK</v>
      </c>
      <c r="I17" s="24">
        <f t="shared" ca="1" si="2"/>
        <v>1</v>
      </c>
    </row>
    <row r="18" spans="1:9" ht="18.75" customHeight="1" x14ac:dyDescent="0.3">
      <c r="A18" s="71" t="s">
        <v>134</v>
      </c>
      <c r="B18" s="65" t="s">
        <v>525</v>
      </c>
      <c r="D18" s="17">
        <f>'Project Compliance Tool'!A24</f>
        <v>13</v>
      </c>
      <c r="E18" s="66">
        <f>'Project Compliance Tool'!H24</f>
        <v>0</v>
      </c>
      <c r="F18" s="24" t="str">
        <f t="shared" si="0"/>
        <v/>
      </c>
      <c r="G18" s="24">
        <f>'Project Compliance Tool'!I24</f>
        <v>0</v>
      </c>
      <c r="H18" s="24" t="str">
        <f t="shared" ca="1" si="3"/>
        <v>OK</v>
      </c>
      <c r="I18" s="24">
        <f t="shared" ca="1" si="2"/>
        <v>1</v>
      </c>
    </row>
    <row r="19" spans="1:9" ht="18.75" customHeight="1" x14ac:dyDescent="0.3">
      <c r="A19" s="71" t="s">
        <v>136</v>
      </c>
      <c r="B19" s="65" t="s">
        <v>526</v>
      </c>
      <c r="D19" s="17">
        <f>'Project Compliance Tool'!A25</f>
        <v>14</v>
      </c>
      <c r="E19" s="66">
        <f>'Project Compliance Tool'!H25</f>
        <v>0</v>
      </c>
      <c r="F19" s="24" t="str">
        <f t="shared" si="0"/>
        <v/>
      </c>
      <c r="G19" s="24">
        <f>'Project Compliance Tool'!I25</f>
        <v>0</v>
      </c>
      <c r="H19" s="24" t="str">
        <f t="shared" ca="1" si="3"/>
        <v>OK</v>
      </c>
      <c r="I19" s="24">
        <f t="shared" ca="1" si="2"/>
        <v>1</v>
      </c>
    </row>
    <row r="20" spans="1:9" ht="18.75" customHeight="1" x14ac:dyDescent="0.3">
      <c r="A20" s="71" t="s">
        <v>140</v>
      </c>
      <c r="B20" s="65" t="s">
        <v>527</v>
      </c>
      <c r="D20" s="17">
        <f>'Project Compliance Tool'!A26</f>
        <v>15</v>
      </c>
      <c r="E20" s="66">
        <f>'Project Compliance Tool'!H26</f>
        <v>0</v>
      </c>
      <c r="F20" s="24" t="str">
        <f t="shared" si="0"/>
        <v/>
      </c>
      <c r="G20" s="24">
        <f>'Project Compliance Tool'!I26</f>
        <v>0</v>
      </c>
      <c r="H20" s="24" t="str">
        <f t="shared" ca="1" si="3"/>
        <v>OK</v>
      </c>
      <c r="I20" s="24">
        <f t="shared" ca="1" si="2"/>
        <v>1</v>
      </c>
    </row>
    <row r="21" spans="1:9" ht="18.75" customHeight="1" x14ac:dyDescent="0.3">
      <c r="A21" s="71" t="s">
        <v>143</v>
      </c>
      <c r="B21" s="65" t="s">
        <v>528</v>
      </c>
      <c r="D21" s="17">
        <f>'Project Compliance Tool'!A27</f>
        <v>16</v>
      </c>
      <c r="E21" s="66">
        <f>'Project Compliance Tool'!H27</f>
        <v>0</v>
      </c>
      <c r="F21" s="24" t="str">
        <f t="shared" si="0"/>
        <v/>
      </c>
      <c r="G21" s="24">
        <f>'Project Compliance Tool'!I27</f>
        <v>0</v>
      </c>
      <c r="H21" s="24" t="str">
        <f t="shared" ca="1" si="3"/>
        <v>OK</v>
      </c>
      <c r="I21" s="24">
        <f t="shared" ca="1" si="2"/>
        <v>1</v>
      </c>
    </row>
    <row r="22" spans="1:9" ht="18.75" customHeight="1" x14ac:dyDescent="0.3">
      <c r="A22" s="71" t="s">
        <v>529</v>
      </c>
      <c r="B22" s="65" t="s">
        <v>529</v>
      </c>
      <c r="D22" s="17">
        <f>'Project Compliance Tool'!A28</f>
        <v>17</v>
      </c>
      <c r="E22" s="66">
        <f>'Project Compliance Tool'!H28</f>
        <v>0</v>
      </c>
      <c r="F22" s="24" t="str">
        <f t="shared" si="0"/>
        <v/>
      </c>
      <c r="G22" s="24">
        <f>'Project Compliance Tool'!I28</f>
        <v>0</v>
      </c>
      <c r="H22" s="24" t="str">
        <f t="shared" ca="1" si="3"/>
        <v>OK</v>
      </c>
      <c r="I22" s="24">
        <f t="shared" ca="1" si="2"/>
        <v>1</v>
      </c>
    </row>
    <row r="23" spans="1:9" ht="18.75" customHeight="1" x14ac:dyDescent="0.3">
      <c r="A23" s="71" t="s">
        <v>144</v>
      </c>
      <c r="B23" s="65" t="s">
        <v>144</v>
      </c>
      <c r="D23" s="17">
        <f>'Project Compliance Tool'!A29</f>
        <v>18</v>
      </c>
      <c r="E23" s="66">
        <f>'Project Compliance Tool'!H29</f>
        <v>0</v>
      </c>
      <c r="F23" s="24" t="str">
        <f t="shared" si="0"/>
        <v/>
      </c>
      <c r="G23" s="24">
        <f>'Project Compliance Tool'!I29</f>
        <v>0</v>
      </c>
      <c r="H23" s="24" t="str">
        <f t="shared" ca="1" si="3"/>
        <v>OK</v>
      </c>
      <c r="I23" s="24">
        <f t="shared" ca="1" si="2"/>
        <v>1</v>
      </c>
    </row>
    <row r="24" spans="1:9" ht="18.75" customHeight="1" x14ac:dyDescent="0.3">
      <c r="A24" s="71"/>
      <c r="B24" s="65"/>
      <c r="D24" s="17">
        <f>'Project Compliance Tool'!A30</f>
        <v>19</v>
      </c>
      <c r="E24" s="66">
        <f>'Project Compliance Tool'!H30</f>
        <v>0</v>
      </c>
      <c r="F24" s="24" t="str">
        <f t="shared" si="0"/>
        <v/>
      </c>
      <c r="G24" s="24">
        <f>'Project Compliance Tool'!I30</f>
        <v>0</v>
      </c>
      <c r="H24" s="24" t="str">
        <f t="shared" ca="1" si="3"/>
        <v>OK</v>
      </c>
      <c r="I24" s="24">
        <f t="shared" ca="1" si="2"/>
        <v>1</v>
      </c>
    </row>
    <row r="25" spans="1:9" ht="18.75" customHeight="1" x14ac:dyDescent="0.3">
      <c r="A25" s="71"/>
      <c r="B25" s="65"/>
      <c r="D25" s="17">
        <f>'Project Compliance Tool'!A31</f>
        <v>20</v>
      </c>
      <c r="E25" s="66">
        <f>'Project Compliance Tool'!H31</f>
        <v>0</v>
      </c>
      <c r="F25" s="24" t="str">
        <f t="shared" si="0"/>
        <v/>
      </c>
      <c r="G25" s="24">
        <f>'Project Compliance Tool'!I31</f>
        <v>0</v>
      </c>
      <c r="H25" s="24" t="str">
        <f t="shared" ca="1" si="3"/>
        <v>OK</v>
      </c>
      <c r="I25" s="24">
        <f t="shared" ca="1" si="2"/>
        <v>1</v>
      </c>
    </row>
    <row r="26" spans="1:9" ht="18.75" customHeight="1" x14ac:dyDescent="0.3">
      <c r="A26" s="71"/>
      <c r="B26" s="65"/>
      <c r="D26" s="17">
        <f>'Project Compliance Tool'!A32</f>
        <v>21</v>
      </c>
      <c r="E26" s="66">
        <f>'Project Compliance Tool'!H32</f>
        <v>0</v>
      </c>
      <c r="F26" s="24" t="str">
        <f t="shared" si="0"/>
        <v/>
      </c>
      <c r="G26" s="24">
        <f>'Project Compliance Tool'!I32</f>
        <v>0</v>
      </c>
      <c r="H26" s="24" t="str">
        <f t="shared" ca="1" si="3"/>
        <v>OK</v>
      </c>
      <c r="I26" s="24">
        <f t="shared" ca="1" si="2"/>
        <v>1</v>
      </c>
    </row>
    <row r="27" spans="1:9" ht="18.75" customHeight="1" x14ac:dyDescent="0.3">
      <c r="A27" s="71"/>
      <c r="B27" s="71"/>
      <c r="D27" s="17">
        <f>'Project Compliance Tool'!A33</f>
        <v>22</v>
      </c>
      <c r="E27" s="66">
        <f>'Project Compliance Tool'!H33</f>
        <v>0</v>
      </c>
      <c r="F27" s="24" t="str">
        <f t="shared" si="0"/>
        <v/>
      </c>
      <c r="G27" s="24">
        <f>'Project Compliance Tool'!I33</f>
        <v>0</v>
      </c>
      <c r="H27" s="24" t="str">
        <f t="shared" ca="1" si="3"/>
        <v>OK</v>
      </c>
      <c r="I27" s="24">
        <f t="shared" ca="1" si="2"/>
        <v>1</v>
      </c>
    </row>
    <row r="28" spans="1:9" ht="18.75" customHeight="1" x14ac:dyDescent="0.3">
      <c r="A28" s="71"/>
      <c r="B28" s="65"/>
      <c r="D28" s="17">
        <f>'Project Compliance Tool'!A34</f>
        <v>23</v>
      </c>
      <c r="E28" s="66">
        <f>'Project Compliance Tool'!H34</f>
        <v>0</v>
      </c>
      <c r="F28" s="24" t="str">
        <f t="shared" si="0"/>
        <v/>
      </c>
      <c r="G28" s="24">
        <f>'Project Compliance Tool'!I34</f>
        <v>0</v>
      </c>
      <c r="H28" s="24" t="str">
        <f t="shared" ca="1" si="3"/>
        <v>OK</v>
      </c>
      <c r="I28" s="24">
        <f t="shared" ca="1" si="2"/>
        <v>1</v>
      </c>
    </row>
    <row r="29" spans="1:9" ht="18.75" customHeight="1" x14ac:dyDescent="0.3">
      <c r="A29" s="71"/>
      <c r="B29" s="65"/>
      <c r="D29" s="17">
        <f>'Project Compliance Tool'!A35</f>
        <v>24</v>
      </c>
      <c r="E29" s="66">
        <f>'Project Compliance Tool'!H35</f>
        <v>0</v>
      </c>
      <c r="F29" s="24" t="str">
        <f t="shared" si="0"/>
        <v/>
      </c>
      <c r="G29" s="24">
        <f>'Project Compliance Tool'!I35</f>
        <v>0</v>
      </c>
      <c r="H29" s="24" t="str">
        <f t="shared" ca="1" si="3"/>
        <v>OK</v>
      </c>
      <c r="I29" s="24">
        <f t="shared" ca="1" si="2"/>
        <v>1</v>
      </c>
    </row>
    <row r="30" spans="1:9" ht="18.75" customHeight="1" x14ac:dyDescent="0.3">
      <c r="A30" s="65"/>
      <c r="B30" s="65"/>
      <c r="D30" s="17">
        <f>'Project Compliance Tool'!A36</f>
        <v>25</v>
      </c>
      <c r="E30" s="66">
        <f>'Project Compliance Tool'!H36</f>
        <v>0</v>
      </c>
      <c r="F30" s="24" t="str">
        <f t="shared" si="0"/>
        <v/>
      </c>
      <c r="G30" s="24">
        <f>'Project Compliance Tool'!I36</f>
        <v>0</v>
      </c>
      <c r="H30" s="24" t="str">
        <f t="shared" ca="1" si="3"/>
        <v>OK</v>
      </c>
      <c r="I30" s="24">
        <f t="shared" ca="1" si="2"/>
        <v>1</v>
      </c>
    </row>
    <row r="31" spans="1:9" ht="18.75" customHeight="1" x14ac:dyDescent="0.3">
      <c r="A31" s="65"/>
      <c r="B31" s="65"/>
      <c r="D31" s="17">
        <f>'Project Compliance Tool'!A37</f>
        <v>26</v>
      </c>
      <c r="E31" s="66">
        <f>'Project Compliance Tool'!H37</f>
        <v>0</v>
      </c>
      <c r="F31" s="24" t="str">
        <f t="shared" si="0"/>
        <v/>
      </c>
      <c r="G31" s="24">
        <f>'Project Compliance Tool'!I37</f>
        <v>0</v>
      </c>
      <c r="H31" s="24" t="str">
        <f t="shared" ca="1" si="3"/>
        <v>OK</v>
      </c>
      <c r="I31" s="24">
        <f t="shared" ca="1" si="2"/>
        <v>1</v>
      </c>
    </row>
    <row r="32" spans="1:9" ht="18.75" customHeight="1" x14ac:dyDescent="0.3">
      <c r="A32" s="65"/>
      <c r="B32" s="65"/>
      <c r="D32" s="17">
        <f>'Project Compliance Tool'!A38</f>
        <v>27</v>
      </c>
      <c r="E32" s="66">
        <f>'Project Compliance Tool'!H38</f>
        <v>0</v>
      </c>
      <c r="F32" s="24" t="str">
        <f t="shared" si="0"/>
        <v/>
      </c>
      <c r="G32" s="24">
        <f>'Project Compliance Tool'!I38</f>
        <v>0</v>
      </c>
      <c r="H32" s="24" t="str">
        <f t="shared" ca="1" si="3"/>
        <v>OK</v>
      </c>
      <c r="I32" s="24">
        <f t="shared" ca="1" si="2"/>
        <v>1</v>
      </c>
    </row>
    <row r="33" spans="1:14" ht="18.75" customHeight="1" x14ac:dyDescent="0.3">
      <c r="A33" s="65"/>
      <c r="B33" s="65"/>
      <c r="D33" s="17">
        <f>'Project Compliance Tool'!A39</f>
        <v>28</v>
      </c>
      <c r="E33" s="66">
        <f>'Project Compliance Tool'!H39</f>
        <v>0</v>
      </c>
      <c r="F33" s="24" t="str">
        <f t="shared" si="0"/>
        <v/>
      </c>
      <c r="G33" s="24">
        <f>'Project Compliance Tool'!I39</f>
        <v>0</v>
      </c>
      <c r="H33" s="24" t="str">
        <f t="shared" ca="1" si="3"/>
        <v>OK</v>
      </c>
      <c r="I33" s="24">
        <f t="shared" ca="1" si="2"/>
        <v>1</v>
      </c>
    </row>
    <row r="34" spans="1:14" ht="18.75" customHeight="1" x14ac:dyDescent="0.3">
      <c r="A34" s="65"/>
      <c r="B34" s="65"/>
      <c r="D34" s="17">
        <f>'Project Compliance Tool'!A40</f>
        <v>29</v>
      </c>
      <c r="E34" s="66">
        <f>'Project Compliance Tool'!H40</f>
        <v>0</v>
      </c>
      <c r="F34" s="24" t="str">
        <f t="shared" si="0"/>
        <v/>
      </c>
      <c r="G34" s="24">
        <f>'Project Compliance Tool'!I40</f>
        <v>0</v>
      </c>
      <c r="H34" s="24" t="str">
        <f t="shared" ca="1" si="3"/>
        <v>OK</v>
      </c>
      <c r="I34" s="24">
        <f t="shared" ca="1" si="2"/>
        <v>1</v>
      </c>
      <c r="M34" s="24"/>
      <c r="N34" s="66"/>
    </row>
    <row r="35" spans="1:14" ht="18.75" customHeight="1" x14ac:dyDescent="0.3">
      <c r="A35" s="65"/>
      <c r="B35" s="65"/>
      <c r="D35" s="17">
        <f>'Project Compliance Tool'!A41</f>
        <v>30</v>
      </c>
      <c r="E35" s="66">
        <f>'Project Compliance Tool'!H41</f>
        <v>0</v>
      </c>
      <c r="F35" s="24" t="str">
        <f t="shared" si="0"/>
        <v/>
      </c>
      <c r="G35" s="24">
        <f>'Project Compliance Tool'!I41</f>
        <v>0</v>
      </c>
      <c r="H35" s="24" t="str">
        <f t="shared" ca="1" si="3"/>
        <v>OK</v>
      </c>
      <c r="I35" s="24">
        <f t="shared" ca="1" si="2"/>
        <v>1</v>
      </c>
      <c r="M35" s="24"/>
      <c r="N35" s="66"/>
    </row>
    <row r="36" spans="1:14" ht="18.75" customHeight="1" x14ac:dyDescent="0.3">
      <c r="A36" s="65"/>
      <c r="B36" s="65" t="s">
        <v>530</v>
      </c>
      <c r="D36" s="17">
        <f>'Project Compliance Tool'!A42</f>
        <v>31</v>
      </c>
      <c r="E36" s="66">
        <f>'Project Compliance Tool'!H42</f>
        <v>0</v>
      </c>
      <c r="F36" s="24" t="str">
        <f t="shared" si="0"/>
        <v/>
      </c>
      <c r="G36" s="24">
        <f>'Project Compliance Tool'!I42</f>
        <v>0</v>
      </c>
      <c r="H36" s="24" t="str">
        <f t="shared" ca="1" si="3"/>
        <v>OK</v>
      </c>
      <c r="I36" s="24">
        <f t="shared" ca="1" si="2"/>
        <v>1</v>
      </c>
      <c r="M36" s="24"/>
      <c r="N36" s="66"/>
    </row>
    <row r="37" spans="1:14" ht="18.75" customHeight="1" x14ac:dyDescent="0.3">
      <c r="D37" s="17">
        <f>'Project Compliance Tool'!A43</f>
        <v>32</v>
      </c>
      <c r="E37" s="66">
        <f>'Project Compliance Tool'!H43</f>
        <v>0</v>
      </c>
      <c r="F37" s="24" t="str">
        <f t="shared" si="0"/>
        <v/>
      </c>
      <c r="G37" s="24">
        <f>'Project Compliance Tool'!I43</f>
        <v>0</v>
      </c>
      <c r="H37" s="24" t="str">
        <f t="shared" ca="1" si="3"/>
        <v>OK</v>
      </c>
      <c r="I37" s="24">
        <f t="shared" ca="1" si="2"/>
        <v>1</v>
      </c>
      <c r="M37" s="24"/>
      <c r="N37" s="66"/>
    </row>
    <row r="38" spans="1:14" ht="18.75" customHeight="1" x14ac:dyDescent="0.3">
      <c r="D38" s="17">
        <f>'Project Compliance Tool'!A44</f>
        <v>33</v>
      </c>
      <c r="E38" s="66">
        <f>'Project Compliance Tool'!H44</f>
        <v>0</v>
      </c>
      <c r="F38" s="24" t="str">
        <f t="shared" ref="F38:F55" si="4">IF(ISERROR(VLOOKUP(E38,$A$3:$B$23,2,FALSE)),"",VLOOKUP(E38,$A$3:$B$23,2,FALSE))</f>
        <v/>
      </c>
      <c r="G38" s="24">
        <f>'Project Compliance Tool'!I44</f>
        <v>0</v>
      </c>
      <c r="H38" s="24" t="str">
        <f t="shared" ca="1" si="3"/>
        <v>OK</v>
      </c>
      <c r="I38" s="24">
        <f t="shared" ca="1" si="2"/>
        <v>1</v>
      </c>
      <c r="M38" s="24"/>
      <c r="N38" s="66"/>
    </row>
    <row r="39" spans="1:14" ht="18.75" customHeight="1" x14ac:dyDescent="0.3">
      <c r="D39" s="17">
        <f>'Project Compliance Tool'!A45</f>
        <v>34</v>
      </c>
      <c r="E39" s="66">
        <f>'Project Compliance Tool'!H45</f>
        <v>0</v>
      </c>
      <c r="F39" s="24" t="str">
        <f t="shared" si="4"/>
        <v/>
      </c>
      <c r="G39" s="24">
        <f>'Project Compliance Tool'!I45</f>
        <v>0</v>
      </c>
      <c r="H39" s="24" t="str">
        <f t="shared" ca="1" si="3"/>
        <v>OK</v>
      </c>
      <c r="I39" s="24">
        <f t="shared" ca="1" si="2"/>
        <v>1</v>
      </c>
      <c r="M39" s="24"/>
      <c r="N39" s="66"/>
    </row>
    <row r="40" spans="1:14" ht="18.75" customHeight="1" x14ac:dyDescent="0.3">
      <c r="D40" s="17">
        <f>'Project Compliance Tool'!A46</f>
        <v>35</v>
      </c>
      <c r="E40" s="66">
        <f>'Project Compliance Tool'!H46</f>
        <v>0</v>
      </c>
      <c r="F40" s="24" t="str">
        <f t="shared" si="4"/>
        <v/>
      </c>
      <c r="G40" s="24">
        <f>'Project Compliance Tool'!I46</f>
        <v>0</v>
      </c>
      <c r="H40" s="24" t="str">
        <f t="shared" ca="1" si="3"/>
        <v>OK</v>
      </c>
      <c r="I40" s="24">
        <f t="shared" ca="1" si="2"/>
        <v>1</v>
      </c>
      <c r="M40" s="24"/>
      <c r="N40" s="66"/>
    </row>
    <row r="41" spans="1:14" ht="18.75" customHeight="1" x14ac:dyDescent="0.3">
      <c r="D41" s="17">
        <f>'Project Compliance Tool'!A47</f>
        <v>36</v>
      </c>
      <c r="E41" s="66">
        <f>'Project Compliance Tool'!H47</f>
        <v>0</v>
      </c>
      <c r="F41" s="24" t="str">
        <f t="shared" si="4"/>
        <v/>
      </c>
      <c r="G41" s="24">
        <f>'Project Compliance Tool'!I47</f>
        <v>0</v>
      </c>
      <c r="H41" s="24" t="str">
        <f t="shared" ca="1" si="3"/>
        <v>OK</v>
      </c>
      <c r="I41" s="24">
        <f t="shared" ca="1" si="2"/>
        <v>1</v>
      </c>
      <c r="M41" s="24"/>
      <c r="N41" s="66"/>
    </row>
    <row r="42" spans="1:14" ht="18.75" customHeight="1" x14ac:dyDescent="0.3">
      <c r="D42" s="17">
        <f>'Project Compliance Tool'!A48</f>
        <v>37</v>
      </c>
      <c r="E42" s="66">
        <f>'Project Compliance Tool'!H48</f>
        <v>0</v>
      </c>
      <c r="F42" s="24" t="str">
        <f t="shared" si="4"/>
        <v/>
      </c>
      <c r="G42" s="24">
        <f>'Project Compliance Tool'!I48</f>
        <v>0</v>
      </c>
      <c r="H42" s="24" t="str">
        <f t="shared" ca="1" si="3"/>
        <v>OK</v>
      </c>
      <c r="I42" s="24">
        <f t="shared" ca="1" si="2"/>
        <v>1</v>
      </c>
      <c r="M42" s="24"/>
      <c r="N42" s="66"/>
    </row>
    <row r="43" spans="1:14" ht="18.75" customHeight="1" x14ac:dyDescent="0.3">
      <c r="D43" s="17">
        <f>'Project Compliance Tool'!A49</f>
        <v>38</v>
      </c>
      <c r="E43" s="66">
        <f>'Project Compliance Tool'!H49</f>
        <v>0</v>
      </c>
      <c r="F43" s="24" t="str">
        <f t="shared" si="4"/>
        <v/>
      </c>
      <c r="G43" s="24">
        <f>'Project Compliance Tool'!I49</f>
        <v>0</v>
      </c>
      <c r="H43" s="24" t="str">
        <f t="shared" ca="1" si="3"/>
        <v>OK</v>
      </c>
      <c r="I43" s="24">
        <f t="shared" ca="1" si="2"/>
        <v>1</v>
      </c>
      <c r="M43" s="24"/>
      <c r="N43" s="66"/>
    </row>
    <row r="44" spans="1:14" ht="18.75" customHeight="1" x14ac:dyDescent="0.3">
      <c r="D44" s="17">
        <f>'Project Compliance Tool'!A50</f>
        <v>39</v>
      </c>
      <c r="E44" s="66">
        <f>'Project Compliance Tool'!H50</f>
        <v>0</v>
      </c>
      <c r="F44" s="24" t="str">
        <f t="shared" si="4"/>
        <v/>
      </c>
      <c r="G44" s="24">
        <f>'Project Compliance Tool'!I50</f>
        <v>0</v>
      </c>
      <c r="H44" s="24" t="str">
        <f t="shared" ca="1" si="3"/>
        <v>OK</v>
      </c>
      <c r="I44" s="24">
        <f t="shared" ca="1" si="2"/>
        <v>1</v>
      </c>
      <c r="M44" s="24"/>
      <c r="N44" s="66"/>
    </row>
    <row r="45" spans="1:14" ht="18.75" customHeight="1" x14ac:dyDescent="0.3">
      <c r="D45" s="17">
        <f>'Project Compliance Tool'!A51</f>
        <v>40</v>
      </c>
      <c r="E45" s="66">
        <f>'Project Compliance Tool'!H51</f>
        <v>0</v>
      </c>
      <c r="F45" s="24" t="str">
        <f t="shared" si="4"/>
        <v/>
      </c>
      <c r="G45" s="24">
        <f>'Project Compliance Tool'!I51</f>
        <v>0</v>
      </c>
      <c r="H45" s="24" t="str">
        <f t="shared" ca="1" si="3"/>
        <v>OK</v>
      </c>
      <c r="I45" s="24">
        <f t="shared" ca="1" si="2"/>
        <v>1</v>
      </c>
      <c r="M45" s="24"/>
      <c r="N45" s="66"/>
    </row>
    <row r="46" spans="1:14" ht="18.75" customHeight="1" x14ac:dyDescent="0.3">
      <c r="D46" s="17">
        <f>'Project Compliance Tool'!A52</f>
        <v>41</v>
      </c>
      <c r="E46" s="66">
        <f>'Project Compliance Tool'!H52</f>
        <v>0</v>
      </c>
      <c r="F46" s="24" t="str">
        <f t="shared" si="4"/>
        <v/>
      </c>
      <c r="G46" s="24">
        <f>'Project Compliance Tool'!I52</f>
        <v>0</v>
      </c>
      <c r="H46" s="24" t="str">
        <f t="shared" ca="1" si="3"/>
        <v>OK</v>
      </c>
      <c r="I46" s="24">
        <f t="shared" ca="1" si="2"/>
        <v>1</v>
      </c>
      <c r="M46" s="24"/>
      <c r="N46" s="66"/>
    </row>
    <row r="47" spans="1:14" ht="18.75" customHeight="1" x14ac:dyDescent="0.3">
      <c r="D47" s="17">
        <f>'Project Compliance Tool'!A53</f>
        <v>42</v>
      </c>
      <c r="E47" s="66">
        <f>'Project Compliance Tool'!H53</f>
        <v>0</v>
      </c>
      <c r="F47" s="24" t="str">
        <f t="shared" si="4"/>
        <v/>
      </c>
      <c r="G47" s="24">
        <f>'Project Compliance Tool'!I53</f>
        <v>0</v>
      </c>
      <c r="H47" s="24" t="str">
        <f t="shared" ca="1" si="3"/>
        <v>OK</v>
      </c>
      <c r="I47" s="24">
        <f t="shared" ca="1" si="2"/>
        <v>1</v>
      </c>
      <c r="M47" s="24"/>
      <c r="N47" s="66"/>
    </row>
    <row r="48" spans="1:14" ht="18.75" customHeight="1" x14ac:dyDescent="0.3">
      <c r="D48" s="17">
        <f>'Project Compliance Tool'!A54</f>
        <v>43</v>
      </c>
      <c r="E48" s="66">
        <f>'Project Compliance Tool'!H54</f>
        <v>0</v>
      </c>
      <c r="F48" s="24" t="str">
        <f t="shared" si="4"/>
        <v/>
      </c>
      <c r="G48" s="24">
        <f>'Project Compliance Tool'!I54</f>
        <v>0</v>
      </c>
      <c r="H48" s="24" t="str">
        <f t="shared" ca="1" si="3"/>
        <v>OK</v>
      </c>
      <c r="I48" s="24">
        <f t="shared" ca="1" si="2"/>
        <v>1</v>
      </c>
      <c r="M48" s="24"/>
      <c r="N48" s="66"/>
    </row>
    <row r="49" spans="4:14" ht="18.75" customHeight="1" x14ac:dyDescent="0.3">
      <c r="D49" s="17">
        <f>'Project Compliance Tool'!A55</f>
        <v>44</v>
      </c>
      <c r="E49" s="66">
        <f>'Project Compliance Tool'!H55</f>
        <v>0</v>
      </c>
      <c r="F49" s="24" t="str">
        <f t="shared" si="4"/>
        <v/>
      </c>
      <c r="G49" s="24">
        <f>'Project Compliance Tool'!I55</f>
        <v>0</v>
      </c>
      <c r="H49" s="24" t="str">
        <f t="shared" ca="1" si="3"/>
        <v>OK</v>
      </c>
      <c r="I49" s="24">
        <f t="shared" ca="1" si="2"/>
        <v>1</v>
      </c>
      <c r="M49" s="24"/>
      <c r="N49" s="66"/>
    </row>
    <row r="50" spans="4:14" ht="18.75" customHeight="1" x14ac:dyDescent="0.3">
      <c r="D50" s="17">
        <f>'Project Compliance Tool'!A56</f>
        <v>45</v>
      </c>
      <c r="E50" s="66">
        <f>'Project Compliance Tool'!H56</f>
        <v>0</v>
      </c>
      <c r="F50" s="24" t="str">
        <f t="shared" si="4"/>
        <v/>
      </c>
      <c r="G50" s="24">
        <f>'Project Compliance Tool'!I56</f>
        <v>0</v>
      </c>
      <c r="H50" s="24" t="str">
        <f t="shared" ca="1" si="3"/>
        <v>OK</v>
      </c>
      <c r="I50" s="24">
        <f t="shared" ca="1" si="2"/>
        <v>1</v>
      </c>
      <c r="M50" s="24"/>
      <c r="N50" s="66"/>
    </row>
    <row r="51" spans="4:14" ht="18.75" customHeight="1" x14ac:dyDescent="0.3">
      <c r="D51" s="17">
        <f>'Project Compliance Tool'!A57</f>
        <v>46</v>
      </c>
      <c r="E51" s="66">
        <f>'Project Compliance Tool'!H57</f>
        <v>0</v>
      </c>
      <c r="F51" s="24" t="str">
        <f t="shared" si="4"/>
        <v/>
      </c>
      <c r="G51" s="24">
        <f>'Project Compliance Tool'!I57</f>
        <v>0</v>
      </c>
      <c r="H51" s="24" t="str">
        <f t="shared" ca="1" si="3"/>
        <v>OK</v>
      </c>
      <c r="I51" s="24">
        <f t="shared" ca="1" si="2"/>
        <v>1</v>
      </c>
      <c r="M51" s="24"/>
      <c r="N51" s="66"/>
    </row>
    <row r="52" spans="4:14" ht="18.75" customHeight="1" x14ac:dyDescent="0.3">
      <c r="D52" s="17">
        <f>'Project Compliance Tool'!A58</f>
        <v>47</v>
      </c>
      <c r="E52" s="66">
        <f>'Project Compliance Tool'!H58</f>
        <v>0</v>
      </c>
      <c r="F52" s="24" t="str">
        <f t="shared" si="4"/>
        <v/>
      </c>
      <c r="G52" s="24">
        <f>'Project Compliance Tool'!I58</f>
        <v>0</v>
      </c>
      <c r="H52" s="24" t="str">
        <f t="shared" ca="1" si="3"/>
        <v>OK</v>
      </c>
      <c r="I52" s="24">
        <f t="shared" ca="1" si="2"/>
        <v>1</v>
      </c>
      <c r="M52" s="24"/>
      <c r="N52" s="66"/>
    </row>
    <row r="53" spans="4:14" ht="18.75" customHeight="1" x14ac:dyDescent="0.3">
      <c r="D53" s="17">
        <f>'Project Compliance Tool'!A59</f>
        <v>48</v>
      </c>
      <c r="E53" s="66">
        <f>'Project Compliance Tool'!H59</f>
        <v>0</v>
      </c>
      <c r="F53" s="24" t="str">
        <f t="shared" si="4"/>
        <v/>
      </c>
      <c r="G53" s="24">
        <f>'Project Compliance Tool'!I59</f>
        <v>0</v>
      </c>
      <c r="H53" s="24" t="str">
        <f t="shared" ca="1" si="3"/>
        <v>OK</v>
      </c>
      <c r="I53" s="24">
        <f t="shared" ca="1" si="2"/>
        <v>1</v>
      </c>
      <c r="M53" s="24"/>
      <c r="N53" s="66"/>
    </row>
    <row r="54" spans="4:14" ht="18.75" customHeight="1" x14ac:dyDescent="0.3">
      <c r="D54" s="17">
        <f>'Project Compliance Tool'!A60</f>
        <v>49</v>
      </c>
      <c r="E54" s="66">
        <f>'Project Compliance Tool'!H60</f>
        <v>0</v>
      </c>
      <c r="F54" s="24" t="str">
        <f t="shared" si="4"/>
        <v/>
      </c>
      <c r="G54" s="24">
        <f>'Project Compliance Tool'!I60</f>
        <v>0</v>
      </c>
      <c r="H54" s="24" t="str">
        <f t="shared" ca="1" si="3"/>
        <v>OK</v>
      </c>
      <c r="I54" s="24">
        <f t="shared" ca="1" si="2"/>
        <v>1</v>
      </c>
      <c r="M54" s="24"/>
      <c r="N54" s="66"/>
    </row>
    <row r="55" spans="4:14" ht="18.75" customHeight="1" x14ac:dyDescent="0.3">
      <c r="D55" s="17">
        <f>'Project Compliance Tool'!A61</f>
        <v>50</v>
      </c>
      <c r="E55" s="66" t="str">
        <f>'Project Compliance Tool'!H61</f>
        <v>Lab upgrades</v>
      </c>
      <c r="F55" s="24" t="str">
        <f t="shared" si="4"/>
        <v>Lab_upgrades</v>
      </c>
      <c r="G55" s="24" t="str">
        <f>'Project Compliance Tool'!I61</f>
        <v>Energy efficient drying cabinets</v>
      </c>
      <c r="H55" s="24" t="str">
        <f t="shared" ca="1" si="3"/>
        <v>OK</v>
      </c>
      <c r="I55" s="24">
        <f t="shared" ca="1" si="2"/>
        <v>1</v>
      </c>
      <c r="M55" s="24"/>
      <c r="N55" s="66"/>
    </row>
    <row r="56" spans="4:14" ht="18.75" customHeight="1" x14ac:dyDescent="0.3">
      <c r="E56" s="66"/>
      <c r="M56" s="24"/>
      <c r="N56" s="66"/>
    </row>
    <row r="57" spans="4:14" ht="18.75" customHeight="1" x14ac:dyDescent="0.3">
      <c r="E57" s="66"/>
      <c r="M57" s="24"/>
      <c r="N57" s="66"/>
    </row>
    <row r="58" spans="4:14" ht="18.75" customHeight="1" x14ac:dyDescent="0.3">
      <c r="E58" s="66"/>
      <c r="M58" s="24"/>
      <c r="N58" s="66"/>
    </row>
    <row r="59" spans="4:14" ht="18.75" customHeight="1" x14ac:dyDescent="0.3">
      <c r="E59" s="66"/>
      <c r="M59" s="24"/>
      <c r="N59" s="66"/>
    </row>
    <row r="60" spans="4:14" ht="18.75" customHeight="1" x14ac:dyDescent="0.3">
      <c r="E60" s="66"/>
      <c r="M60" s="24"/>
      <c r="N60" s="66"/>
    </row>
    <row r="61" spans="4:14" ht="18.75" customHeight="1" x14ac:dyDescent="0.3">
      <c r="E61" s="66"/>
      <c r="M61" s="24"/>
      <c r="N61" s="66"/>
    </row>
    <row r="62" spans="4:14" ht="18.75" customHeight="1" x14ac:dyDescent="0.3">
      <c r="E62" s="66"/>
      <c r="M62" s="24"/>
      <c r="N62" s="66"/>
    </row>
    <row r="63" spans="4:14" ht="18.75" customHeight="1" x14ac:dyDescent="0.3">
      <c r="E63" s="66"/>
      <c r="M63" s="24"/>
      <c r="N63" s="66"/>
    </row>
    <row r="64" spans="4:14" ht="18.75" customHeight="1" x14ac:dyDescent="0.3">
      <c r="E64" s="66"/>
      <c r="M64" s="24"/>
      <c r="N64" s="66"/>
    </row>
    <row r="65" spans="4:14" ht="18.75" customHeight="1" x14ac:dyDescent="0.3">
      <c r="E65" s="66"/>
      <c r="M65" s="24"/>
      <c r="N65" s="66"/>
    </row>
    <row r="66" spans="4:14" ht="18.75" customHeight="1" x14ac:dyDescent="0.3">
      <c r="E66" s="66"/>
      <c r="M66" s="24"/>
      <c r="N66" s="66"/>
    </row>
    <row r="67" spans="4:14" ht="18.75" customHeight="1" x14ac:dyDescent="0.3">
      <c r="E67" s="66"/>
      <c r="M67" s="24"/>
      <c r="N67" s="66"/>
    </row>
    <row r="68" spans="4:14" ht="18.75" customHeight="1" x14ac:dyDescent="0.3">
      <c r="E68" s="66"/>
      <c r="M68" s="24"/>
      <c r="N68" s="66"/>
    </row>
    <row r="69" spans="4:14" ht="18.75" customHeight="1" x14ac:dyDescent="0.3">
      <c r="E69" s="66"/>
      <c r="M69" s="24"/>
      <c r="N69" s="66"/>
    </row>
    <row r="70" spans="4:14" ht="18.75" customHeight="1" x14ac:dyDescent="0.3">
      <c r="E70" s="66"/>
      <c r="M70" s="24"/>
      <c r="N70" s="66"/>
    </row>
    <row r="71" spans="4:14" ht="18.75" customHeight="1" x14ac:dyDescent="0.35">
      <c r="D71" s="24"/>
      <c r="E71" s="543" t="s">
        <v>531</v>
      </c>
      <c r="F71" s="544" t="s">
        <v>532</v>
      </c>
      <c r="G71" s="544" t="s">
        <v>533</v>
      </c>
      <c r="M71" s="24"/>
      <c r="N71" s="66"/>
    </row>
    <row r="72" spans="4:14" ht="18.75" customHeight="1" x14ac:dyDescent="0.3">
      <c r="D72" s="74"/>
      <c r="E72" s="75" t="s">
        <v>534</v>
      </c>
      <c r="F72" s="75">
        <v>12</v>
      </c>
      <c r="G72" s="75">
        <v>305</v>
      </c>
      <c r="M72" s="24"/>
      <c r="N72" s="66"/>
    </row>
    <row r="73" spans="4:14" ht="18.75" customHeight="1" x14ac:dyDescent="0.3">
      <c r="D73" s="24"/>
      <c r="E73" s="75" t="s">
        <v>535</v>
      </c>
      <c r="F73" s="75">
        <v>8</v>
      </c>
      <c r="G73" s="75">
        <v>278</v>
      </c>
      <c r="M73" s="24"/>
      <c r="N73" s="66"/>
    </row>
    <row r="74" spans="4:14" ht="18.75" customHeight="1" x14ac:dyDescent="0.3">
      <c r="D74" s="24"/>
      <c r="E74" s="75" t="s">
        <v>536</v>
      </c>
      <c r="F74" s="75">
        <v>8</v>
      </c>
      <c r="G74" s="75">
        <v>500</v>
      </c>
      <c r="M74" s="24"/>
      <c r="N74" s="66"/>
    </row>
    <row r="75" spans="4:14" ht="18.75" customHeight="1" x14ac:dyDescent="0.3">
      <c r="D75" s="24"/>
      <c r="E75" s="75" t="s">
        <v>537</v>
      </c>
      <c r="F75" s="75">
        <v>10</v>
      </c>
      <c r="G75" s="75">
        <v>500</v>
      </c>
      <c r="M75" s="24"/>
      <c r="N75" s="66"/>
    </row>
    <row r="76" spans="4:14" ht="18.75" customHeight="1" x14ac:dyDescent="0.3">
      <c r="D76" s="24"/>
      <c r="E76" s="75" t="s">
        <v>158</v>
      </c>
      <c r="F76" s="75">
        <v>12</v>
      </c>
      <c r="G76" s="75">
        <v>305</v>
      </c>
      <c r="M76" s="24"/>
      <c r="N76" s="66"/>
    </row>
    <row r="77" spans="4:14" ht="18.75" customHeight="1" x14ac:dyDescent="0.3">
      <c r="D77" s="24"/>
      <c r="E77" s="75" t="s">
        <v>538</v>
      </c>
      <c r="F77" s="75">
        <v>8</v>
      </c>
      <c r="G77" s="75">
        <v>278</v>
      </c>
      <c r="M77" s="24"/>
      <c r="N77" s="66"/>
    </row>
    <row r="78" spans="4:14" ht="18.75" customHeight="1" x14ac:dyDescent="0.3">
      <c r="D78" s="24"/>
      <c r="E78" s="73"/>
      <c r="F78" s="73"/>
      <c r="G78" s="73"/>
      <c r="M78" s="24"/>
      <c r="N78" s="66"/>
    </row>
    <row r="79" spans="4:14" ht="18.75" customHeight="1" x14ac:dyDescent="0.3">
      <c r="D79" s="24"/>
      <c r="E79" s="73" t="s">
        <v>539</v>
      </c>
      <c r="F79" s="76" t="str">
        <f>'Project Compliance Tool'!Q65</f>
        <v/>
      </c>
      <c r="G79" s="77" t="str">
        <f>'Project Compliance Tool'!U65</f>
        <v/>
      </c>
      <c r="M79" s="24"/>
      <c r="N79" s="66"/>
    </row>
    <row r="80" spans="4:14" ht="18.75" customHeight="1" x14ac:dyDescent="0.3">
      <c r="D80" s="24"/>
      <c r="E80" s="73" t="s">
        <v>540</v>
      </c>
      <c r="F80" s="73" t="str">
        <f>IFERROR(VLOOKUP('Project Compliance Tool'!D4,E71:G77,2,FALSE),"")</f>
        <v/>
      </c>
      <c r="G80" s="73" t="str">
        <f>IFERROR(VLOOKUP('Project Compliance Tool'!D4,E71:G77,3,FALSE),"")</f>
        <v/>
      </c>
      <c r="M80" s="24"/>
      <c r="N80" s="66"/>
    </row>
    <row r="81" spans="4:14" ht="18.75" customHeight="1" x14ac:dyDescent="0.3">
      <c r="D81" s="73"/>
      <c r="E81" s="73" t="s">
        <v>250</v>
      </c>
      <c r="F81" s="73" t="str">
        <f>IF(F79&lt;=F80,"Compliant","Non-compliant")</f>
        <v>Compliant</v>
      </c>
      <c r="G81" s="73" t="str">
        <f>IF(G79&lt;=G80,"Compliant","Non-compliant")</f>
        <v>Compliant</v>
      </c>
      <c r="H81" s="73"/>
      <c r="M81" s="24"/>
      <c r="N81" s="66"/>
    </row>
    <row r="82" spans="4:14" ht="18.75" customHeight="1" x14ac:dyDescent="0.3">
      <c r="D82" s="73"/>
      <c r="H82" s="73"/>
      <c r="M82" s="24"/>
      <c r="N82" s="66"/>
    </row>
    <row r="83" spans="4:14" ht="18.75" customHeight="1" x14ac:dyDescent="0.3">
      <c r="D83" s="73"/>
      <c r="H83" s="73"/>
      <c r="M83" s="24"/>
      <c r="N83" s="66"/>
    </row>
    <row r="84" spans="4:14" ht="18.75" customHeight="1" x14ac:dyDescent="0.3">
      <c r="D84" s="73"/>
      <c r="E84" s="24" t="s">
        <v>541</v>
      </c>
      <c r="F84" s="24" t="str">
        <f>IFERROR(VLOOKUP('Project Compliance Tool'!D4,'Extra look-up'!D87:E95,2,FALSE),"")</f>
        <v/>
      </c>
      <c r="G84" s="78" t="s">
        <v>195</v>
      </c>
      <c r="H84" s="73" t="str">
        <f>IF('Project Compliance Tool'!D4="","Select Programme",IF(AND(F81="Compliant",G81="Compliant"),"Compliant","Non-compliant"))</f>
        <v>Select Programme</v>
      </c>
      <c r="M84" s="24"/>
      <c r="N84" s="66"/>
    </row>
    <row r="85" spans="4:14" ht="18.75" customHeight="1" x14ac:dyDescent="0.3">
      <c r="E85" s="24" t="s">
        <v>542</v>
      </c>
      <c r="G85" s="80" t="s">
        <v>194</v>
      </c>
      <c r="M85" s="24"/>
      <c r="N85" s="66"/>
    </row>
    <row r="86" spans="4:14" ht="18.75" customHeight="1" x14ac:dyDescent="0.3">
      <c r="E86" s="24" t="s">
        <v>543</v>
      </c>
      <c r="G86" s="80" t="s">
        <v>196</v>
      </c>
      <c r="M86" s="24"/>
      <c r="N86" s="66"/>
    </row>
    <row r="87" spans="4:14" ht="18.75" customHeight="1" x14ac:dyDescent="0.3">
      <c r="E87" s="24" t="s">
        <v>544</v>
      </c>
      <c r="G87" s="80" t="s">
        <v>197</v>
      </c>
      <c r="H87" s="78" t="s">
        <v>545</v>
      </c>
      <c r="I87" s="79" t="s">
        <v>546</v>
      </c>
    </row>
    <row r="88" spans="4:14" ht="18.75" customHeight="1" x14ac:dyDescent="0.3">
      <c r="E88" s="17" t="s">
        <v>546</v>
      </c>
      <c r="G88" s="80" t="s">
        <v>547</v>
      </c>
      <c r="H88" s="80" t="s">
        <v>548</v>
      </c>
      <c r="I88" s="80" t="s">
        <v>549</v>
      </c>
      <c r="M88" s="24"/>
      <c r="N88" s="66"/>
    </row>
    <row r="89" spans="4:14" ht="18.75" customHeight="1" x14ac:dyDescent="0.3">
      <c r="D89" s="17" t="s">
        <v>534</v>
      </c>
      <c r="E89" s="17" t="s">
        <v>549</v>
      </c>
      <c r="G89" s="80" t="s">
        <v>550</v>
      </c>
      <c r="H89" s="80" t="s">
        <v>512</v>
      </c>
      <c r="I89" s="80"/>
      <c r="M89" s="24"/>
      <c r="N89" s="66"/>
    </row>
    <row r="90" spans="4:14" ht="18.75" customHeight="1" x14ac:dyDescent="0.3">
      <c r="D90" s="17" t="s">
        <v>535</v>
      </c>
      <c r="E90" s="17" t="s">
        <v>551</v>
      </c>
      <c r="G90" s="80" t="s">
        <v>199</v>
      </c>
      <c r="H90" s="80" t="s">
        <v>197</v>
      </c>
      <c r="I90" s="80"/>
    </row>
    <row r="91" spans="4:14" ht="18.75" customHeight="1" x14ac:dyDescent="0.3">
      <c r="D91" s="17" t="s">
        <v>536</v>
      </c>
      <c r="E91" s="17" t="s">
        <v>552</v>
      </c>
      <c r="G91" s="81" t="s">
        <v>195</v>
      </c>
      <c r="H91" s="80" t="s">
        <v>553</v>
      </c>
      <c r="I91" s="80"/>
    </row>
    <row r="92" spans="4:14" ht="18.75" customHeight="1" x14ac:dyDescent="0.3">
      <c r="D92" s="17" t="s">
        <v>537</v>
      </c>
      <c r="E92" s="24" t="s">
        <v>554</v>
      </c>
      <c r="G92" s="82" t="s">
        <v>194</v>
      </c>
      <c r="H92" s="80" t="s">
        <v>555</v>
      </c>
      <c r="I92" s="80"/>
    </row>
    <row r="93" spans="4:14" ht="18.75" customHeight="1" x14ac:dyDescent="0.3">
      <c r="D93" s="17" t="s">
        <v>158</v>
      </c>
      <c r="E93" s="17"/>
      <c r="G93" s="82" t="s">
        <v>196</v>
      </c>
      <c r="H93" s="80" t="s">
        <v>516</v>
      </c>
      <c r="I93" s="80"/>
    </row>
    <row r="94" spans="4:14" ht="18.75" customHeight="1" x14ac:dyDescent="0.3">
      <c r="D94" s="17" t="s">
        <v>538</v>
      </c>
      <c r="E94" s="17"/>
      <c r="G94" s="82" t="s">
        <v>197</v>
      </c>
      <c r="H94" s="81" t="s">
        <v>545</v>
      </c>
      <c r="I94" s="82" t="s">
        <v>541</v>
      </c>
    </row>
    <row r="95" spans="4:14" ht="18.75" customHeight="1" x14ac:dyDescent="0.3">
      <c r="D95" s="17" t="s">
        <v>556</v>
      </c>
      <c r="E95" s="17"/>
      <c r="G95" s="82" t="s">
        <v>547</v>
      </c>
      <c r="H95" s="82" t="s">
        <v>548</v>
      </c>
      <c r="I95" s="82"/>
    </row>
    <row r="96" spans="4:14" ht="18.75" customHeight="1" x14ac:dyDescent="0.3">
      <c r="E96" s="17"/>
      <c r="G96" s="83" t="s">
        <v>550</v>
      </c>
      <c r="H96" s="82" t="s">
        <v>512</v>
      </c>
      <c r="I96" s="82"/>
    </row>
    <row r="97" spans="5:9" ht="18.75" customHeight="1" x14ac:dyDescent="0.3">
      <c r="G97" s="83" t="s">
        <v>199</v>
      </c>
      <c r="H97" s="82" t="s">
        <v>197</v>
      </c>
      <c r="I97" s="82"/>
    </row>
    <row r="98" spans="5:9" ht="18.75" customHeight="1" x14ac:dyDescent="0.3">
      <c r="G98" s="84" t="s">
        <v>195</v>
      </c>
      <c r="H98" s="82" t="s">
        <v>553</v>
      </c>
      <c r="I98" s="82"/>
    </row>
    <row r="99" spans="5:9" ht="18.75" customHeight="1" x14ac:dyDescent="0.3">
      <c r="G99" s="85" t="s">
        <v>196</v>
      </c>
      <c r="H99" s="83" t="s">
        <v>555</v>
      </c>
      <c r="I99" s="83" t="s">
        <v>542</v>
      </c>
    </row>
    <row r="100" spans="5:9" ht="18.75" customHeight="1" x14ac:dyDescent="0.3">
      <c r="G100" s="85" t="s">
        <v>557</v>
      </c>
      <c r="H100" s="83" t="s">
        <v>516</v>
      </c>
      <c r="I100" s="83"/>
    </row>
    <row r="101" spans="5:9" ht="18.75" customHeight="1" x14ac:dyDescent="0.3">
      <c r="G101" s="85" t="s">
        <v>558</v>
      </c>
      <c r="H101" s="84" t="s">
        <v>545</v>
      </c>
      <c r="I101" s="85" t="s">
        <v>551</v>
      </c>
    </row>
    <row r="102" spans="5:9" ht="18.75" customHeight="1" x14ac:dyDescent="0.3">
      <c r="G102" s="86" t="s">
        <v>196</v>
      </c>
      <c r="H102" s="85" t="s">
        <v>512</v>
      </c>
    </row>
    <row r="103" spans="5:9" ht="18.75" customHeight="1" x14ac:dyDescent="0.3">
      <c r="G103" s="86" t="s">
        <v>550</v>
      </c>
      <c r="H103" s="85" t="s">
        <v>555</v>
      </c>
    </row>
    <row r="104" spans="5:9" ht="18.75" customHeight="1" x14ac:dyDescent="0.3">
      <c r="G104" s="86" t="s">
        <v>199</v>
      </c>
      <c r="H104" s="85" t="s">
        <v>516</v>
      </c>
    </row>
    <row r="105" spans="5:9" ht="18.75" customHeight="1" x14ac:dyDescent="0.3">
      <c r="E105" s="17"/>
      <c r="G105" s="86" t="s">
        <v>547</v>
      </c>
      <c r="H105" s="86" t="s">
        <v>512</v>
      </c>
      <c r="I105" s="86" t="s">
        <v>543</v>
      </c>
    </row>
    <row r="106" spans="5:9" ht="18.75" customHeight="1" x14ac:dyDescent="0.3">
      <c r="E106" s="17"/>
      <c r="G106" s="86" t="s">
        <v>195</v>
      </c>
      <c r="H106" s="86" t="s">
        <v>555</v>
      </c>
      <c r="I106" s="86"/>
    </row>
    <row r="107" spans="5:9" ht="18.75" customHeight="1" x14ac:dyDescent="0.3">
      <c r="G107" s="88" t="s">
        <v>196</v>
      </c>
      <c r="H107" s="86" t="s">
        <v>516</v>
      </c>
      <c r="I107" s="87"/>
    </row>
    <row r="108" spans="5:9" ht="18.75" customHeight="1" x14ac:dyDescent="0.3">
      <c r="G108" s="88" t="s">
        <v>557</v>
      </c>
      <c r="H108" s="86" t="s">
        <v>553</v>
      </c>
      <c r="I108" s="87"/>
    </row>
    <row r="109" spans="5:9" ht="18.75" customHeight="1" x14ac:dyDescent="0.3">
      <c r="G109" s="88" t="s">
        <v>558</v>
      </c>
      <c r="H109" s="86" t="s">
        <v>545</v>
      </c>
      <c r="I109" s="86"/>
    </row>
    <row r="110" spans="5:9" ht="18.75" customHeight="1" x14ac:dyDescent="0.3">
      <c r="G110" s="88" t="s">
        <v>195</v>
      </c>
      <c r="H110" s="88" t="s">
        <v>512</v>
      </c>
      <c r="I110" s="88" t="s">
        <v>552</v>
      </c>
    </row>
    <row r="111" spans="5:9" ht="18.75" customHeight="1" x14ac:dyDescent="0.3">
      <c r="G111" s="89" t="s">
        <v>194</v>
      </c>
      <c r="H111" s="88" t="s">
        <v>555</v>
      </c>
      <c r="I111" s="88"/>
    </row>
    <row r="112" spans="5:9" ht="18.75" customHeight="1" x14ac:dyDescent="0.3">
      <c r="G112" s="89" t="s">
        <v>195</v>
      </c>
      <c r="H112" s="88" t="s">
        <v>516</v>
      </c>
      <c r="I112" s="88"/>
    </row>
    <row r="113" spans="4:9" ht="18.75" customHeight="1" x14ac:dyDescent="0.3">
      <c r="G113" s="89" t="s">
        <v>547</v>
      </c>
      <c r="H113" s="88" t="s">
        <v>545</v>
      </c>
      <c r="I113" s="88"/>
    </row>
    <row r="114" spans="4:9" ht="18.75" customHeight="1" x14ac:dyDescent="0.3">
      <c r="G114" s="89" t="s">
        <v>196</v>
      </c>
      <c r="H114" s="89" t="s">
        <v>548</v>
      </c>
      <c r="I114" s="89" t="s">
        <v>544</v>
      </c>
    </row>
    <row r="115" spans="4:9" ht="18.75" customHeight="1" x14ac:dyDescent="0.3">
      <c r="G115" s="89" t="s">
        <v>550</v>
      </c>
      <c r="H115" s="89" t="s">
        <v>545</v>
      </c>
      <c r="I115" s="89"/>
    </row>
    <row r="116" spans="4:9" ht="18.75" customHeight="1" x14ac:dyDescent="0.3">
      <c r="G116" s="89" t="s">
        <v>199</v>
      </c>
      <c r="H116" s="89" t="s">
        <v>553</v>
      </c>
      <c r="I116" s="89"/>
    </row>
    <row r="117" spans="4:9" ht="18.75" customHeight="1" x14ac:dyDescent="0.3">
      <c r="G117" s="89" t="s">
        <v>197</v>
      </c>
      <c r="H117" s="89" t="s">
        <v>512</v>
      </c>
      <c r="I117" s="89"/>
    </row>
    <row r="118" spans="4:9" ht="18.75" customHeight="1" x14ac:dyDescent="0.3">
      <c r="G118" s="328" t="s">
        <v>194</v>
      </c>
      <c r="H118" s="89" t="s">
        <v>555</v>
      </c>
      <c r="I118" s="89"/>
    </row>
    <row r="119" spans="4:9" ht="18.75" customHeight="1" x14ac:dyDescent="0.3">
      <c r="G119" s="328" t="s">
        <v>196</v>
      </c>
      <c r="H119" s="89" t="s">
        <v>516</v>
      </c>
      <c r="I119" s="89"/>
    </row>
    <row r="120" spans="4:9" ht="18.75" customHeight="1" x14ac:dyDescent="0.3">
      <c r="G120" s="328" t="s">
        <v>197</v>
      </c>
      <c r="H120" s="89" t="s">
        <v>197</v>
      </c>
      <c r="I120" s="89"/>
    </row>
    <row r="121" spans="4:9" ht="18.75" customHeight="1" x14ac:dyDescent="0.3">
      <c r="G121" s="328" t="s">
        <v>547</v>
      </c>
      <c r="H121" s="328" t="s">
        <v>548</v>
      </c>
      <c r="I121" s="328" t="s">
        <v>554</v>
      </c>
    </row>
    <row r="122" spans="4:9" ht="18.75" customHeight="1" x14ac:dyDescent="0.3">
      <c r="G122" s="328" t="s">
        <v>550</v>
      </c>
      <c r="H122" s="328" t="s">
        <v>512</v>
      </c>
      <c r="I122" s="328"/>
    </row>
    <row r="123" spans="4:9" ht="18.75" customHeight="1" x14ac:dyDescent="0.3">
      <c r="G123" s="328" t="s">
        <v>199</v>
      </c>
      <c r="H123" s="328" t="s">
        <v>197</v>
      </c>
      <c r="I123" s="328"/>
    </row>
    <row r="124" spans="4:9" ht="18.75" customHeight="1" x14ac:dyDescent="0.3">
      <c r="H124" s="328" t="s">
        <v>553</v>
      </c>
      <c r="I124" s="328"/>
    </row>
    <row r="125" spans="4:9" ht="18.75" customHeight="1" x14ac:dyDescent="0.3">
      <c r="E125" s="17" t="s">
        <v>559</v>
      </c>
      <c r="F125" s="24" t="s">
        <v>497</v>
      </c>
      <c r="G125" s="24" t="s">
        <v>497</v>
      </c>
      <c r="H125" s="328" t="s">
        <v>555</v>
      </c>
      <c r="I125" s="328"/>
    </row>
    <row r="126" spans="4:9" ht="18.75" customHeight="1" x14ac:dyDescent="0.3">
      <c r="E126" s="17" t="str">
        <f>IFERROR(VLOOKUP(D129,D87:E94,2,FALSE),"")</f>
        <v/>
      </c>
      <c r="F126" s="24">
        <f>'Project Compliance Tool'!$D$5</f>
        <v>0</v>
      </c>
      <c r="G126" s="24" t="e">
        <f>VLOOKUP(F126,G87:H120,2,FALSE)</f>
        <v>#N/A</v>
      </c>
      <c r="H126" s="328" t="s">
        <v>516</v>
      </c>
      <c r="I126" s="328"/>
    </row>
    <row r="127" spans="4:9" ht="18.75" customHeight="1" x14ac:dyDescent="0.3"/>
    <row r="128" spans="4:9" ht="18.75" customHeight="1" x14ac:dyDescent="0.3">
      <c r="D128" s="17" t="s">
        <v>560</v>
      </c>
      <c r="H128" s="69" t="s">
        <v>507</v>
      </c>
    </row>
    <row r="129" spans="4:8" ht="18.75" customHeight="1" x14ac:dyDescent="0.3">
      <c r="D129" s="17">
        <f>'Project Compliance Tool'!$D$4</f>
        <v>0</v>
      </c>
      <c r="H129" s="24" t="str">
        <f ca="1">IF(OR(AND(E106=0,F106=0),AND(E106&lt;&gt;0,F106=0)),"OK",IF(ISERROR(VLOOKUP(F106,INDIRECT(E106),1,FALSE)),"Client Type","OK"))</f>
        <v>OK</v>
      </c>
    </row>
    <row r="130" spans="4:8" ht="18.75" customHeight="1" x14ac:dyDescent="0.3"/>
    <row r="131" spans="4:8" ht="18.75" customHeight="1" x14ac:dyDescent="0.3"/>
    <row r="132" spans="4:8" ht="18.75" customHeight="1" x14ac:dyDescent="0.3"/>
    <row r="133" spans="4:8" ht="18.75" customHeight="1" x14ac:dyDescent="0.3"/>
    <row r="134" spans="4:8" ht="18.75" customHeight="1" x14ac:dyDescent="0.3"/>
    <row r="135" spans="4:8" ht="18.75" customHeight="1" x14ac:dyDescent="0.3"/>
    <row r="136" spans="4:8" ht="18.75" customHeight="1" x14ac:dyDescent="0.3"/>
    <row r="137" spans="4:8" ht="18.75" customHeight="1" x14ac:dyDescent="0.3"/>
    <row r="138" spans="4:8" ht="18.75" customHeight="1" x14ac:dyDescent="0.3"/>
    <row r="139" spans="4:8" ht="18.75" customHeight="1" x14ac:dyDescent="0.3"/>
    <row r="140" spans="4:8" ht="18.75" customHeight="1" x14ac:dyDescent="0.3"/>
    <row r="141" spans="4:8" ht="18.75" customHeight="1" x14ac:dyDescent="0.3"/>
    <row r="142" spans="4:8" ht="18.75" customHeight="1" x14ac:dyDescent="0.3"/>
    <row r="143" spans="4:8" ht="18.75" customHeight="1" x14ac:dyDescent="0.3"/>
    <row r="144" spans="4:8" ht="18.75" customHeight="1" x14ac:dyDescent="0.3"/>
    <row r="145" ht="18.75" customHeight="1" x14ac:dyDescent="0.3"/>
    <row r="146" ht="18.75" customHeight="1" x14ac:dyDescent="0.3"/>
    <row r="147" ht="18.75" customHeight="1" x14ac:dyDescent="0.3"/>
    <row r="148" ht="18.75" customHeight="1" x14ac:dyDescent="0.3"/>
    <row r="149" ht="18.75" customHeight="1" x14ac:dyDescent="0.3"/>
    <row r="150" ht="18.75" customHeight="1" x14ac:dyDescent="0.3"/>
  </sheetData>
  <sheetProtection selectLockedCells="1" selectUnlockedCells="1"/>
  <pageMargins left="0.70866141732283472" right="0.32" top="0.74803149606299213" bottom="0.74803149606299213" header="0.31496062992125984" footer="0.31496062992125984"/>
  <pageSetup paperSize="8" scale="96" fitToWidth="2" fitToHeight="2" orientation="portrait" horizont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AB23"/>
  <sheetViews>
    <sheetView showGridLines="0" topLeftCell="A6" zoomScale="105" zoomScaleNormal="130" workbookViewId="0">
      <selection activeCell="P12" sqref="P12"/>
    </sheetView>
  </sheetViews>
  <sheetFormatPr defaultColWidth="9.1796875" defaultRowHeight="13" x14ac:dyDescent="0.25"/>
  <cols>
    <col min="1" max="1" width="16.54296875" style="45" customWidth="1"/>
    <col min="2" max="9" width="5.54296875" style="45" customWidth="1"/>
    <col min="10" max="10" width="9.54296875" style="45" bestFit="1" customWidth="1"/>
    <col min="11" max="11" width="8.54296875" style="45" customWidth="1"/>
    <col min="12" max="15" width="5.453125" style="45" customWidth="1"/>
    <col min="16" max="16" width="8" style="45" customWidth="1"/>
    <col min="17" max="22" width="5.453125" style="45" customWidth="1"/>
    <col min="23" max="23" width="5" style="45" customWidth="1"/>
    <col min="24" max="34" width="5.453125" style="45" customWidth="1"/>
    <col min="35" max="35" width="5" style="45" customWidth="1"/>
    <col min="36" max="46" width="5.453125" style="45" customWidth="1"/>
    <col min="47" max="16384" width="9.1796875" style="45"/>
  </cols>
  <sheetData>
    <row r="1" spans="1:28" x14ac:dyDescent="0.25">
      <c r="A1" s="44" t="s">
        <v>398</v>
      </c>
    </row>
    <row r="2" spans="1:28" x14ac:dyDescent="0.25">
      <c r="A2" s="46"/>
      <c r="F2" s="47"/>
      <c r="H2" s="48"/>
      <c r="I2" s="49"/>
      <c r="T2" s="50"/>
      <c r="V2" s="51"/>
      <c r="Y2" s="51"/>
      <c r="Z2" s="51"/>
    </row>
    <row r="4" spans="1:28" x14ac:dyDescent="0.25">
      <c r="A4" s="52" t="s">
        <v>399</v>
      </c>
    </row>
    <row r="6" spans="1:28" ht="48" customHeight="1" x14ac:dyDescent="0.25">
      <c r="A6" s="53" t="s">
        <v>400</v>
      </c>
      <c r="B6" s="53" t="s">
        <v>401</v>
      </c>
      <c r="C6" s="53" t="s">
        <v>402</v>
      </c>
      <c r="D6" s="53" t="s">
        <v>403</v>
      </c>
      <c r="E6" s="53" t="s">
        <v>404</v>
      </c>
      <c r="F6" s="53" t="s">
        <v>405</v>
      </c>
      <c r="G6" s="53" t="s">
        <v>406</v>
      </c>
      <c r="H6" s="53" t="s">
        <v>407</v>
      </c>
      <c r="I6" s="53" t="s">
        <v>408</v>
      </c>
      <c r="J6" s="53" t="s">
        <v>409</v>
      </c>
      <c r="K6" s="53" t="s">
        <v>410</v>
      </c>
      <c r="L6" s="53" t="s">
        <v>172</v>
      </c>
      <c r="M6" s="53" t="s">
        <v>173</v>
      </c>
      <c r="N6" s="53" t="s">
        <v>23</v>
      </c>
      <c r="O6" s="53" t="s">
        <v>24</v>
      </c>
      <c r="P6" s="53" t="s">
        <v>411</v>
      </c>
      <c r="Q6" s="53" t="s">
        <v>412</v>
      </c>
      <c r="R6" s="53" t="s">
        <v>413</v>
      </c>
      <c r="S6" s="53" t="s">
        <v>178</v>
      </c>
      <c r="T6" s="53" t="s">
        <v>180</v>
      </c>
      <c r="U6" s="53" t="s">
        <v>414</v>
      </c>
      <c r="V6" s="53" t="s">
        <v>415</v>
      </c>
      <c r="W6" s="53" t="s">
        <v>416</v>
      </c>
      <c r="X6" s="53" t="s">
        <v>186</v>
      </c>
      <c r="Y6" s="53" t="s">
        <v>417</v>
      </c>
      <c r="Z6" s="53" t="s">
        <v>418</v>
      </c>
      <c r="AA6" s="53" t="s">
        <v>419</v>
      </c>
      <c r="AB6" s="53" t="s">
        <v>250</v>
      </c>
    </row>
    <row r="7" spans="1:28" ht="22.5" customHeight="1" x14ac:dyDescent="0.25">
      <c r="A7" s="46" t="str">
        <f>IF($A$2="","",$A$2)</f>
        <v/>
      </c>
      <c r="B7" s="54">
        <f>'Project Compliance Tool'!C9</f>
        <v>0</v>
      </c>
      <c r="C7" s="54">
        <f>'Project Compliance Tool'!D9</f>
        <v>0</v>
      </c>
      <c r="D7" s="90">
        <f>'Project Compliance Tool'!E9</f>
        <v>0</v>
      </c>
      <c r="E7" s="55">
        <f>'Project Compliance Tool'!F9</f>
        <v>0</v>
      </c>
      <c r="F7" s="55">
        <f>'Project Compliance Tool'!G9</f>
        <v>0</v>
      </c>
      <c r="G7" s="56" t="str">
        <f>'Project Compliance Tool'!O65</f>
        <v/>
      </c>
      <c r="H7" s="56">
        <f>'Project Compliance Tool'!N65</f>
        <v>0</v>
      </c>
      <c r="I7" s="57" t="str">
        <f>IFERROR(H7/G7,"")</f>
        <v/>
      </c>
      <c r="J7" s="58">
        <f>IF(SUM($K$14:$K$22)&gt;0,"MPS",C13)</f>
        <v>0</v>
      </c>
      <c r="K7" s="58">
        <f>IF(SUM($K$14:$K$22)&gt;0,"MPS",D13)</f>
        <v>0</v>
      </c>
      <c r="L7" s="58">
        <f>IF(SUM($K$14:$K$22)&gt;0,"MPS",E13)</f>
        <v>0</v>
      </c>
      <c r="M7" s="58" t="str">
        <f>IF(SUM($K$14:$K$22)&gt;0,"MPS",F13)</f>
        <v/>
      </c>
      <c r="N7" s="58">
        <f>IF(SUM($K$14:$K$22)&gt;0,"Multiple Project Types",G13)</f>
        <v>0</v>
      </c>
      <c r="O7" s="58">
        <f>IF(SUM($K$14:$K$22)&gt;0,"MPS",H13)</f>
        <v>0</v>
      </c>
      <c r="P7" s="58">
        <f>IF(SUM($K$14:$K$22)&gt;0,"MPS",I13)</f>
        <v>0</v>
      </c>
      <c r="Q7" s="58">
        <f>IF(SUM($K$14:$K$22)&gt;0,"MPS",J13)</f>
        <v>0</v>
      </c>
      <c r="R7" s="58" t="str">
        <f>IF(SUM($K$14:$K$22)&gt;0,"MPS",K13)</f>
        <v/>
      </c>
      <c r="S7" s="59" t="e">
        <f>IF(R7="MPS","MPS",R7/P7)</f>
        <v>#VALUE!</v>
      </c>
      <c r="T7" s="56" t="str">
        <f>'Project Compliance Tool'!P65</f>
        <v/>
      </c>
      <c r="U7" s="60" t="str">
        <f>'Project Compliance Tool'!Q65</f>
        <v/>
      </c>
      <c r="V7" s="60" t="str">
        <f>'Project Compliance Tool'!R65</f>
        <v/>
      </c>
      <c r="W7" s="60" t="str">
        <f>'Project Compliance Tool'!S65</f>
        <v/>
      </c>
      <c r="X7" s="58" t="str">
        <f>IF(SUM($M$14:$M$22)&gt;0,"MPS",M13)</f>
        <v/>
      </c>
      <c r="Y7" s="61" t="str">
        <f>'Project Compliance Tool'!T65</f>
        <v/>
      </c>
      <c r="Z7" s="61" t="str">
        <f>'Project Compliance Tool'!U65</f>
        <v/>
      </c>
      <c r="AA7" s="56">
        <f>Q23</f>
        <v>0</v>
      </c>
      <c r="AB7" s="61" t="str">
        <f>'Project Compliance Tool'!V65</f>
        <v>Please Select Programme</v>
      </c>
    </row>
    <row r="10" spans="1:28" x14ac:dyDescent="0.25">
      <c r="A10" s="52" t="s">
        <v>421</v>
      </c>
    </row>
    <row r="12" spans="1:28" ht="78" x14ac:dyDescent="0.25">
      <c r="A12" s="53" t="s">
        <v>400</v>
      </c>
      <c r="B12" s="53" t="s">
        <v>422</v>
      </c>
      <c r="C12" s="53" t="s">
        <v>423</v>
      </c>
      <c r="D12" s="53" t="s">
        <v>424</v>
      </c>
      <c r="E12" s="53" t="s">
        <v>172</v>
      </c>
      <c r="F12" s="53" t="s">
        <v>173</v>
      </c>
      <c r="G12" s="53" t="s">
        <v>23</v>
      </c>
      <c r="H12" s="53" t="s">
        <v>174</v>
      </c>
      <c r="I12" s="53" t="s">
        <v>175</v>
      </c>
      <c r="J12" s="53" t="s">
        <v>176</v>
      </c>
      <c r="K12" s="53" t="s">
        <v>177</v>
      </c>
      <c r="L12" s="53" t="s">
        <v>178</v>
      </c>
      <c r="M12" s="53" t="s">
        <v>186</v>
      </c>
      <c r="N12" s="53" t="s">
        <v>425</v>
      </c>
      <c r="O12" s="53" t="s">
        <v>416</v>
      </c>
      <c r="P12" s="53" t="s">
        <v>426</v>
      </c>
      <c r="Q12" s="53" t="s">
        <v>419</v>
      </c>
      <c r="R12" s="53" t="s">
        <v>427</v>
      </c>
      <c r="T12" s="53" t="s">
        <v>428</v>
      </c>
      <c r="U12" s="53" t="s">
        <v>429</v>
      </c>
    </row>
    <row r="13" spans="1:28" ht="91" x14ac:dyDescent="0.25">
      <c r="A13" s="46" t="str">
        <f>IF($A$2="","",$A$2)</f>
        <v/>
      </c>
      <c r="B13" s="46" t="e">
        <f>U13&amp;T13&amp;$A$2</f>
        <v>#N/A</v>
      </c>
      <c r="C13" s="46">
        <f>'Project Compliance Tool'!D12</f>
        <v>0</v>
      </c>
      <c r="D13" s="62">
        <f>'Project Compliance Tool'!E12</f>
        <v>0</v>
      </c>
      <c r="E13" s="62">
        <f>'Project Compliance Tool'!F12</f>
        <v>0</v>
      </c>
      <c r="F13" s="62" t="str">
        <f>'Project Compliance Tool'!G12</f>
        <v/>
      </c>
      <c r="G13" s="46">
        <f>'Project Compliance Tool'!H12</f>
        <v>0</v>
      </c>
      <c r="H13" s="46">
        <f>'Project Compliance Tool'!I12</f>
        <v>0</v>
      </c>
      <c r="I13" s="62">
        <f>'Project Compliance Tool'!K12</f>
        <v>0</v>
      </c>
      <c r="J13" s="62">
        <f>'Project Compliance Tool'!L12</f>
        <v>0</v>
      </c>
      <c r="K13" s="62" t="str">
        <f>'Project Compliance Tool'!M12</f>
        <v/>
      </c>
      <c r="L13" s="63">
        <f>'Project Compliance Tool'!N12</f>
        <v>0</v>
      </c>
      <c r="M13" s="62" t="str">
        <f>'Project Compliance Tool'!W12</f>
        <v/>
      </c>
      <c r="N13" s="56" t="str">
        <f>'Project Compliance Tool'!P12</f>
        <v/>
      </c>
      <c r="O13" s="62" t="str">
        <f>'Project Compliance Tool'!S12</f>
        <v/>
      </c>
      <c r="P13" s="62" t="str">
        <f>'Project Compliance Tool'!T12</f>
        <v/>
      </c>
      <c r="Q13" s="56" t="str">
        <f>IFERROR(N13*M13,"")</f>
        <v/>
      </c>
      <c r="R13" s="56">
        <f>'Project Compliance Tool'!O12</f>
        <v>0</v>
      </c>
      <c r="T13" s="46">
        <f>COUNTIF($U$13:U13,U13)</f>
        <v>1</v>
      </c>
      <c r="U13" s="46" t="e">
        <f>VLOOKUP(C13,'Eligible Technologies'!$J$17:$Q$26,7,FALSE)</f>
        <v>#N/A</v>
      </c>
      <c r="V13" s="64">
        <f t="shared" ref="V13:V22" si="0">IF(LEN(TRIM(C13))=0,0,LEN(TRIM(C13))-LEN(SUBSTITUTE(C13," ",""))+1)</f>
        <v>1</v>
      </c>
      <c r="W13" s="64" t="e">
        <f>RIGHT(C13,LEN(C13)-FIND("^^",SUBSTITUTE(C13," ",
"^^",LEN(C13)-LEN(SUBSTITUTE(C13," ","")))))</f>
        <v>#VALUE!</v>
      </c>
    </row>
    <row r="14" spans="1:28" ht="91" x14ac:dyDescent="0.25">
      <c r="A14" s="46" t="str">
        <f t="shared" ref="A14:A22" si="1">IF($A$2="","",$A$2)</f>
        <v/>
      </c>
      <c r="B14" s="46" t="e">
        <f>U14&amp;T14&amp;$A$2</f>
        <v>#N/A</v>
      </c>
      <c r="C14" s="46">
        <f>'Project Compliance Tool'!D13</f>
        <v>0</v>
      </c>
      <c r="D14" s="62">
        <f>'Project Compliance Tool'!E13</f>
        <v>0</v>
      </c>
      <c r="E14" s="62">
        <f>'Project Compliance Tool'!F13</f>
        <v>0</v>
      </c>
      <c r="F14" s="62" t="str">
        <f>'Project Compliance Tool'!G13</f>
        <v/>
      </c>
      <c r="G14" s="46">
        <f>'Project Compliance Tool'!H13</f>
        <v>0</v>
      </c>
      <c r="H14" s="46">
        <f>'Project Compliance Tool'!I13</f>
        <v>0</v>
      </c>
      <c r="I14" s="62">
        <f>'Project Compliance Tool'!K13</f>
        <v>0</v>
      </c>
      <c r="J14" s="62">
        <f>'Project Compliance Tool'!L13</f>
        <v>0</v>
      </c>
      <c r="K14" s="62" t="str">
        <f>'Project Compliance Tool'!M13</f>
        <v/>
      </c>
      <c r="L14" s="63">
        <f>'Project Compliance Tool'!N13</f>
        <v>0</v>
      </c>
      <c r="M14" s="62" t="str">
        <f>'Project Compliance Tool'!W13</f>
        <v/>
      </c>
      <c r="N14" s="56" t="str">
        <f>'Project Compliance Tool'!P13</f>
        <v/>
      </c>
      <c r="O14" s="62" t="str">
        <f>'Project Compliance Tool'!S13</f>
        <v/>
      </c>
      <c r="P14" s="62" t="str">
        <f>'Project Compliance Tool'!T13</f>
        <v/>
      </c>
      <c r="Q14" s="56" t="str">
        <f t="shared" ref="Q14:Q22" si="2">IFERROR(N14*M14,"")</f>
        <v/>
      </c>
      <c r="R14" s="56">
        <f>'Project Compliance Tool'!O13</f>
        <v>0</v>
      </c>
      <c r="T14" s="46">
        <f>COUNTIF($U$13:U14,U14)</f>
        <v>2</v>
      </c>
      <c r="U14" s="46" t="e">
        <f>VLOOKUP(C14,'Eligible Technologies'!$J$17:$Q$26,7,FALSE)</f>
        <v>#N/A</v>
      </c>
      <c r="V14" s="64">
        <f t="shared" si="0"/>
        <v>1</v>
      </c>
      <c r="W14" s="64" t="e">
        <f>RIGHT(C14,LEN(C14)-FIND("^^",SUBSTITUTE(C14," ",
"^^",LEN(C14)-LEN(SUBSTITUTE(C14," ","")))))</f>
        <v>#VALUE!</v>
      </c>
    </row>
    <row r="15" spans="1:28" x14ac:dyDescent="0.25">
      <c r="A15" s="46" t="str">
        <f t="shared" si="1"/>
        <v/>
      </c>
      <c r="B15" s="46" t="e">
        <f t="shared" ref="B15:B22" si="3">U15&amp;T15&amp;$A$2</f>
        <v>#N/A</v>
      </c>
      <c r="C15" s="46">
        <f>'Project Compliance Tool'!D14</f>
        <v>0</v>
      </c>
      <c r="D15" s="62">
        <f>'Project Compliance Tool'!E14</f>
        <v>0</v>
      </c>
      <c r="E15" s="62">
        <f>'Project Compliance Tool'!F14</f>
        <v>0</v>
      </c>
      <c r="F15" s="62" t="str">
        <f>'Project Compliance Tool'!G14</f>
        <v/>
      </c>
      <c r="G15" s="46">
        <f>'Project Compliance Tool'!H14</f>
        <v>0</v>
      </c>
      <c r="H15" s="46">
        <f>'Project Compliance Tool'!I14</f>
        <v>0</v>
      </c>
      <c r="I15" s="62">
        <f>'Project Compliance Tool'!K14</f>
        <v>0</v>
      </c>
      <c r="J15" s="62">
        <f>'Project Compliance Tool'!L14</f>
        <v>0</v>
      </c>
      <c r="K15" s="62" t="str">
        <f>'Project Compliance Tool'!M14</f>
        <v/>
      </c>
      <c r="L15" s="63">
        <f>'Project Compliance Tool'!N14</f>
        <v>0</v>
      </c>
      <c r="M15" s="62" t="str">
        <f>'Project Compliance Tool'!W14</f>
        <v/>
      </c>
      <c r="N15" s="56" t="str">
        <f>'Project Compliance Tool'!P14</f>
        <v/>
      </c>
      <c r="O15" s="62" t="str">
        <f>'Project Compliance Tool'!S14</f>
        <v/>
      </c>
      <c r="P15" s="62" t="str">
        <f>'Project Compliance Tool'!T14</f>
        <v/>
      </c>
      <c r="Q15" s="56" t="str">
        <f t="shared" si="2"/>
        <v/>
      </c>
      <c r="R15" s="56">
        <f>'Project Compliance Tool'!O14</f>
        <v>0</v>
      </c>
      <c r="T15" s="46">
        <f>COUNTIF($U$13:U15,U15)</f>
        <v>3</v>
      </c>
      <c r="U15" s="46" t="e">
        <f>VLOOKUP(C15,'Eligible Technologies'!$J$17:$Q$26,7,FALSE)</f>
        <v>#N/A</v>
      </c>
      <c r="V15" s="64">
        <f t="shared" si="0"/>
        <v>1</v>
      </c>
      <c r="W15" s="64" t="e">
        <f>RIGHT(C15,LEN(C15)-FIND("^^",SUBSTITUTE(C15," ",
"^^",LEN(C15)-LEN(SUBSTITUTE(C15," ","")))))</f>
        <v>#VALUE!</v>
      </c>
    </row>
    <row r="16" spans="1:28" x14ac:dyDescent="0.25">
      <c r="A16" s="46" t="str">
        <f t="shared" si="1"/>
        <v/>
      </c>
      <c r="B16" s="46" t="e">
        <f t="shared" si="3"/>
        <v>#N/A</v>
      </c>
      <c r="C16" s="46">
        <f>'Project Compliance Tool'!D15</f>
        <v>0</v>
      </c>
      <c r="D16" s="62">
        <f>'Project Compliance Tool'!E15</f>
        <v>0</v>
      </c>
      <c r="E16" s="62">
        <f>'Project Compliance Tool'!F15</f>
        <v>0</v>
      </c>
      <c r="F16" s="62" t="str">
        <f>'Project Compliance Tool'!G15</f>
        <v/>
      </c>
      <c r="G16" s="46">
        <f>'Project Compliance Tool'!H15</f>
        <v>0</v>
      </c>
      <c r="H16" s="46">
        <f>'Project Compliance Tool'!I15</f>
        <v>0</v>
      </c>
      <c r="I16" s="62">
        <f>'Project Compliance Tool'!K15</f>
        <v>0</v>
      </c>
      <c r="J16" s="62">
        <f>'Project Compliance Tool'!L15</f>
        <v>0</v>
      </c>
      <c r="K16" s="62" t="str">
        <f>'Project Compliance Tool'!M15</f>
        <v/>
      </c>
      <c r="L16" s="63">
        <f>'Project Compliance Tool'!N15</f>
        <v>0</v>
      </c>
      <c r="M16" s="62" t="str">
        <f>'Project Compliance Tool'!W15</f>
        <v/>
      </c>
      <c r="N16" s="56" t="str">
        <f>'Project Compliance Tool'!P15</f>
        <v/>
      </c>
      <c r="O16" s="62" t="str">
        <f>'Project Compliance Tool'!S15</f>
        <v/>
      </c>
      <c r="P16" s="62" t="str">
        <f>'Project Compliance Tool'!T15</f>
        <v/>
      </c>
      <c r="Q16" s="56" t="str">
        <f t="shared" si="2"/>
        <v/>
      </c>
      <c r="R16" s="56">
        <f>'Project Compliance Tool'!O15</f>
        <v>0</v>
      </c>
      <c r="T16" s="46">
        <f>COUNTIF($U$13:U16,U16)</f>
        <v>4</v>
      </c>
      <c r="U16" s="46" t="e">
        <f>VLOOKUP(C16,'Eligible Technologies'!$J$17:$Q$26,7,FALSE)</f>
        <v>#N/A</v>
      </c>
      <c r="V16" s="64">
        <f t="shared" si="0"/>
        <v>1</v>
      </c>
      <c r="W16" s="64" t="e">
        <f>RIGHT(C16,LEN(C16)-FIND("^^",SUBSTITUTE(C16," ",
"^^",LEN(C16)-LEN(SUBSTITUTE(C16," ","")))))</f>
        <v>#VALUE!</v>
      </c>
    </row>
    <row r="17" spans="1:23" x14ac:dyDescent="0.25">
      <c r="A17" s="46" t="str">
        <f t="shared" si="1"/>
        <v/>
      </c>
      <c r="B17" s="46" t="e">
        <f t="shared" si="3"/>
        <v>#N/A</v>
      </c>
      <c r="C17" s="46">
        <f>'Project Compliance Tool'!D16</f>
        <v>0</v>
      </c>
      <c r="D17" s="62">
        <f>'Project Compliance Tool'!E16</f>
        <v>0</v>
      </c>
      <c r="E17" s="62">
        <f>'Project Compliance Tool'!F16</f>
        <v>0</v>
      </c>
      <c r="F17" s="62" t="str">
        <f>'Project Compliance Tool'!G16</f>
        <v/>
      </c>
      <c r="G17" s="46">
        <f>'Project Compliance Tool'!H16</f>
        <v>0</v>
      </c>
      <c r="H17" s="46">
        <f>'Project Compliance Tool'!I16</f>
        <v>0</v>
      </c>
      <c r="I17" s="62">
        <f>'Project Compliance Tool'!K16</f>
        <v>0</v>
      </c>
      <c r="J17" s="62">
        <f>'Project Compliance Tool'!L16</f>
        <v>0</v>
      </c>
      <c r="K17" s="62" t="str">
        <f>'Project Compliance Tool'!M16</f>
        <v/>
      </c>
      <c r="L17" s="63">
        <f>'Project Compliance Tool'!N16</f>
        <v>0</v>
      </c>
      <c r="M17" s="62" t="str">
        <f>'Project Compliance Tool'!W16</f>
        <v/>
      </c>
      <c r="N17" s="56" t="str">
        <f>'Project Compliance Tool'!P16</f>
        <v/>
      </c>
      <c r="O17" s="62" t="str">
        <f>'Project Compliance Tool'!S16</f>
        <v/>
      </c>
      <c r="P17" s="62" t="str">
        <f>'Project Compliance Tool'!T16</f>
        <v/>
      </c>
      <c r="Q17" s="56" t="str">
        <f t="shared" si="2"/>
        <v/>
      </c>
      <c r="R17" s="56">
        <f>'Project Compliance Tool'!O16</f>
        <v>0</v>
      </c>
      <c r="T17" s="46">
        <f>COUNTIF($U$13:U17,U17)</f>
        <v>5</v>
      </c>
      <c r="U17" s="46" t="e">
        <f>VLOOKUP(C17,'Eligible Technologies'!$J$17:$Q$26,7,FALSE)</f>
        <v>#N/A</v>
      </c>
      <c r="V17" s="64">
        <f t="shared" si="0"/>
        <v>1</v>
      </c>
      <c r="W17" s="64" t="e">
        <f t="shared" ref="W17:W22" si="4">RIGHT(C17,LEN(C17)-FIND("^^",SUBSTITUTE(C17," ",
"^^",LEN(C17)-LEN(SUBSTITUTE(C17," ","")))))</f>
        <v>#VALUE!</v>
      </c>
    </row>
    <row r="18" spans="1:23" x14ac:dyDescent="0.25">
      <c r="A18" s="46" t="str">
        <f t="shared" si="1"/>
        <v/>
      </c>
      <c r="B18" s="46" t="e">
        <f t="shared" si="3"/>
        <v>#N/A</v>
      </c>
      <c r="C18" s="46">
        <f>'Project Compliance Tool'!D17</f>
        <v>0</v>
      </c>
      <c r="D18" s="62">
        <f>'Project Compliance Tool'!E17</f>
        <v>0</v>
      </c>
      <c r="E18" s="62">
        <f>'Project Compliance Tool'!F17</f>
        <v>0</v>
      </c>
      <c r="F18" s="62" t="str">
        <f>'Project Compliance Tool'!G17</f>
        <v/>
      </c>
      <c r="G18" s="46">
        <f>'Project Compliance Tool'!H17</f>
        <v>0</v>
      </c>
      <c r="H18" s="46">
        <f>'Project Compliance Tool'!I17</f>
        <v>0</v>
      </c>
      <c r="I18" s="62">
        <f>'Project Compliance Tool'!K17</f>
        <v>0</v>
      </c>
      <c r="J18" s="62">
        <f>'Project Compliance Tool'!L17</f>
        <v>0</v>
      </c>
      <c r="K18" s="62" t="str">
        <f>'Project Compliance Tool'!M17</f>
        <v/>
      </c>
      <c r="L18" s="63">
        <f>'Project Compliance Tool'!N17</f>
        <v>0</v>
      </c>
      <c r="M18" s="62" t="str">
        <f>'Project Compliance Tool'!W17</f>
        <v/>
      </c>
      <c r="N18" s="56" t="str">
        <f>'Project Compliance Tool'!P17</f>
        <v/>
      </c>
      <c r="O18" s="62" t="str">
        <f>'Project Compliance Tool'!S17</f>
        <v/>
      </c>
      <c r="P18" s="62" t="str">
        <f>'Project Compliance Tool'!T17</f>
        <v/>
      </c>
      <c r="Q18" s="56" t="str">
        <f t="shared" si="2"/>
        <v/>
      </c>
      <c r="R18" s="56">
        <f>'Project Compliance Tool'!O17</f>
        <v>0</v>
      </c>
      <c r="T18" s="46">
        <f>COUNTIF($U$13:U18,U18)</f>
        <v>6</v>
      </c>
      <c r="U18" s="46" t="e">
        <f>VLOOKUP(C18,'Eligible Technologies'!$J$17:$Q$26,7,FALSE)</f>
        <v>#N/A</v>
      </c>
      <c r="V18" s="64">
        <f t="shared" si="0"/>
        <v>1</v>
      </c>
      <c r="W18" s="64" t="e">
        <f t="shared" si="4"/>
        <v>#VALUE!</v>
      </c>
    </row>
    <row r="19" spans="1:23" x14ac:dyDescent="0.25">
      <c r="A19" s="46" t="str">
        <f t="shared" si="1"/>
        <v/>
      </c>
      <c r="B19" s="46" t="e">
        <f t="shared" si="3"/>
        <v>#N/A</v>
      </c>
      <c r="C19" s="46">
        <f>'Project Compliance Tool'!D18</f>
        <v>0</v>
      </c>
      <c r="D19" s="62">
        <f>'Project Compliance Tool'!E18</f>
        <v>0</v>
      </c>
      <c r="E19" s="62">
        <f>'Project Compliance Tool'!F18</f>
        <v>0</v>
      </c>
      <c r="F19" s="62" t="str">
        <f>'Project Compliance Tool'!G18</f>
        <v/>
      </c>
      <c r="G19" s="46">
        <f>'Project Compliance Tool'!H18</f>
        <v>0</v>
      </c>
      <c r="H19" s="46">
        <f>'Project Compliance Tool'!I18</f>
        <v>0</v>
      </c>
      <c r="I19" s="62">
        <f>'Project Compliance Tool'!K18</f>
        <v>0</v>
      </c>
      <c r="J19" s="62">
        <f>'Project Compliance Tool'!L18</f>
        <v>0</v>
      </c>
      <c r="K19" s="62" t="str">
        <f>'Project Compliance Tool'!M18</f>
        <v/>
      </c>
      <c r="L19" s="63">
        <f>'Project Compliance Tool'!N18</f>
        <v>0</v>
      </c>
      <c r="M19" s="62" t="str">
        <f>'Project Compliance Tool'!W18</f>
        <v/>
      </c>
      <c r="N19" s="56" t="str">
        <f>'Project Compliance Tool'!P18</f>
        <v/>
      </c>
      <c r="O19" s="62" t="str">
        <f>'Project Compliance Tool'!S18</f>
        <v/>
      </c>
      <c r="P19" s="62" t="str">
        <f>'Project Compliance Tool'!T18</f>
        <v/>
      </c>
      <c r="Q19" s="56" t="str">
        <f t="shared" si="2"/>
        <v/>
      </c>
      <c r="R19" s="56">
        <f>'Project Compliance Tool'!O18</f>
        <v>0</v>
      </c>
      <c r="T19" s="46">
        <f>COUNTIF($U$13:U19,U19)</f>
        <v>7</v>
      </c>
      <c r="U19" s="46" t="e">
        <f>VLOOKUP(C19,'Eligible Technologies'!$J$17:$Q$26,7,FALSE)</f>
        <v>#N/A</v>
      </c>
      <c r="V19" s="64">
        <f t="shared" si="0"/>
        <v>1</v>
      </c>
      <c r="W19" s="64" t="e">
        <f t="shared" si="4"/>
        <v>#VALUE!</v>
      </c>
    </row>
    <row r="20" spans="1:23" x14ac:dyDescent="0.25">
      <c r="A20" s="46" t="str">
        <f t="shared" si="1"/>
        <v/>
      </c>
      <c r="B20" s="46" t="e">
        <f t="shared" si="3"/>
        <v>#N/A</v>
      </c>
      <c r="C20" s="46">
        <f>'Project Compliance Tool'!D19</f>
        <v>0</v>
      </c>
      <c r="D20" s="62">
        <f>'Project Compliance Tool'!E19</f>
        <v>0</v>
      </c>
      <c r="E20" s="62">
        <f>'Project Compliance Tool'!F19</f>
        <v>0</v>
      </c>
      <c r="F20" s="62" t="str">
        <f>'Project Compliance Tool'!G19</f>
        <v/>
      </c>
      <c r="G20" s="46">
        <f>'Project Compliance Tool'!H19</f>
        <v>0</v>
      </c>
      <c r="H20" s="46">
        <f>'Project Compliance Tool'!I19</f>
        <v>0</v>
      </c>
      <c r="I20" s="62">
        <f>'Project Compliance Tool'!K19</f>
        <v>0</v>
      </c>
      <c r="J20" s="62">
        <f>'Project Compliance Tool'!L19</f>
        <v>0</v>
      </c>
      <c r="K20" s="62" t="str">
        <f>'Project Compliance Tool'!M19</f>
        <v/>
      </c>
      <c r="L20" s="63">
        <f>'Project Compliance Tool'!N19</f>
        <v>0</v>
      </c>
      <c r="M20" s="62" t="str">
        <f>'Project Compliance Tool'!W19</f>
        <v/>
      </c>
      <c r="N20" s="56" t="str">
        <f>'Project Compliance Tool'!P19</f>
        <v/>
      </c>
      <c r="O20" s="62" t="str">
        <f>'Project Compliance Tool'!S19</f>
        <v/>
      </c>
      <c r="P20" s="62" t="str">
        <f>'Project Compliance Tool'!T19</f>
        <v/>
      </c>
      <c r="Q20" s="56" t="str">
        <f t="shared" si="2"/>
        <v/>
      </c>
      <c r="R20" s="56">
        <f>'Project Compliance Tool'!O19</f>
        <v>0</v>
      </c>
      <c r="T20" s="46">
        <f>COUNTIF($U$13:U20,U20)</f>
        <v>8</v>
      </c>
      <c r="U20" s="46" t="e">
        <f>VLOOKUP(C20,'Eligible Technologies'!$J$17:$Q$26,7,FALSE)</f>
        <v>#N/A</v>
      </c>
      <c r="V20" s="64">
        <f t="shared" si="0"/>
        <v>1</v>
      </c>
      <c r="W20" s="64" t="e">
        <f t="shared" si="4"/>
        <v>#VALUE!</v>
      </c>
    </row>
    <row r="21" spans="1:23" x14ac:dyDescent="0.25">
      <c r="A21" s="46" t="str">
        <f t="shared" si="1"/>
        <v/>
      </c>
      <c r="B21" s="46" t="e">
        <f t="shared" si="3"/>
        <v>#N/A</v>
      </c>
      <c r="C21" s="46">
        <f>'Project Compliance Tool'!D20</f>
        <v>0</v>
      </c>
      <c r="D21" s="62">
        <f>'Project Compliance Tool'!E20</f>
        <v>0</v>
      </c>
      <c r="E21" s="62">
        <f>'Project Compliance Tool'!F20</f>
        <v>0</v>
      </c>
      <c r="F21" s="62" t="str">
        <f>'Project Compliance Tool'!G20</f>
        <v/>
      </c>
      <c r="G21" s="46">
        <f>'Project Compliance Tool'!H20</f>
        <v>0</v>
      </c>
      <c r="H21" s="46">
        <f>'Project Compliance Tool'!I20</f>
        <v>0</v>
      </c>
      <c r="I21" s="62">
        <f>'Project Compliance Tool'!K20</f>
        <v>0</v>
      </c>
      <c r="J21" s="62">
        <f>'Project Compliance Tool'!L20</f>
        <v>0</v>
      </c>
      <c r="K21" s="62" t="str">
        <f>'Project Compliance Tool'!M20</f>
        <v/>
      </c>
      <c r="L21" s="63">
        <f>'Project Compliance Tool'!N20</f>
        <v>0</v>
      </c>
      <c r="M21" s="62" t="str">
        <f>'Project Compliance Tool'!W20</f>
        <v/>
      </c>
      <c r="N21" s="56" t="str">
        <f>'Project Compliance Tool'!P20</f>
        <v/>
      </c>
      <c r="O21" s="62" t="str">
        <f>'Project Compliance Tool'!S20</f>
        <v/>
      </c>
      <c r="P21" s="62" t="str">
        <f>'Project Compliance Tool'!T20</f>
        <v/>
      </c>
      <c r="Q21" s="56" t="str">
        <f t="shared" si="2"/>
        <v/>
      </c>
      <c r="R21" s="56">
        <f>'Project Compliance Tool'!O20</f>
        <v>0</v>
      </c>
      <c r="T21" s="46">
        <f>COUNTIF($U$13:U21,U21)</f>
        <v>9</v>
      </c>
      <c r="U21" s="46" t="e">
        <f>VLOOKUP(C21,'Eligible Technologies'!$J$17:$Q$26,7,FALSE)</f>
        <v>#N/A</v>
      </c>
      <c r="V21" s="64">
        <f t="shared" si="0"/>
        <v>1</v>
      </c>
      <c r="W21" s="64" t="e">
        <f t="shared" si="4"/>
        <v>#VALUE!</v>
      </c>
    </row>
    <row r="22" spans="1:23" ht="91" x14ac:dyDescent="0.25">
      <c r="A22" s="46" t="str">
        <f t="shared" si="1"/>
        <v/>
      </c>
      <c r="B22" s="46" t="e">
        <f t="shared" si="3"/>
        <v>#N/A</v>
      </c>
      <c r="C22" s="46">
        <f>'Project Compliance Tool'!D61</f>
        <v>0</v>
      </c>
      <c r="D22" s="62">
        <f>'Project Compliance Tool'!E61</f>
        <v>0</v>
      </c>
      <c r="E22" s="62">
        <f>'Project Compliance Tool'!F61</f>
        <v>0</v>
      </c>
      <c r="F22" s="62" t="str">
        <f>'Project Compliance Tool'!G61</f>
        <v/>
      </c>
      <c r="G22" s="46" t="str">
        <f>'Project Compliance Tool'!H61</f>
        <v>Lab upgrades</v>
      </c>
      <c r="H22" s="46" t="str">
        <f>'Project Compliance Tool'!I61</f>
        <v>Energy efficient drying cabinets</v>
      </c>
      <c r="I22" s="62">
        <f>'Project Compliance Tool'!K61</f>
        <v>0</v>
      </c>
      <c r="J22" s="62">
        <f>'Project Compliance Tool'!L61</f>
        <v>0</v>
      </c>
      <c r="K22" s="62" t="str">
        <f>'Project Compliance Tool'!M61</f>
        <v/>
      </c>
      <c r="L22" s="63">
        <f>'Project Compliance Tool'!N61</f>
        <v>0</v>
      </c>
      <c r="M22" s="62">
        <f>'Project Compliance Tool'!W61</f>
        <v>0</v>
      </c>
      <c r="N22" s="56" t="str">
        <f>'Project Compliance Tool'!P61</f>
        <v/>
      </c>
      <c r="O22" s="62" t="str">
        <f>'Project Compliance Tool'!S61</f>
        <v/>
      </c>
      <c r="P22" s="62" t="str">
        <f>'Project Compliance Tool'!T61</f>
        <v/>
      </c>
      <c r="Q22" s="56" t="str">
        <f t="shared" si="2"/>
        <v/>
      </c>
      <c r="R22" s="56">
        <f>'Project Compliance Tool'!O61</f>
        <v>0</v>
      </c>
      <c r="T22" s="46">
        <f>COUNTIF($U$13:U22,U22)</f>
        <v>10</v>
      </c>
      <c r="U22" s="46" t="e">
        <f>VLOOKUP(C22,'Eligible Technologies'!$J$17:$Q$26,7,FALSE)</f>
        <v>#N/A</v>
      </c>
      <c r="V22" s="64">
        <f t="shared" si="0"/>
        <v>1</v>
      </c>
      <c r="W22" s="64" t="e">
        <f t="shared" si="4"/>
        <v>#VALUE!</v>
      </c>
    </row>
    <row r="23" spans="1:23" x14ac:dyDescent="0.25">
      <c r="N23" s="56">
        <f>SUM(N13:N22)</f>
        <v>0</v>
      </c>
      <c r="O23" s="61">
        <f>SUM(O13:O22)</f>
        <v>0</v>
      </c>
      <c r="P23" s="61">
        <f>SUM(P13:P22)</f>
        <v>0</v>
      </c>
      <c r="Q23" s="56">
        <f>SUM(Q13:Q22)</f>
        <v>0</v>
      </c>
      <c r="R23" s="56">
        <f>SUM(R13:R22)</f>
        <v>0</v>
      </c>
    </row>
  </sheetData>
  <sheetProtection algorithmName="SHA-512" hashValue="4rKqlHARhD06BatU2PsWe5IG/5XyWpDZu/AFl7uQMXt7S7lBXVUPxDK55xpP05CaFH99+weT+tfwGi6pWG13VQ==" saltValue="Gpb0DpCDQRrhsKMCsXELIA==" spinCount="100000" sheet="1" formatColumns="0" formatRows="0"/>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A13E7C1E30204BB133EAE7FAFD52CA" ma:contentTypeVersion="19" ma:contentTypeDescription="Create a new document." ma:contentTypeScope="" ma:versionID="c77c6467de44cb8fc7f0fde5854580d4">
  <xsd:schema xmlns:xsd="http://www.w3.org/2001/XMLSchema" xmlns:xs="http://www.w3.org/2001/XMLSchema" xmlns:p="http://schemas.microsoft.com/office/2006/metadata/properties" xmlns:ns2="8db9bdd8-629b-441c-9eb6-e46a2e9dae03" xmlns:ns3="96adaec6-6188-43bf-aec5-291c802dcb1b" xmlns:ns4="35b6a7de-9e1a-4b3d-8e58-e2a3da2946eb" targetNamespace="http://schemas.microsoft.com/office/2006/metadata/properties" ma:root="true" ma:fieldsID="29b2f8d8a6a82e030be3aa145187c683" ns2:_="" ns3:_="" ns4:_="">
    <xsd:import namespace="8db9bdd8-629b-441c-9eb6-e46a2e9dae03"/>
    <xsd:import namespace="96adaec6-6188-43bf-aec5-291c802dcb1b"/>
    <xsd:import namespace="35b6a7de-9e1a-4b3d-8e58-e2a3da2946e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Location"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9bdd8-629b-441c-9eb6-e46a2e9dae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7408edb-d5a2-42de-bdcd-94a07c4505a8"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daec6-6188-43bf-aec5-291c802dcb1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b6a7de-9e1a-4b3d-8e58-e2a3da2946eb"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9f097f90-d0c6-418f-9a4f-3aeff3717b8c}" ma:internalName="TaxCatchAll" ma:showField="CatchAllData" ma:web="35b6a7de-9e1a-4b3d-8e58-e2a3da2946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5b6a7de-9e1a-4b3d-8e58-e2a3da2946eb" xsi:nil="true"/>
    <lcf76f155ced4ddcb4097134ff3c332f xmlns="8db9bdd8-629b-441c-9eb6-e46a2e9dae0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4467DEC-AD0B-48EE-ADDE-3347561FF3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9bdd8-629b-441c-9eb6-e46a2e9dae03"/>
    <ds:schemaRef ds:uri="96adaec6-6188-43bf-aec5-291c802dcb1b"/>
    <ds:schemaRef ds:uri="35b6a7de-9e1a-4b3d-8e58-e2a3da2946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A57CAA-3A4F-47BC-983E-3393C2670588}">
  <ds:schemaRefs>
    <ds:schemaRef ds:uri="http://schemas.microsoft.com/sharepoint/v3/contenttype/forms"/>
  </ds:schemaRefs>
</ds:datastoreItem>
</file>

<file path=customXml/itemProps3.xml><?xml version="1.0" encoding="utf-8"?>
<ds:datastoreItem xmlns:ds="http://schemas.openxmlformats.org/officeDocument/2006/customXml" ds:itemID="{51095DF9-7D38-434A-BE17-31AE48FEAC77}">
  <ds:schemaRefs>
    <ds:schemaRef ds:uri="96adaec6-6188-43bf-aec5-291c802dcb1b"/>
    <ds:schemaRef ds:uri="http://schemas.openxmlformats.org/package/2006/metadata/core-properties"/>
    <ds:schemaRef ds:uri="http://schemas.microsoft.com/office/2006/metadata/properties"/>
    <ds:schemaRef ds:uri="http://purl.org/dc/elements/1.1/"/>
    <ds:schemaRef ds:uri="http://purl.org/dc/dcmitype/"/>
    <ds:schemaRef ds:uri="http://purl.org/dc/terms/"/>
    <ds:schemaRef ds:uri="http://schemas.microsoft.com/office/2006/documentManagement/types"/>
    <ds:schemaRef ds:uri="http://schemas.microsoft.com/office/infopath/2007/PartnerControls"/>
    <ds:schemaRef ds:uri="35b6a7de-9e1a-4b3d-8e58-e2a3da2946eb"/>
    <ds:schemaRef ds:uri="8db9bdd8-629b-441c-9eb6-e46a2e9dae0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50</vt:i4>
      </vt:variant>
    </vt:vector>
  </HeadingPairs>
  <TitlesOfParts>
    <vt:vector size="62" baseType="lpstr">
      <vt:lpstr>Terms and Conditions</vt:lpstr>
      <vt:lpstr>Guidance Notes</vt:lpstr>
      <vt:lpstr>Project Compliance Tool</vt:lpstr>
      <vt:lpstr>Business Case</vt:lpstr>
      <vt:lpstr>Assessment Form</vt:lpstr>
      <vt:lpstr>Additionality Criteria</vt:lpstr>
      <vt:lpstr>PETREAD 2</vt:lpstr>
      <vt:lpstr>Eligible Technologies</vt:lpstr>
      <vt:lpstr>Definitions</vt:lpstr>
      <vt:lpstr>Revision History</vt:lpstr>
      <vt:lpstr>Extra look-up</vt:lpstr>
      <vt:lpstr>PETREAD</vt:lpstr>
      <vt:lpstr>Blank</vt:lpstr>
      <vt:lpstr>'Eligible Technologies'!BMS</vt:lpstr>
      <vt:lpstr>BMS</vt:lpstr>
      <vt:lpstr>CO2_factors</vt:lpstr>
      <vt:lpstr>Cooling</vt:lpstr>
      <vt:lpstr>EfW</vt:lpstr>
      <vt:lpstr>Emergency_Services</vt:lpstr>
      <vt:lpstr>Energy_Types</vt:lpstr>
      <vt:lpstr>Further_Education_Institute</vt:lpstr>
      <vt:lpstr>Hand_dryers</vt:lpstr>
      <vt:lpstr>Heating</vt:lpstr>
      <vt:lpstr>Higher_Education_Institute</vt:lpstr>
      <vt:lpstr>Hot_water</vt:lpstr>
      <vt:lpstr>Insulation_building_fabric</vt:lpstr>
      <vt:lpstr>Insulation_draught_proofing</vt:lpstr>
      <vt:lpstr>Insulation_other</vt:lpstr>
      <vt:lpstr>Insulation_pipework</vt:lpstr>
      <vt:lpstr>Lab_upgrades</vt:lpstr>
      <vt:lpstr>LCH</vt:lpstr>
      <vt:lpstr>LEDs</vt:lpstr>
      <vt:lpstr>Lighting_controls</vt:lpstr>
      <vt:lpstr>Local_Authority</vt:lpstr>
      <vt:lpstr>Motor_controls</vt:lpstr>
      <vt:lpstr>Motor_replacement</vt:lpstr>
      <vt:lpstr>NHS</vt:lpstr>
      <vt:lpstr>Primary_School</vt:lpstr>
      <vt:lpstr>'Additionality Criteria'!Print_Area</vt:lpstr>
      <vt:lpstr>'Assessment Form'!Print_Area</vt:lpstr>
      <vt:lpstr>'Business Case'!Print_Area</vt:lpstr>
      <vt:lpstr>Definitions!Print_Area</vt:lpstr>
      <vt:lpstr>'Eligible Technologies'!Print_Area</vt:lpstr>
      <vt:lpstr>'Guidance Notes'!Print_Area</vt:lpstr>
      <vt:lpstr>'Revision History'!Print_Area</vt:lpstr>
      <vt:lpstr>'Terms and Conditions'!Print_Area</vt:lpstr>
      <vt:lpstr>Project_type</vt:lpstr>
      <vt:lpstr>Recycling_Fund_England</vt:lpstr>
      <vt:lpstr>Recycling_Fund_England_HEI</vt:lpstr>
      <vt:lpstr>Recycling_Fund_Scotland</vt:lpstr>
      <vt:lpstr>Recycling_Fund_Wales</vt:lpstr>
      <vt:lpstr>Renewables</vt:lpstr>
      <vt:lpstr>Salix_Decarbonisation_Fund</vt:lpstr>
      <vt:lpstr>Secondary_School</vt:lpstr>
      <vt:lpstr>SEELS_England</vt:lpstr>
      <vt:lpstr>SEELS_Schools</vt:lpstr>
      <vt:lpstr>SEELS_Scotland</vt:lpstr>
      <vt:lpstr>SEELS_Wales</vt:lpstr>
      <vt:lpstr>Swimming_pool_covers</vt:lpstr>
      <vt:lpstr>Time_switches</vt:lpstr>
      <vt:lpstr>Ventilation</vt:lpstr>
      <vt:lpstr>Work_types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Brads</dc:creator>
  <cp:keywords/>
  <dc:description/>
  <cp:lastModifiedBy>Adriana Ziemianek</cp:lastModifiedBy>
  <cp:revision/>
  <dcterms:created xsi:type="dcterms:W3CDTF">2008-09-24T10:06:48Z</dcterms:created>
  <dcterms:modified xsi:type="dcterms:W3CDTF">2026-10-07T11:06:07Z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0x010100F0A13E7C1E30204BB133EAE7FAFD52CA</vt:lpwstr>
  </property>
  <property fmtid="{D5CDD505-2E9C-101B-9397-08002B2CF9AE}" pid="3" name="MediaServiceImageTags">
    <vt:lpwstr/>
  </property>
</Properties>
</file>